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codeName="ThisWorkbook"/>
  <bookViews>
    <workbookView xWindow="-30" yWindow="0" windowWidth="14910" windowHeight="12135" tabRatio="601"/>
  </bookViews>
  <sheets>
    <sheet name="Cover" sheetId="203" r:id="rId1"/>
    <sheet name="TOC" sheetId="212" r:id="rId2"/>
    <sheet name="Program Summary - Violations" sheetId="201" r:id="rId3"/>
    <sheet name="Program Summary - Citations" sheetId="217" r:id="rId4"/>
    <sheet name="ASRALL" sheetId="68" r:id="rId5"/>
    <sheet name="ASR2004" sheetId="65" r:id="rId6"/>
    <sheet name="ASR2011" sheetId="108" r:id="rId7"/>
    <sheet name="ASR2012" sheetId="109" r:id="rId8"/>
    <sheet name="ASR2021" sheetId="110" r:id="rId9"/>
    <sheet name="ASR2024" sheetId="111" r:id="rId10"/>
    <sheet name="ASR2031" sheetId="91" r:id="rId11"/>
    <sheet name="ASR2051" sheetId="93" r:id="rId12"/>
    <sheet name="ASR2052" sheetId="94" r:id="rId13"/>
    <sheet name="ASR2053" sheetId="97" r:id="rId14"/>
    <sheet name="ASR2062" sheetId="131" r:id="rId15"/>
    <sheet name="ASR2071" sheetId="132" r:id="rId16"/>
    <sheet name="ASR2074" sheetId="81" r:id="rId17"/>
    <sheet name="ASR2081" sheetId="82" r:id="rId18"/>
    <sheet name="ASR2083" sheetId="83" r:id="rId19"/>
    <sheet name="ASR2091" sheetId="84" r:id="rId20"/>
    <sheet name="ASR2094" sheetId="85" r:id="rId21"/>
    <sheet name="ASR2104" sheetId="120" r:id="rId22"/>
    <sheet name="ASR2111" sheetId="121" r:id="rId23"/>
    <sheet name="ASR2112" sheetId="122" r:id="rId24"/>
    <sheet name="ASR2122" sheetId="133" r:id="rId25"/>
    <sheet name="ASR2124" sheetId="86" r:id="rId26"/>
    <sheet name="ASR2131" sheetId="123" r:id="rId27"/>
    <sheet name="ASR2132" sheetId="141" r:id="rId28"/>
    <sheet name="ASR2134" sheetId="178" r:id="rId29"/>
    <sheet name="ASR2142" sheetId="179" r:id="rId30"/>
    <sheet name="ASR2144" sheetId="180" r:id="rId31"/>
    <sheet name="ASR2152" sheetId="181" r:id="rId32"/>
    <sheet name="ASR2154" sheetId="182" r:id="rId33"/>
    <sheet name="ASR2161" sheetId="183" r:id="rId34"/>
    <sheet name="ASR2184" sheetId="184" r:id="rId35"/>
    <sheet name="ASR2211" sheetId="185" r:id="rId36"/>
    <sheet name="ASR2212" sheetId="186" r:id="rId37"/>
    <sheet name="ASR2221" sheetId="187" r:id="rId38"/>
    <sheet name="ASR2222" sheetId="188" r:id="rId39"/>
    <sheet name="ASR2233" sheetId="189" r:id="rId40"/>
    <sheet name="ASR2234" sheetId="190" r:id="rId41"/>
    <sheet name="ASR2241" sheetId="191" r:id="rId42"/>
    <sheet name="ASR2242" sheetId="192" r:id="rId43"/>
    <sheet name="ASR2253" sheetId="193" r:id="rId44"/>
    <sheet name="ASR2263" sheetId="194" r:id="rId45"/>
    <sheet name="ASR2264" sheetId="195" r:id="rId46"/>
    <sheet name="ASR3001" sheetId="196" r:id="rId47"/>
    <sheet name="ASR3003" sheetId="197" r:id="rId48"/>
    <sheet name="ASR3011" sheetId="198" r:id="rId49"/>
    <sheet name="ASR3034" sheetId="200" r:id="rId50"/>
    <sheet name="ASR3044" sheetId="219" r:id="rId51"/>
    <sheet name="Jan" sheetId="204" r:id="rId52"/>
    <sheet name="Feb" sheetId="220" r:id="rId53"/>
    <sheet name="Mar" sheetId="221" r:id="rId54"/>
    <sheet name="Apr" sheetId="222" r:id="rId55"/>
    <sheet name="May" sheetId="223" r:id="rId56"/>
    <sheet name="Jun" sheetId="224" r:id="rId57"/>
    <sheet name="Jul" sheetId="225" r:id="rId58"/>
    <sheet name="Aug" sheetId="226" r:id="rId59"/>
    <sheet name="Sep" sheetId="227" r:id="rId60"/>
    <sheet name="Oct" sheetId="228" r:id="rId61"/>
    <sheet name="Nov" sheetId="229" r:id="rId62"/>
    <sheet name="Dec" sheetId="231" r:id="rId63"/>
    <sheet name="ASRALL FILM" sheetId="232" r:id="rId64"/>
    <sheet name="ASRALL Digital" sheetId="233" r:id="rId65"/>
  </sheets>
  <definedNames>
    <definedName name="_xlnm.Print_Area" localSheetId="5">'ASR2004'!$A$1:$M$65</definedName>
    <definedName name="_xlnm.Print_Area" localSheetId="6">'ASR2011'!$A$1:$M$65</definedName>
    <definedName name="_xlnm.Print_Area" localSheetId="7">'ASR2012'!$A$1:$M$65</definedName>
    <definedName name="_xlnm.Print_Area" localSheetId="8">'ASR2021'!$A$1:$M$65</definedName>
    <definedName name="_xlnm.Print_Area" localSheetId="9">'ASR2024'!$A$1:$M$65</definedName>
    <definedName name="_xlnm.Print_Area" localSheetId="10">'ASR2031'!$A$1:$M$65</definedName>
    <definedName name="_xlnm.Print_Area" localSheetId="11">'ASR2051'!$A$1:$M$65</definedName>
    <definedName name="_xlnm.Print_Area" localSheetId="12">'ASR2052'!$A$1:$M$65</definedName>
    <definedName name="_xlnm.Print_Area" localSheetId="13">'ASR2053'!$A$1:$M$65</definedName>
    <definedName name="_xlnm.Print_Area" localSheetId="14">'ASR2062'!$A$1:$M$65</definedName>
    <definedName name="_xlnm.Print_Area" localSheetId="15">'ASR2071'!$A$1:$M$65</definedName>
    <definedName name="_xlnm.Print_Area" localSheetId="16">'ASR2074'!$A$1:$M$65</definedName>
    <definedName name="_xlnm.Print_Area" localSheetId="17">'ASR2081'!$A$1:$M$65</definedName>
    <definedName name="_xlnm.Print_Area" localSheetId="18">'ASR2083'!$A$1:$M$65</definedName>
    <definedName name="_xlnm.Print_Area" localSheetId="19">'ASR2091'!$A$1:$M$65</definedName>
    <definedName name="_xlnm.Print_Area" localSheetId="20">'ASR2094'!$A$1:$M$65</definedName>
    <definedName name="_xlnm.Print_Area" localSheetId="21">'ASR2104'!$A$1:$M$65</definedName>
    <definedName name="_xlnm.Print_Area" localSheetId="22">'ASR2111'!$A$1:$M$65</definedName>
    <definedName name="_xlnm.Print_Area" localSheetId="23">'ASR2112'!$A$1:$M$65</definedName>
    <definedName name="_xlnm.Print_Area" localSheetId="24">'ASR2122'!$A$1:$M$65</definedName>
    <definedName name="_xlnm.Print_Area" localSheetId="25">'ASR2124'!$A$1:$M$65</definedName>
    <definedName name="_xlnm.Print_Area" localSheetId="26">'ASR2131'!$A$1:$M$65</definedName>
    <definedName name="_xlnm.Print_Area" localSheetId="27">'ASR2132'!$A$1:$M$65</definedName>
    <definedName name="_xlnm.Print_Area" localSheetId="28">'ASR2134'!$A$1:$M$65</definedName>
    <definedName name="_xlnm.Print_Area" localSheetId="29">'ASR2142'!$A$1:$M$65</definedName>
    <definedName name="_xlnm.Print_Area" localSheetId="30">'ASR2144'!$A$1:$M$65</definedName>
    <definedName name="_xlnm.Print_Area" localSheetId="31">'ASR2152'!$A$1:$M$65</definedName>
    <definedName name="_xlnm.Print_Area" localSheetId="32">'ASR2154'!$A$1:$M$65</definedName>
    <definedName name="_xlnm.Print_Area" localSheetId="33">'ASR2161'!$A$1:$M$65</definedName>
    <definedName name="_xlnm.Print_Area" localSheetId="34">'ASR2184'!$A$1:$M$65</definedName>
    <definedName name="_xlnm.Print_Area" localSheetId="35">'ASR2211'!$A$1:$M$65</definedName>
    <definedName name="_xlnm.Print_Area" localSheetId="36">'ASR2212'!$A$1:$M$65</definedName>
    <definedName name="_xlnm.Print_Area" localSheetId="37">'ASR2221'!$A$1:$M$65</definedName>
    <definedName name="_xlnm.Print_Area" localSheetId="38">'ASR2222'!$A$1:$M$65</definedName>
    <definedName name="_xlnm.Print_Area" localSheetId="39">'ASR2233'!$A$1:$M$65</definedName>
    <definedName name="_xlnm.Print_Area" localSheetId="40">'ASR2234'!$A$1:$M$65</definedName>
    <definedName name="_xlnm.Print_Area" localSheetId="41">'ASR2241'!$A$1:$M$65</definedName>
    <definedName name="_xlnm.Print_Area" localSheetId="42">'ASR2242'!$A$1:$M$65</definedName>
    <definedName name="_xlnm.Print_Area" localSheetId="43">'ASR2253'!$A$1:$M$65</definedName>
    <definedName name="_xlnm.Print_Area" localSheetId="44">'ASR2263'!$A$1:$M$65</definedName>
    <definedName name="_xlnm.Print_Area" localSheetId="45">'ASR2264'!$A$1:$M$65</definedName>
    <definedName name="_xlnm.Print_Area" localSheetId="46">'ASR3001'!$A$1:$M$65</definedName>
    <definedName name="_xlnm.Print_Area" localSheetId="47">'ASR3003'!$A$1:$M$65</definedName>
    <definedName name="_xlnm.Print_Area" localSheetId="48">'ASR3011'!$A$1:$M$65</definedName>
    <definedName name="_xlnm.Print_Area" localSheetId="49">'ASR3034'!$A$1:$M$65</definedName>
    <definedName name="_xlnm.Print_Area" localSheetId="50">'ASR3044'!$A$1:$M$65</definedName>
    <definedName name="_xlnm.Print_Area" localSheetId="4">ASRALL!$A$1:$M$65</definedName>
    <definedName name="_xlnm.Print_Area" localSheetId="64">'ASRALL Digital'!$A$1:$M$65</definedName>
    <definedName name="_xlnm.Print_Area" localSheetId="63">'ASRALL FILM'!$A$1:$M$65</definedName>
    <definedName name="_xlnm.Print_Area" localSheetId="0">Cover!$A$1:$E$52</definedName>
    <definedName name="_xlnm.Print_Area" localSheetId="3">'Program Summary - Citations'!$A$1:$O$53</definedName>
    <definedName name="_xlnm.Print_Area" localSheetId="2">'Program Summary - Violations'!$A$1:$O$53</definedName>
    <definedName name="_xlnm.Print_Area" localSheetId="1">TOC!$A$1:$C$55</definedName>
  </definedNames>
  <calcPr calcId="145621"/>
</workbook>
</file>

<file path=xl/calcChain.xml><?xml version="1.0" encoding="utf-8"?>
<calcChain xmlns="http://schemas.openxmlformats.org/spreadsheetml/2006/main">
  <c r="M65" i="182" l="1"/>
  <c r="M52" i="123"/>
  <c r="M65" i="133"/>
  <c r="M32" i="94"/>
  <c r="M32" i="109"/>
  <c r="M32" i="108"/>
  <c r="K18" i="233"/>
  <c r="J18" i="233"/>
  <c r="I18" i="233"/>
  <c r="H18" i="233"/>
  <c r="K17" i="233"/>
  <c r="J17" i="233"/>
  <c r="I17" i="233"/>
  <c r="H17" i="233"/>
  <c r="K16" i="233"/>
  <c r="J16" i="233"/>
  <c r="I16" i="233"/>
  <c r="H16" i="233"/>
  <c r="K15" i="233"/>
  <c r="J15" i="233"/>
  <c r="I15" i="233"/>
  <c r="H15" i="233"/>
  <c r="J35" i="191" l="1"/>
  <c r="J35" i="86"/>
  <c r="J29" i="108"/>
  <c r="I46" i="108"/>
  <c r="I29" i="97"/>
  <c r="H29" i="97"/>
  <c r="I29" i="91"/>
  <c r="I36" i="120"/>
  <c r="I37" i="120"/>
  <c r="I39" i="120"/>
  <c r="H51" i="94" l="1"/>
  <c r="G15" i="233"/>
  <c r="G16" i="233"/>
  <c r="G17" i="233"/>
  <c r="G18" i="233"/>
  <c r="G58" i="233" l="1"/>
  <c r="G14" i="233"/>
  <c r="F15" i="233"/>
  <c r="F16" i="233"/>
  <c r="F17" i="233"/>
  <c r="F18" i="233"/>
  <c r="M12" i="68"/>
  <c r="F54" i="83"/>
  <c r="M64" i="233"/>
  <c r="M63" i="233"/>
  <c r="M62" i="233"/>
  <c r="M61" i="233"/>
  <c r="M60" i="233"/>
  <c r="M59" i="233"/>
  <c r="M58" i="233"/>
  <c r="E58" i="233"/>
  <c r="D58" i="233"/>
  <c r="C58" i="233"/>
  <c r="M57" i="233"/>
  <c r="M56" i="233"/>
  <c r="M55" i="233"/>
  <c r="M54" i="233"/>
  <c r="M51" i="233"/>
  <c r="M50" i="233"/>
  <c r="M49" i="233"/>
  <c r="M48" i="233"/>
  <c r="M47" i="233"/>
  <c r="E47" i="233"/>
  <c r="D47" i="233"/>
  <c r="C47" i="233"/>
  <c r="M46" i="233"/>
  <c r="M45" i="233"/>
  <c r="E45" i="233"/>
  <c r="C45" i="233"/>
  <c r="M44" i="233"/>
  <c r="M43" i="233"/>
  <c r="M42" i="233"/>
  <c r="M41" i="233"/>
  <c r="M40" i="233"/>
  <c r="M39" i="233"/>
  <c r="E39" i="233"/>
  <c r="D39" i="233"/>
  <c r="C39" i="233"/>
  <c r="M38" i="233"/>
  <c r="M37" i="233"/>
  <c r="M36" i="233"/>
  <c r="E36" i="233"/>
  <c r="D36" i="233"/>
  <c r="C36" i="233"/>
  <c r="M35" i="233"/>
  <c r="M34" i="233"/>
  <c r="M31" i="233"/>
  <c r="M30" i="233"/>
  <c r="M29" i="233"/>
  <c r="M28" i="233"/>
  <c r="M27" i="233"/>
  <c r="E27" i="233"/>
  <c r="D27" i="233"/>
  <c r="C27" i="233"/>
  <c r="M26" i="233"/>
  <c r="M25" i="233"/>
  <c r="E25" i="233"/>
  <c r="D25" i="233"/>
  <c r="C25" i="233"/>
  <c r="M20" i="233"/>
  <c r="L20" i="233"/>
  <c r="K20" i="233"/>
  <c r="J20" i="233"/>
  <c r="I20" i="233"/>
  <c r="H20" i="233"/>
  <c r="G20" i="233"/>
  <c r="F20" i="233"/>
  <c r="E20" i="233"/>
  <c r="D20" i="233"/>
  <c r="B20" i="233"/>
  <c r="E18" i="233"/>
  <c r="D18" i="233"/>
  <c r="C18" i="233"/>
  <c r="E17" i="233"/>
  <c r="D17" i="233"/>
  <c r="C17" i="233"/>
  <c r="E16" i="233"/>
  <c r="D16" i="233"/>
  <c r="C16" i="233"/>
  <c r="E15" i="233"/>
  <c r="D15" i="233"/>
  <c r="C15" i="233"/>
  <c r="M14" i="233"/>
  <c r="L14" i="233"/>
  <c r="K14" i="233"/>
  <c r="J14" i="233"/>
  <c r="I14" i="233"/>
  <c r="H14" i="233"/>
  <c r="F14" i="233"/>
  <c r="E14" i="233"/>
  <c r="D14" i="233"/>
  <c r="C14" i="233"/>
  <c r="B14" i="233"/>
  <c r="M12" i="233"/>
  <c r="E12" i="233"/>
  <c r="D12" i="233"/>
  <c r="C12" i="233"/>
  <c r="M18" i="233"/>
  <c r="L18" i="233"/>
  <c r="B18" i="233"/>
  <c r="M17" i="233"/>
  <c r="L17" i="233"/>
  <c r="B17" i="233"/>
  <c r="B16" i="233"/>
  <c r="M15" i="233"/>
  <c r="L15" i="233"/>
  <c r="B15" i="233"/>
  <c r="M20" i="232"/>
  <c r="L20" i="232"/>
  <c r="K20" i="232"/>
  <c r="J20" i="232"/>
  <c r="E20" i="232"/>
  <c r="D20" i="232"/>
  <c r="B20" i="232"/>
  <c r="M14" i="232"/>
  <c r="L14" i="232"/>
  <c r="K14" i="232"/>
  <c r="J14" i="232"/>
  <c r="I14" i="232"/>
  <c r="H14" i="232"/>
  <c r="G14" i="232"/>
  <c r="F14" i="232"/>
  <c r="E14" i="232"/>
  <c r="D14" i="232"/>
  <c r="C14" i="232"/>
  <c r="B14" i="232"/>
  <c r="I20" i="232"/>
  <c r="H20" i="232"/>
  <c r="G20" i="232"/>
  <c r="F20" i="232"/>
  <c r="M18" i="232"/>
  <c r="L18" i="232"/>
  <c r="K18" i="232"/>
  <c r="J18" i="232"/>
  <c r="I18" i="232"/>
  <c r="B18" i="232"/>
  <c r="M17" i="232"/>
  <c r="L17" i="232"/>
  <c r="K17" i="232"/>
  <c r="J17" i="232"/>
  <c r="I17" i="232"/>
  <c r="B17" i="232"/>
  <c r="M16" i="232"/>
  <c r="L16" i="232"/>
  <c r="K16" i="232"/>
  <c r="J16" i="232"/>
  <c r="I16" i="232"/>
  <c r="B16" i="232"/>
  <c r="M15" i="232"/>
  <c r="L15" i="232"/>
  <c r="K15" i="232"/>
  <c r="J15" i="232"/>
  <c r="I15" i="232"/>
  <c r="B15" i="232"/>
  <c r="D28" i="121"/>
  <c r="E21" i="233" l="1"/>
  <c r="D21" i="233"/>
  <c r="C21" i="233"/>
  <c r="L12" i="181"/>
  <c r="L12" i="182"/>
  <c r="L12" i="184"/>
  <c r="L12" i="187"/>
  <c r="L12" i="188"/>
  <c r="L12" i="189"/>
  <c r="L12" i="65"/>
  <c r="L12" i="120"/>
  <c r="K12" i="181"/>
  <c r="K12" i="182"/>
  <c r="K12" i="184"/>
  <c r="K12" i="187"/>
  <c r="K12" i="188"/>
  <c r="K12" i="189"/>
  <c r="K12" i="65"/>
  <c r="K12" i="120"/>
  <c r="J12" i="181"/>
  <c r="J12" i="182"/>
  <c r="J12" i="184"/>
  <c r="J12" i="187"/>
  <c r="J12" i="188"/>
  <c r="J12" i="189"/>
  <c r="J12" i="65"/>
  <c r="J12" i="85"/>
  <c r="J12" i="120"/>
  <c r="I12" i="181"/>
  <c r="I12" i="182"/>
  <c r="I12" i="184"/>
  <c r="I12" i="187"/>
  <c r="I12" i="188"/>
  <c r="I12" i="189"/>
  <c r="I12" i="65"/>
  <c r="I12" i="85"/>
  <c r="H12" i="181"/>
  <c r="H12" i="182"/>
  <c r="H12" i="184"/>
  <c r="H12" i="187"/>
  <c r="H12" i="188"/>
  <c r="H12" i="189"/>
  <c r="H12" i="65"/>
  <c r="H12" i="85"/>
  <c r="G12" i="85"/>
  <c r="G12" i="120"/>
  <c r="G12" i="181"/>
  <c r="G12" i="182"/>
  <c r="G12" i="184"/>
  <c r="G12" i="187"/>
  <c r="G12" i="188"/>
  <c r="G12" i="189"/>
  <c r="G12" i="65"/>
  <c r="F12" i="85"/>
  <c r="F12" i="120"/>
  <c r="F12" i="181"/>
  <c r="F12" i="182"/>
  <c r="F12" i="184"/>
  <c r="F12" i="187"/>
  <c r="F12" i="188"/>
  <c r="F12" i="189"/>
  <c r="F12" i="65"/>
  <c r="E12" i="85"/>
  <c r="E12" i="120"/>
  <c r="E12" i="181"/>
  <c r="E12" i="182"/>
  <c r="E12" i="184"/>
  <c r="E12" i="187"/>
  <c r="E12" i="188"/>
  <c r="E12" i="189"/>
  <c r="E12" i="65"/>
  <c r="C63" i="81"/>
  <c r="C62" i="81"/>
  <c r="C61" i="81"/>
  <c r="C60" i="81"/>
  <c r="C59" i="81"/>
  <c r="C58" i="81"/>
  <c r="C57" i="81"/>
  <c r="C55" i="81"/>
  <c r="C51" i="81"/>
  <c r="C50" i="81"/>
  <c r="C49" i="81"/>
  <c r="C48" i="81"/>
  <c r="C46" i="81"/>
  <c r="C44" i="81"/>
  <c r="C42" i="81"/>
  <c r="C40" i="81"/>
  <c r="C34" i="81"/>
  <c r="C31" i="81"/>
  <c r="C29" i="81"/>
  <c r="C28" i="81"/>
  <c r="C26" i="81"/>
  <c r="C64" i="82"/>
  <c r="C63" i="82"/>
  <c r="C62" i="82"/>
  <c r="C61" i="82"/>
  <c r="C59" i="82"/>
  <c r="C58" i="82"/>
  <c r="C57" i="82"/>
  <c r="C55" i="82"/>
  <c r="C51" i="82"/>
  <c r="C48" i="82"/>
  <c r="C46" i="82"/>
  <c r="C44" i="82"/>
  <c r="C43" i="82"/>
  <c r="C41" i="82"/>
  <c r="C40" i="82"/>
  <c r="C37" i="82"/>
  <c r="C34" i="82"/>
  <c r="C31" i="82"/>
  <c r="C30" i="82"/>
  <c r="C29" i="82"/>
  <c r="C28" i="82"/>
  <c r="C26" i="82"/>
  <c r="C63" i="83"/>
  <c r="C62" i="83"/>
  <c r="C61" i="83"/>
  <c r="C60" i="83"/>
  <c r="C59" i="83"/>
  <c r="C58" i="83"/>
  <c r="C57" i="83"/>
  <c r="C56" i="83"/>
  <c r="C55" i="83"/>
  <c r="C54" i="83"/>
  <c r="C51" i="83"/>
  <c r="C50" i="83"/>
  <c r="C49" i="83"/>
  <c r="C48" i="83"/>
  <c r="C46" i="83"/>
  <c r="C45" i="83"/>
  <c r="C44" i="83"/>
  <c r="C42" i="83"/>
  <c r="C41" i="83"/>
  <c r="C40" i="83"/>
  <c r="C39" i="83"/>
  <c r="C37" i="83"/>
  <c r="C35" i="83"/>
  <c r="C34" i="83"/>
  <c r="C31" i="83"/>
  <c r="C30" i="83"/>
  <c r="C29" i="83"/>
  <c r="C28" i="83"/>
  <c r="C26" i="83"/>
  <c r="C63" i="84"/>
  <c r="C62" i="84"/>
  <c r="C61" i="84"/>
  <c r="C60" i="84"/>
  <c r="C59" i="84"/>
  <c r="C58" i="84"/>
  <c r="C57" i="84"/>
  <c r="C55" i="84"/>
  <c r="C51" i="84"/>
  <c r="C50" i="84"/>
  <c r="C48" i="84"/>
  <c r="C46" i="84"/>
  <c r="C42" i="84"/>
  <c r="C34" i="84"/>
  <c r="C31" i="84"/>
  <c r="C29" i="84"/>
  <c r="C28" i="84"/>
  <c r="C26" i="84"/>
  <c r="C64" i="85"/>
  <c r="C63" i="85"/>
  <c r="C62" i="85"/>
  <c r="C61" i="85"/>
  <c r="C60" i="85"/>
  <c r="C59" i="85"/>
  <c r="C58" i="85"/>
  <c r="C57" i="85"/>
  <c r="C56" i="85"/>
  <c r="C55" i="85"/>
  <c r="C54" i="85"/>
  <c r="C51" i="85"/>
  <c r="C50" i="85"/>
  <c r="C49" i="85"/>
  <c r="C48" i="85"/>
  <c r="C47" i="85"/>
  <c r="C46" i="85"/>
  <c r="C45" i="85"/>
  <c r="C44" i="85"/>
  <c r="C43" i="85"/>
  <c r="C42" i="85"/>
  <c r="C41" i="85"/>
  <c r="C40" i="85"/>
  <c r="C39" i="85"/>
  <c r="C38" i="85"/>
  <c r="C37" i="85"/>
  <c r="C36" i="85"/>
  <c r="C35" i="85"/>
  <c r="C34" i="85"/>
  <c r="C31" i="85"/>
  <c r="C30" i="85"/>
  <c r="C29" i="85"/>
  <c r="C28" i="85"/>
  <c r="C27" i="85"/>
  <c r="C26" i="85"/>
  <c r="C25" i="85"/>
  <c r="C18" i="85"/>
  <c r="C17" i="85"/>
  <c r="C16" i="85"/>
  <c r="C15" i="85"/>
  <c r="C12" i="85"/>
  <c r="C64" i="120"/>
  <c r="C63" i="120"/>
  <c r="C62" i="120"/>
  <c r="C61" i="120"/>
  <c r="C60" i="120"/>
  <c r="C59" i="120"/>
  <c r="C58" i="120"/>
  <c r="C57" i="120"/>
  <c r="C56" i="120"/>
  <c r="C55" i="120"/>
  <c r="C54" i="120"/>
  <c r="C51" i="120"/>
  <c r="C50" i="120"/>
  <c r="C49" i="120"/>
  <c r="C48" i="120"/>
  <c r="C47" i="120"/>
  <c r="C46" i="120"/>
  <c r="C45" i="120"/>
  <c r="C44" i="120"/>
  <c r="C43" i="120"/>
  <c r="C42" i="120"/>
  <c r="C41" i="120"/>
  <c r="C40" i="120"/>
  <c r="C39" i="120"/>
  <c r="C38" i="120"/>
  <c r="C37" i="120"/>
  <c r="C36" i="120"/>
  <c r="C35" i="120"/>
  <c r="C34" i="120"/>
  <c r="C31" i="120"/>
  <c r="C30" i="120"/>
  <c r="C29" i="120"/>
  <c r="C28" i="120"/>
  <c r="C27" i="120"/>
  <c r="C26" i="120"/>
  <c r="C25" i="120"/>
  <c r="C18" i="120"/>
  <c r="C17" i="120"/>
  <c r="C16" i="120"/>
  <c r="C15" i="120"/>
  <c r="C12" i="120"/>
  <c r="C63" i="121"/>
  <c r="C62" i="121"/>
  <c r="C61" i="121"/>
  <c r="C60" i="121"/>
  <c r="C59" i="121"/>
  <c r="C58" i="121"/>
  <c r="C57" i="121"/>
  <c r="C55" i="121"/>
  <c r="C54" i="121"/>
  <c r="C51" i="121"/>
  <c r="C50" i="121"/>
  <c r="C49" i="121"/>
  <c r="C48" i="121"/>
  <c r="C47" i="121"/>
  <c r="C46" i="121"/>
  <c r="C44" i="121"/>
  <c r="C43" i="121"/>
  <c r="C42" i="121"/>
  <c r="C40" i="121"/>
  <c r="C38" i="121"/>
  <c r="C37" i="121"/>
  <c r="C35" i="121"/>
  <c r="C34" i="121"/>
  <c r="C31" i="121"/>
  <c r="C30" i="121"/>
  <c r="C29" i="121"/>
  <c r="C28" i="121"/>
  <c r="C26" i="121"/>
  <c r="C64" i="122"/>
  <c r="C63" i="122"/>
  <c r="C62" i="122"/>
  <c r="C61" i="122"/>
  <c r="C60" i="122"/>
  <c r="C59" i="122"/>
  <c r="C58" i="122"/>
  <c r="C57" i="122"/>
  <c r="C56" i="122"/>
  <c r="C55" i="122"/>
  <c r="C54" i="122"/>
  <c r="C51" i="122"/>
  <c r="C50" i="122"/>
  <c r="C49" i="122"/>
  <c r="C48" i="122"/>
  <c r="C47" i="122"/>
  <c r="C46" i="122"/>
  <c r="C44" i="122"/>
  <c r="C43" i="122"/>
  <c r="C42" i="122"/>
  <c r="C41" i="122"/>
  <c r="C40" i="122"/>
  <c r="C37" i="122"/>
  <c r="C35" i="122"/>
  <c r="C34" i="122"/>
  <c r="C31" i="122"/>
  <c r="C30" i="122"/>
  <c r="C29" i="122"/>
  <c r="C28" i="122"/>
  <c r="C26" i="122"/>
  <c r="C25" i="122"/>
  <c r="C63" i="133"/>
  <c r="C62" i="133"/>
  <c r="C61" i="133"/>
  <c r="C60" i="133"/>
  <c r="C59" i="133"/>
  <c r="C58" i="133"/>
  <c r="C57" i="133"/>
  <c r="C56" i="133"/>
  <c r="C55" i="133"/>
  <c r="C54" i="133"/>
  <c r="C51" i="133"/>
  <c r="C50" i="133"/>
  <c r="C48" i="133"/>
  <c r="C46" i="133"/>
  <c r="C44" i="133"/>
  <c r="C43" i="133"/>
  <c r="C42" i="133"/>
  <c r="C40" i="133"/>
  <c r="C38" i="133"/>
  <c r="C34" i="133"/>
  <c r="C31" i="133"/>
  <c r="C30" i="133"/>
  <c r="C29" i="133"/>
  <c r="C28" i="133"/>
  <c r="C26" i="133"/>
  <c r="C63" i="86"/>
  <c r="C61" i="86"/>
  <c r="C60" i="86"/>
  <c r="C59" i="86"/>
  <c r="C58" i="86"/>
  <c r="C57" i="86"/>
  <c r="C56" i="86"/>
  <c r="C55" i="86"/>
  <c r="C54" i="86"/>
  <c r="C51" i="86"/>
  <c r="C48" i="86"/>
  <c r="C46" i="86"/>
  <c r="C44" i="86"/>
  <c r="C43" i="86"/>
  <c r="C42" i="86"/>
  <c r="C41" i="86"/>
  <c r="C40" i="86"/>
  <c r="C35" i="86"/>
  <c r="C34" i="86"/>
  <c r="C31" i="86"/>
  <c r="C29" i="86"/>
  <c r="C28" i="86"/>
  <c r="C26" i="86"/>
  <c r="C64" i="123"/>
  <c r="C63" i="123"/>
  <c r="C62" i="123"/>
  <c r="C61" i="123"/>
  <c r="C59" i="123"/>
  <c r="C58" i="123"/>
  <c r="C57" i="123"/>
  <c r="C55" i="123"/>
  <c r="C51" i="123"/>
  <c r="C50" i="123"/>
  <c r="C49" i="123"/>
  <c r="C46" i="123"/>
  <c r="C44" i="123"/>
  <c r="C43" i="123"/>
  <c r="C42" i="123"/>
  <c r="C40" i="123"/>
  <c r="C39" i="123"/>
  <c r="C37" i="123"/>
  <c r="C36" i="123"/>
  <c r="C34" i="123"/>
  <c r="C31" i="123"/>
  <c r="C29" i="123"/>
  <c r="C28" i="123"/>
  <c r="C26" i="123"/>
  <c r="C63" i="141"/>
  <c r="C62" i="141"/>
  <c r="C61" i="141"/>
  <c r="C60" i="141"/>
  <c r="C59" i="141"/>
  <c r="C58" i="141"/>
  <c r="C57" i="141"/>
  <c r="C55" i="141"/>
  <c r="C51" i="141"/>
  <c r="C50" i="141"/>
  <c r="C48" i="141"/>
  <c r="C46" i="141"/>
  <c r="C44" i="141"/>
  <c r="C43" i="141"/>
  <c r="C42" i="141"/>
  <c r="C40" i="141"/>
  <c r="C37" i="141"/>
  <c r="C34" i="141"/>
  <c r="C31" i="141"/>
  <c r="C29" i="141"/>
  <c r="C28" i="141"/>
  <c r="C26" i="141"/>
  <c r="C64" i="178"/>
  <c r="C63" i="178"/>
  <c r="C62" i="178"/>
  <c r="C61" i="178"/>
  <c r="C60" i="178"/>
  <c r="C59" i="178"/>
  <c r="C58" i="178"/>
  <c r="C57" i="178"/>
  <c r="C55" i="178"/>
  <c r="C51" i="178"/>
  <c r="C50" i="178"/>
  <c r="C49" i="178"/>
  <c r="C48" i="178"/>
  <c r="C46" i="178"/>
  <c r="C44" i="178"/>
  <c r="C42" i="178"/>
  <c r="C40" i="178"/>
  <c r="C37" i="178"/>
  <c r="C34" i="178"/>
  <c r="C31" i="178"/>
  <c r="C29" i="178"/>
  <c r="C28" i="178"/>
  <c r="C26" i="178"/>
  <c r="C63" i="179"/>
  <c r="C62" i="179"/>
  <c r="C61" i="179"/>
  <c r="C59" i="179"/>
  <c r="C58" i="179"/>
  <c r="C57" i="179"/>
  <c r="C56" i="179"/>
  <c r="C55" i="179"/>
  <c r="C51" i="179"/>
  <c r="C50" i="179"/>
  <c r="C48" i="179"/>
  <c r="C46" i="179"/>
  <c r="C44" i="179"/>
  <c r="C42" i="179"/>
  <c r="C40" i="179"/>
  <c r="C38" i="179"/>
  <c r="C37" i="179"/>
  <c r="C34" i="179"/>
  <c r="C31" i="179"/>
  <c r="C29" i="179"/>
  <c r="C28" i="179"/>
  <c r="C26" i="179"/>
  <c r="C63" i="180"/>
  <c r="C62" i="180"/>
  <c r="C61" i="180"/>
  <c r="C59" i="180"/>
  <c r="C58" i="180"/>
  <c r="C57" i="180"/>
  <c r="C56" i="180"/>
  <c r="C55" i="180"/>
  <c r="C54" i="180"/>
  <c r="C51" i="180"/>
  <c r="C50" i="180"/>
  <c r="C48" i="180"/>
  <c r="C46" i="180"/>
  <c r="C44" i="180"/>
  <c r="C42" i="180"/>
  <c r="C41" i="180"/>
  <c r="C40" i="180"/>
  <c r="C34" i="180"/>
  <c r="C31" i="180"/>
  <c r="C30" i="180"/>
  <c r="C29" i="180"/>
  <c r="C28" i="180"/>
  <c r="C26" i="180"/>
  <c r="C64" i="181"/>
  <c r="C63" i="181"/>
  <c r="C62" i="181"/>
  <c r="C61" i="181"/>
  <c r="C60" i="181"/>
  <c r="C59" i="181"/>
  <c r="C58" i="181"/>
  <c r="C57" i="181"/>
  <c r="C56" i="181"/>
  <c r="C55" i="181"/>
  <c r="C54" i="181"/>
  <c r="C51" i="181"/>
  <c r="C50" i="181"/>
  <c r="C49" i="181"/>
  <c r="C48" i="181"/>
  <c r="C47" i="181"/>
  <c r="C46" i="181"/>
  <c r="C45" i="181"/>
  <c r="C44" i="181"/>
  <c r="C43" i="181"/>
  <c r="C42" i="181"/>
  <c r="C41" i="181"/>
  <c r="C40" i="181"/>
  <c r="C39" i="181"/>
  <c r="C38" i="181"/>
  <c r="C37" i="181"/>
  <c r="C36" i="181"/>
  <c r="C35" i="181"/>
  <c r="C34" i="181"/>
  <c r="C31" i="181"/>
  <c r="C30" i="181"/>
  <c r="C29" i="181"/>
  <c r="C28" i="181"/>
  <c r="C27" i="181"/>
  <c r="C26" i="181"/>
  <c r="C25" i="181"/>
  <c r="C18" i="181"/>
  <c r="C17" i="181"/>
  <c r="C16" i="181"/>
  <c r="C15" i="181"/>
  <c r="C12" i="181"/>
  <c r="C64" i="182"/>
  <c r="C63" i="182"/>
  <c r="C62" i="182"/>
  <c r="C61" i="182"/>
  <c r="C60" i="182"/>
  <c r="C59" i="182"/>
  <c r="C58" i="182"/>
  <c r="C57" i="182"/>
  <c r="C56" i="182"/>
  <c r="C55" i="182"/>
  <c r="C54" i="182"/>
  <c r="C51" i="182"/>
  <c r="C50" i="182"/>
  <c r="C49" i="182"/>
  <c r="C48" i="182"/>
  <c r="C47" i="182"/>
  <c r="C46" i="182"/>
  <c r="C45" i="182"/>
  <c r="C44" i="182"/>
  <c r="C43" i="182"/>
  <c r="C42" i="182"/>
  <c r="C41" i="182"/>
  <c r="C40" i="182"/>
  <c r="C39" i="182"/>
  <c r="C38" i="182"/>
  <c r="C37" i="182"/>
  <c r="C36" i="182"/>
  <c r="C35" i="182"/>
  <c r="C34" i="182"/>
  <c r="C31" i="182"/>
  <c r="C30" i="182"/>
  <c r="C29" i="182"/>
  <c r="C28" i="182"/>
  <c r="C27" i="182"/>
  <c r="C26" i="182"/>
  <c r="C25" i="182"/>
  <c r="C18" i="182"/>
  <c r="C17" i="182"/>
  <c r="C16" i="182"/>
  <c r="C15" i="182"/>
  <c r="C12" i="182"/>
  <c r="C63" i="183"/>
  <c r="C62" i="183"/>
  <c r="C61" i="183"/>
  <c r="C60" i="183"/>
  <c r="C59" i="183"/>
  <c r="C58" i="183"/>
  <c r="C57" i="183"/>
  <c r="C55" i="183"/>
  <c r="C51" i="183"/>
  <c r="C46" i="183"/>
  <c r="C44" i="183"/>
  <c r="C42" i="183"/>
  <c r="C40" i="183"/>
  <c r="C38" i="183"/>
  <c r="C31" i="183"/>
  <c r="C29" i="183"/>
  <c r="C28" i="183"/>
  <c r="C26" i="183"/>
  <c r="C64" i="184"/>
  <c r="C63" i="184"/>
  <c r="C62" i="184"/>
  <c r="C61" i="184"/>
  <c r="C60" i="184"/>
  <c r="C59" i="184"/>
  <c r="C58" i="184"/>
  <c r="C57" i="184"/>
  <c r="C56" i="184"/>
  <c r="C55" i="184"/>
  <c r="C54" i="184"/>
  <c r="C51" i="184"/>
  <c r="C50" i="184"/>
  <c r="C49" i="184"/>
  <c r="C48" i="184"/>
  <c r="C47" i="184"/>
  <c r="C46" i="184"/>
  <c r="C45" i="184"/>
  <c r="C44" i="184"/>
  <c r="C43" i="184"/>
  <c r="C42" i="184"/>
  <c r="C41" i="184"/>
  <c r="C40" i="184"/>
  <c r="C39" i="184"/>
  <c r="C38" i="184"/>
  <c r="C37" i="184"/>
  <c r="C36" i="184"/>
  <c r="C35" i="184"/>
  <c r="C34" i="184"/>
  <c r="C31" i="184"/>
  <c r="C30" i="184"/>
  <c r="C29" i="184"/>
  <c r="C28" i="184"/>
  <c r="C27" i="184"/>
  <c r="C26" i="184"/>
  <c r="C25" i="184"/>
  <c r="C18" i="184"/>
  <c r="C17" i="184"/>
  <c r="C16" i="184"/>
  <c r="C15" i="184"/>
  <c r="C12" i="184"/>
  <c r="C63" i="185"/>
  <c r="C62" i="185"/>
  <c r="C60" i="185"/>
  <c r="C59" i="185"/>
  <c r="C58" i="185"/>
  <c r="C57" i="185"/>
  <c r="C56" i="185"/>
  <c r="C55" i="185"/>
  <c r="C54" i="185"/>
  <c r="C51" i="185"/>
  <c r="C50" i="185"/>
  <c r="C49" i="185"/>
  <c r="C48" i="185"/>
  <c r="C47" i="185"/>
  <c r="C46" i="185"/>
  <c r="C44" i="185"/>
  <c r="C42" i="185"/>
  <c r="C40" i="185"/>
  <c r="C37" i="185"/>
  <c r="C35" i="185"/>
  <c r="C34" i="185"/>
  <c r="C31" i="185"/>
  <c r="C29" i="185"/>
  <c r="C28" i="185"/>
  <c r="C26" i="185"/>
  <c r="C64" i="186"/>
  <c r="C63" i="186"/>
  <c r="C62" i="186"/>
  <c r="C61" i="186"/>
  <c r="C60" i="186"/>
  <c r="C59" i="186"/>
  <c r="C58" i="186"/>
  <c r="C57" i="186"/>
  <c r="C56" i="186"/>
  <c r="C55" i="186"/>
  <c r="C51" i="186"/>
  <c r="C50" i="186"/>
  <c r="C49" i="186"/>
  <c r="C48" i="186"/>
  <c r="C46" i="186"/>
  <c r="C44" i="186"/>
  <c r="C42" i="186"/>
  <c r="C41" i="186"/>
  <c r="C40" i="186"/>
  <c r="C38" i="186"/>
  <c r="C37" i="186"/>
  <c r="C34" i="186"/>
  <c r="C31" i="186"/>
  <c r="C30" i="186"/>
  <c r="C29" i="186"/>
  <c r="C28" i="186"/>
  <c r="C64" i="187"/>
  <c r="C63" i="187"/>
  <c r="C62" i="187"/>
  <c r="C61" i="187"/>
  <c r="C60" i="187"/>
  <c r="C59" i="187"/>
  <c r="C58" i="187"/>
  <c r="C57" i="187"/>
  <c r="C56" i="187"/>
  <c r="C55" i="187"/>
  <c r="C54" i="187"/>
  <c r="C51" i="187"/>
  <c r="C50" i="187"/>
  <c r="C49" i="187"/>
  <c r="C48" i="187"/>
  <c r="C47" i="187"/>
  <c r="C46" i="187"/>
  <c r="C45" i="187"/>
  <c r="C44" i="187"/>
  <c r="C43" i="187"/>
  <c r="C42" i="187"/>
  <c r="C41" i="187"/>
  <c r="C40" i="187"/>
  <c r="C39" i="187"/>
  <c r="C38" i="187"/>
  <c r="C37" i="187"/>
  <c r="C36" i="187"/>
  <c r="C35" i="187"/>
  <c r="C34" i="187"/>
  <c r="C31" i="187"/>
  <c r="C30" i="187"/>
  <c r="C29" i="187"/>
  <c r="C28" i="187"/>
  <c r="C27" i="187"/>
  <c r="C26" i="187"/>
  <c r="C25" i="187"/>
  <c r="C18" i="187"/>
  <c r="C17" i="187"/>
  <c r="C16" i="187"/>
  <c r="C15" i="187"/>
  <c r="C12" i="187"/>
  <c r="C64" i="188"/>
  <c r="C63" i="188"/>
  <c r="C62" i="188"/>
  <c r="C61" i="188"/>
  <c r="C60" i="188"/>
  <c r="C59" i="188"/>
  <c r="C58" i="188"/>
  <c r="C57" i="188"/>
  <c r="C56" i="188"/>
  <c r="C55" i="188"/>
  <c r="C54" i="188"/>
  <c r="C51" i="188"/>
  <c r="C50" i="188"/>
  <c r="C49" i="188"/>
  <c r="C48" i="188"/>
  <c r="C47" i="188"/>
  <c r="C46" i="188"/>
  <c r="C45" i="188"/>
  <c r="C44" i="188"/>
  <c r="C43" i="188"/>
  <c r="C42" i="188"/>
  <c r="C41" i="188"/>
  <c r="C40" i="188"/>
  <c r="C39" i="188"/>
  <c r="C38" i="188"/>
  <c r="C37" i="188"/>
  <c r="C36" i="188"/>
  <c r="C35" i="188"/>
  <c r="C34" i="188"/>
  <c r="C31" i="188"/>
  <c r="C30" i="188"/>
  <c r="C29" i="188"/>
  <c r="C28" i="188"/>
  <c r="C27" i="188"/>
  <c r="C26" i="188"/>
  <c r="C25" i="188"/>
  <c r="C18" i="188"/>
  <c r="C17" i="188"/>
  <c r="C16" i="188"/>
  <c r="C15" i="188"/>
  <c r="C12" i="188"/>
  <c r="C64" i="189"/>
  <c r="C63" i="189"/>
  <c r="C62" i="189"/>
  <c r="C61" i="189"/>
  <c r="C60" i="189"/>
  <c r="C59" i="189"/>
  <c r="C58" i="189"/>
  <c r="C57" i="189"/>
  <c r="C56" i="189"/>
  <c r="C55" i="189"/>
  <c r="C54" i="189"/>
  <c r="C51" i="189"/>
  <c r="C50" i="189"/>
  <c r="C49" i="189"/>
  <c r="C48" i="189"/>
  <c r="C47" i="189"/>
  <c r="C46" i="189"/>
  <c r="C45" i="189"/>
  <c r="C44" i="189"/>
  <c r="C43" i="189"/>
  <c r="C42" i="189"/>
  <c r="C41" i="189"/>
  <c r="C40" i="189"/>
  <c r="C39" i="189"/>
  <c r="C38" i="189"/>
  <c r="C37" i="189"/>
  <c r="C36" i="189"/>
  <c r="C35" i="189"/>
  <c r="C34" i="189"/>
  <c r="C31" i="189"/>
  <c r="C30" i="189"/>
  <c r="C29" i="189"/>
  <c r="C28" i="189"/>
  <c r="C27" i="189"/>
  <c r="C26" i="189"/>
  <c r="C25" i="189"/>
  <c r="C18" i="189"/>
  <c r="C17" i="189"/>
  <c r="C16" i="189"/>
  <c r="C15" i="189"/>
  <c r="C12" i="189"/>
  <c r="C64" i="190"/>
  <c r="C63" i="190"/>
  <c r="C62" i="190"/>
  <c r="C61" i="190"/>
  <c r="C60" i="190"/>
  <c r="C59" i="190"/>
  <c r="C58" i="190"/>
  <c r="C57" i="190"/>
  <c r="C56" i="190"/>
  <c r="C55" i="190"/>
  <c r="C54" i="190"/>
  <c r="C51" i="190"/>
  <c r="C50" i="190"/>
  <c r="C49" i="190"/>
  <c r="C48" i="190"/>
  <c r="C46" i="190"/>
  <c r="C44" i="190"/>
  <c r="C42" i="190"/>
  <c r="C40" i="190"/>
  <c r="C38" i="190"/>
  <c r="C37" i="190"/>
  <c r="C34" i="190"/>
  <c r="C31" i="190"/>
  <c r="C30" i="190"/>
  <c r="C29" i="190"/>
  <c r="C28" i="190"/>
  <c r="C26" i="190"/>
  <c r="C63" i="191"/>
  <c r="C62" i="191"/>
  <c r="C61" i="191"/>
  <c r="C60" i="191"/>
  <c r="C59" i="191"/>
  <c r="C58" i="191"/>
  <c r="C57" i="191"/>
  <c r="C56" i="191"/>
  <c r="C55" i="191"/>
  <c r="C54" i="191"/>
  <c r="C51" i="191"/>
  <c r="C49" i="191"/>
  <c r="C48" i="191"/>
  <c r="C46" i="191"/>
  <c r="C44" i="191"/>
  <c r="C42" i="191"/>
  <c r="C40" i="191"/>
  <c r="C34" i="191"/>
  <c r="C31" i="191"/>
  <c r="C29" i="191"/>
  <c r="C28" i="191"/>
  <c r="C26" i="191"/>
  <c r="C63" i="192"/>
  <c r="C62" i="192"/>
  <c r="C61" i="192"/>
  <c r="C59" i="192"/>
  <c r="C58" i="192"/>
  <c r="C57" i="192"/>
  <c r="C56" i="192"/>
  <c r="C55" i="192"/>
  <c r="C54" i="192"/>
  <c r="C51" i="192"/>
  <c r="C49" i="192"/>
  <c r="C48" i="192"/>
  <c r="C47" i="192"/>
  <c r="C46" i="192"/>
  <c r="C42" i="192"/>
  <c r="C40" i="192"/>
  <c r="C37" i="192"/>
  <c r="C35" i="192"/>
  <c r="C34" i="192"/>
  <c r="C31" i="192"/>
  <c r="C29" i="192"/>
  <c r="C28" i="192"/>
  <c r="C26" i="192"/>
  <c r="C64" i="193"/>
  <c r="C63" i="193"/>
  <c r="C62" i="193"/>
  <c r="C61" i="193"/>
  <c r="C60" i="193"/>
  <c r="C59" i="193"/>
  <c r="C58" i="193"/>
  <c r="C57" i="193"/>
  <c r="C56" i="193"/>
  <c r="C55" i="193"/>
  <c r="C54" i="193"/>
  <c r="C51" i="193"/>
  <c r="C49" i="193"/>
  <c r="C48" i="193"/>
  <c r="C47" i="193"/>
  <c r="C46" i="193"/>
  <c r="C44" i="193"/>
  <c r="C43" i="193"/>
  <c r="C42" i="193"/>
  <c r="C41" i="193"/>
  <c r="C40" i="193"/>
  <c r="C39" i="193"/>
  <c r="C38" i="193"/>
  <c r="C37" i="193"/>
  <c r="C35" i="193"/>
  <c r="C34" i="193"/>
  <c r="C31" i="193"/>
  <c r="C30" i="193"/>
  <c r="C29" i="193"/>
  <c r="C28" i="193"/>
  <c r="C26" i="193"/>
  <c r="C25" i="193"/>
  <c r="C64" i="194"/>
  <c r="C63" i="194"/>
  <c r="C62" i="194"/>
  <c r="C61" i="194"/>
  <c r="C60" i="194"/>
  <c r="C59" i="194"/>
  <c r="C58" i="194"/>
  <c r="C57" i="194"/>
  <c r="C56" i="194"/>
  <c r="C55" i="194"/>
  <c r="C51" i="194"/>
  <c r="C50" i="194"/>
  <c r="C48" i="194"/>
  <c r="C47" i="194"/>
  <c r="C46" i="194"/>
  <c r="C44" i="194"/>
  <c r="C42" i="194"/>
  <c r="C40" i="194"/>
  <c r="C38" i="194"/>
  <c r="C36" i="194"/>
  <c r="C35" i="194"/>
  <c r="C34" i="194"/>
  <c r="C31" i="194"/>
  <c r="C30" i="194"/>
  <c r="C29" i="194"/>
  <c r="C28" i="194"/>
  <c r="C26" i="194"/>
  <c r="C25" i="194"/>
  <c r="C63" i="195"/>
  <c r="C62" i="195"/>
  <c r="C61" i="195"/>
  <c r="C59" i="195"/>
  <c r="C58" i="195"/>
  <c r="C57" i="195"/>
  <c r="C55" i="195"/>
  <c r="C54" i="195"/>
  <c r="C51" i="195"/>
  <c r="C50" i="195"/>
  <c r="C49" i="195"/>
  <c r="C48" i="195"/>
  <c r="C46" i="195"/>
  <c r="C44" i="195"/>
  <c r="C43" i="195"/>
  <c r="C42" i="195"/>
  <c r="C40" i="195"/>
  <c r="C38" i="195"/>
  <c r="C37" i="195"/>
  <c r="C34" i="195"/>
  <c r="C31" i="195"/>
  <c r="C29" i="195"/>
  <c r="C28" i="195"/>
  <c r="C26" i="195"/>
  <c r="C64" i="196"/>
  <c r="C63" i="196"/>
  <c r="C62" i="196"/>
  <c r="C61" i="196"/>
  <c r="C60" i="196"/>
  <c r="C59" i="196"/>
  <c r="C57" i="196"/>
  <c r="C56" i="196"/>
  <c r="C55" i="196"/>
  <c r="C54" i="196"/>
  <c r="C51" i="196"/>
  <c r="C49" i="196"/>
  <c r="C48" i="196"/>
  <c r="C46" i="196"/>
  <c r="C44" i="196"/>
  <c r="C43" i="196"/>
  <c r="C42" i="196"/>
  <c r="C41" i="196"/>
  <c r="C40" i="196"/>
  <c r="C38" i="196"/>
  <c r="C37" i="196"/>
  <c r="C35" i="196"/>
  <c r="C34" i="196"/>
  <c r="C31" i="196"/>
  <c r="C30" i="196"/>
  <c r="C29" i="196"/>
  <c r="C28" i="196"/>
  <c r="C26" i="196"/>
  <c r="C64" i="197"/>
  <c r="C63" i="197"/>
  <c r="C62" i="197"/>
  <c r="C61" i="197"/>
  <c r="C60" i="197"/>
  <c r="C59" i="197"/>
  <c r="C57" i="197"/>
  <c r="C56" i="197"/>
  <c r="C55" i="197"/>
  <c r="C54" i="197"/>
  <c r="C51" i="197"/>
  <c r="C49" i="197"/>
  <c r="C48" i="197"/>
  <c r="C46" i="197"/>
  <c r="C44" i="197"/>
  <c r="C42" i="197"/>
  <c r="C40" i="197"/>
  <c r="C38" i="197"/>
  <c r="C35" i="197"/>
  <c r="C34" i="197"/>
  <c r="C31" i="197"/>
  <c r="C30" i="197"/>
  <c r="C29" i="197"/>
  <c r="C28" i="197"/>
  <c r="C26" i="197"/>
  <c r="C64" i="198"/>
  <c r="C63" i="198"/>
  <c r="C62" i="198"/>
  <c r="C61" i="198"/>
  <c r="C60" i="198"/>
  <c r="C59" i="198"/>
  <c r="C57" i="198"/>
  <c r="C56" i="198"/>
  <c r="C55" i="198"/>
  <c r="C54" i="198"/>
  <c r="C51" i="198"/>
  <c r="C50" i="198"/>
  <c r="C50" i="233" s="1"/>
  <c r="C49" i="198"/>
  <c r="C48" i="198"/>
  <c r="C46" i="198"/>
  <c r="C44" i="198"/>
  <c r="C43" i="198"/>
  <c r="C42" i="198"/>
  <c r="C41" i="198"/>
  <c r="C40" i="198"/>
  <c r="C38" i="198"/>
  <c r="C35" i="198"/>
  <c r="C34" i="198"/>
  <c r="C31" i="198"/>
  <c r="C30" i="198"/>
  <c r="C29" i="198"/>
  <c r="C28" i="198"/>
  <c r="C26" i="198"/>
  <c r="C64" i="200"/>
  <c r="C63" i="200"/>
  <c r="C62" i="200"/>
  <c r="C61" i="200"/>
  <c r="C60" i="200"/>
  <c r="C59" i="200"/>
  <c r="C57" i="200"/>
  <c r="C55" i="200"/>
  <c r="C54" i="200"/>
  <c r="C51" i="200"/>
  <c r="C49" i="200"/>
  <c r="C48" i="200"/>
  <c r="C46" i="200"/>
  <c r="C44" i="200"/>
  <c r="C42" i="200"/>
  <c r="C41" i="200"/>
  <c r="C38" i="200"/>
  <c r="C37" i="200"/>
  <c r="C35" i="200"/>
  <c r="C34" i="200"/>
  <c r="C31" i="200"/>
  <c r="C30" i="200"/>
  <c r="C29" i="200"/>
  <c r="C28" i="200"/>
  <c r="C26" i="200"/>
  <c r="C64" i="65"/>
  <c r="C63" i="65"/>
  <c r="C62" i="65"/>
  <c r="C61" i="65"/>
  <c r="C60" i="65"/>
  <c r="C59" i="65"/>
  <c r="C58" i="65"/>
  <c r="C57" i="65"/>
  <c r="C56" i="65"/>
  <c r="C55" i="65"/>
  <c r="C54" i="65"/>
  <c r="C51" i="65"/>
  <c r="C50" i="65"/>
  <c r="C49" i="65"/>
  <c r="C48" i="65"/>
  <c r="C47" i="65"/>
  <c r="C46" i="65"/>
  <c r="C45" i="65"/>
  <c r="C44" i="65"/>
  <c r="C43" i="65"/>
  <c r="C42" i="65"/>
  <c r="C41" i="65"/>
  <c r="C40" i="65"/>
  <c r="C39" i="65"/>
  <c r="C39" i="232" s="1"/>
  <c r="C38" i="65"/>
  <c r="C37" i="65"/>
  <c r="C36" i="65"/>
  <c r="C35" i="65"/>
  <c r="C34" i="65"/>
  <c r="C31" i="65"/>
  <c r="C30" i="65"/>
  <c r="C29" i="65"/>
  <c r="C28" i="65"/>
  <c r="C27" i="65"/>
  <c r="C26" i="65"/>
  <c r="C25" i="65"/>
  <c r="C25" i="232" s="1"/>
  <c r="C18" i="65"/>
  <c r="C17" i="65"/>
  <c r="C16" i="65"/>
  <c r="C15" i="65"/>
  <c r="C12" i="65"/>
  <c r="C63" i="108"/>
  <c r="C62" i="108"/>
  <c r="C61" i="108"/>
  <c r="C60" i="108"/>
  <c r="C59" i="108"/>
  <c r="C58" i="108"/>
  <c r="C57" i="108"/>
  <c r="C56" i="108"/>
  <c r="C55" i="108"/>
  <c r="C51" i="108"/>
  <c r="C50" i="108"/>
  <c r="C48" i="108"/>
  <c r="C46" i="108"/>
  <c r="C44" i="108"/>
  <c r="C42" i="108"/>
  <c r="C40" i="108"/>
  <c r="C37" i="108"/>
  <c r="C34" i="108"/>
  <c r="C31" i="108"/>
  <c r="C29" i="108"/>
  <c r="C28" i="108"/>
  <c r="C26" i="108"/>
  <c r="C64" i="109"/>
  <c r="C63" i="109"/>
  <c r="C62" i="109"/>
  <c r="C60" i="109"/>
  <c r="C59" i="109"/>
  <c r="C58" i="109"/>
  <c r="C57" i="109"/>
  <c r="C56" i="109"/>
  <c r="C55" i="109"/>
  <c r="C54" i="109"/>
  <c r="C51" i="109"/>
  <c r="C50" i="109"/>
  <c r="C49" i="109"/>
  <c r="C48" i="109"/>
  <c r="C47" i="109"/>
  <c r="C46" i="109"/>
  <c r="C44" i="109"/>
  <c r="C42" i="109"/>
  <c r="C41" i="109"/>
  <c r="C40" i="109"/>
  <c r="C37" i="109"/>
  <c r="C34" i="109"/>
  <c r="C31" i="109"/>
  <c r="C30" i="109"/>
  <c r="C29" i="109"/>
  <c r="C28" i="109"/>
  <c r="C26" i="109"/>
  <c r="C63" i="110"/>
  <c r="C62" i="110"/>
  <c r="C61" i="110"/>
  <c r="C60" i="110"/>
  <c r="C59" i="110"/>
  <c r="C58" i="110"/>
  <c r="C57" i="110"/>
  <c r="C56" i="110"/>
  <c r="C55" i="110"/>
  <c r="C51" i="110"/>
  <c r="C50" i="110"/>
  <c r="C49" i="110"/>
  <c r="C48" i="110"/>
  <c r="C46" i="110"/>
  <c r="C44" i="110"/>
  <c r="C42" i="110"/>
  <c r="C40" i="110"/>
  <c r="C38" i="110"/>
  <c r="C37" i="110"/>
  <c r="C35" i="110"/>
  <c r="C34" i="110"/>
  <c r="C31" i="110"/>
  <c r="C29" i="110"/>
  <c r="C28" i="110"/>
  <c r="C26" i="110"/>
  <c r="C63" i="111"/>
  <c r="C62" i="111"/>
  <c r="C61" i="111"/>
  <c r="C59" i="111"/>
  <c r="C58" i="111"/>
  <c r="C57" i="111"/>
  <c r="C55" i="111"/>
  <c r="C50" i="111"/>
  <c r="C48" i="111"/>
  <c r="C46" i="111"/>
  <c r="C44" i="111"/>
  <c r="C42" i="111"/>
  <c r="C40" i="111"/>
  <c r="C34" i="111"/>
  <c r="C31" i="111"/>
  <c r="C29" i="111"/>
  <c r="C28" i="111"/>
  <c r="C26" i="111"/>
  <c r="C64" i="91"/>
  <c r="C63" i="91"/>
  <c r="C62" i="91"/>
  <c r="C61" i="91"/>
  <c r="C60" i="91"/>
  <c r="C59" i="91"/>
  <c r="C58" i="91"/>
  <c r="C57" i="91"/>
  <c r="C55" i="91"/>
  <c r="C51" i="91"/>
  <c r="C50" i="91"/>
  <c r="C48" i="91"/>
  <c r="C47" i="91"/>
  <c r="C46" i="91"/>
  <c r="C42" i="91"/>
  <c r="C40" i="91"/>
  <c r="C38" i="91"/>
  <c r="C37" i="91"/>
  <c r="C34" i="91"/>
  <c r="C31" i="91"/>
  <c r="C30" i="91"/>
  <c r="C29" i="91"/>
  <c r="C28" i="91"/>
  <c r="C26" i="91"/>
  <c r="C63" i="93"/>
  <c r="C62" i="93"/>
  <c r="C61" i="93"/>
  <c r="C60" i="93"/>
  <c r="C59" i="93"/>
  <c r="C58" i="93"/>
  <c r="C57" i="93"/>
  <c r="C55" i="93"/>
  <c r="C54" i="93"/>
  <c r="C51" i="93"/>
  <c r="C49" i="93"/>
  <c r="C48" i="93"/>
  <c r="C46" i="93"/>
  <c r="C44" i="93"/>
  <c r="C43" i="93"/>
  <c r="C42" i="93"/>
  <c r="C40" i="93"/>
  <c r="C38" i="93"/>
  <c r="C37" i="93"/>
  <c r="C35" i="93"/>
  <c r="C34" i="93"/>
  <c r="C31" i="93"/>
  <c r="C29" i="93"/>
  <c r="C28" i="93"/>
  <c r="C26" i="93"/>
  <c r="C63" i="94"/>
  <c r="C62" i="94"/>
  <c r="C59" i="94"/>
  <c r="C58" i="94"/>
  <c r="C57" i="94"/>
  <c r="C55" i="94"/>
  <c r="C54" i="94"/>
  <c r="C51" i="94"/>
  <c r="C50" i="94"/>
  <c r="C48" i="94"/>
  <c r="C47" i="94"/>
  <c r="C46" i="94"/>
  <c r="C44" i="94"/>
  <c r="C42" i="94"/>
  <c r="C41" i="94"/>
  <c r="C40" i="94"/>
  <c r="C37" i="94"/>
  <c r="C34" i="94"/>
  <c r="C31" i="94"/>
  <c r="C29" i="94"/>
  <c r="C28" i="94"/>
  <c r="C26" i="94"/>
  <c r="C63" i="97"/>
  <c r="C62" i="97"/>
  <c r="C61" i="97"/>
  <c r="C59" i="97"/>
  <c r="C58" i="97"/>
  <c r="C57" i="97"/>
  <c r="C55" i="97"/>
  <c r="C51" i="97"/>
  <c r="C50" i="97"/>
  <c r="C46" i="97"/>
  <c r="C42" i="97"/>
  <c r="C40" i="97"/>
  <c r="C37" i="97"/>
  <c r="C34" i="97"/>
  <c r="C31" i="97"/>
  <c r="C29" i="97"/>
  <c r="C28" i="97"/>
  <c r="C26" i="97"/>
  <c r="C63" i="131"/>
  <c r="C62" i="131"/>
  <c r="C61" i="131"/>
  <c r="C60" i="131"/>
  <c r="C59" i="131"/>
  <c r="C58" i="131"/>
  <c r="C57" i="131"/>
  <c r="C55" i="131"/>
  <c r="C54" i="131"/>
  <c r="C51" i="131"/>
  <c r="C46" i="131"/>
  <c r="C42" i="131"/>
  <c r="C40" i="131"/>
  <c r="C38" i="131"/>
  <c r="C34" i="131"/>
  <c r="C31" i="131"/>
  <c r="C29" i="131"/>
  <c r="C28" i="131"/>
  <c r="C63" i="132"/>
  <c r="C62" i="132"/>
  <c r="C61" i="132"/>
  <c r="C60" i="132"/>
  <c r="C59" i="132"/>
  <c r="C58" i="132"/>
  <c r="C57" i="132"/>
  <c r="C55" i="132"/>
  <c r="C51" i="132"/>
  <c r="C50" i="132"/>
  <c r="C48" i="132"/>
  <c r="C46" i="132"/>
  <c r="C42" i="132"/>
  <c r="C40" i="132"/>
  <c r="C37" i="132"/>
  <c r="C34" i="132"/>
  <c r="C31" i="132"/>
  <c r="C30" i="132"/>
  <c r="C29" i="132"/>
  <c r="C28" i="132"/>
  <c r="C26" i="132"/>
  <c r="D12" i="85"/>
  <c r="D12" i="120"/>
  <c r="D12" i="181"/>
  <c r="D12" i="182"/>
  <c r="D12" i="184"/>
  <c r="D12" i="187"/>
  <c r="D12" i="188"/>
  <c r="D12" i="189"/>
  <c r="D12" i="65"/>
  <c r="M18" i="120"/>
  <c r="M17" i="120"/>
  <c r="M16" i="120"/>
  <c r="M15" i="120"/>
  <c r="M18" i="181"/>
  <c r="M17" i="181"/>
  <c r="M16" i="181"/>
  <c r="M15" i="181"/>
  <c r="M18" i="182"/>
  <c r="M17" i="182"/>
  <c r="M16" i="182"/>
  <c r="M15" i="182"/>
  <c r="M18" i="184"/>
  <c r="M17" i="184"/>
  <c r="M16" i="184"/>
  <c r="M15" i="184"/>
  <c r="M18" i="187"/>
  <c r="M17" i="187"/>
  <c r="M16" i="187"/>
  <c r="M15" i="187"/>
  <c r="M18" i="188"/>
  <c r="M17" i="188"/>
  <c r="M16" i="188"/>
  <c r="M15" i="188"/>
  <c r="M18" i="189"/>
  <c r="M17" i="189"/>
  <c r="M16" i="189"/>
  <c r="M15" i="189"/>
  <c r="M18" i="65"/>
  <c r="M18" i="68" s="1"/>
  <c r="M17" i="65"/>
  <c r="M17" i="68" s="1"/>
  <c r="M16" i="65"/>
  <c r="M16" i="68" s="1"/>
  <c r="M15" i="65"/>
  <c r="M15" i="68" s="1"/>
  <c r="L63" i="97"/>
  <c r="L62" i="97"/>
  <c r="L61" i="97"/>
  <c r="L60" i="97"/>
  <c r="L59" i="97"/>
  <c r="L58" i="97"/>
  <c r="L57" i="97"/>
  <c r="L55" i="97"/>
  <c r="L51" i="97"/>
  <c r="L50" i="97"/>
  <c r="L48" i="97"/>
  <c r="L47" i="97"/>
  <c r="L46" i="97"/>
  <c r="L44" i="97"/>
  <c r="L42" i="97"/>
  <c r="L40" i="97"/>
  <c r="L34" i="97"/>
  <c r="L31" i="97"/>
  <c r="L29" i="97"/>
  <c r="L28" i="97"/>
  <c r="L26" i="97"/>
  <c r="L62" i="131"/>
  <c r="L61" i="131"/>
  <c r="L60" i="131"/>
  <c r="L59" i="131"/>
  <c r="L58" i="131"/>
  <c r="L57" i="131"/>
  <c r="L55" i="131"/>
  <c r="L48" i="131"/>
  <c r="L44" i="131"/>
  <c r="L42" i="131"/>
  <c r="L40" i="131"/>
  <c r="L38" i="131"/>
  <c r="L31" i="131"/>
  <c r="L29" i="131"/>
  <c r="L28" i="131"/>
  <c r="L26" i="131"/>
  <c r="L64" i="132"/>
  <c r="L63" i="132"/>
  <c r="L62" i="132"/>
  <c r="L61" i="132"/>
  <c r="L60" i="132"/>
  <c r="L59" i="132"/>
  <c r="L57" i="132"/>
  <c r="L55" i="132"/>
  <c r="L51" i="132"/>
  <c r="L50" i="132"/>
  <c r="L49" i="132"/>
  <c r="L48" i="132"/>
  <c r="L46" i="132"/>
  <c r="L44" i="132"/>
  <c r="L42" i="132"/>
  <c r="L40" i="132"/>
  <c r="L39" i="132"/>
  <c r="L38" i="132"/>
  <c r="L37" i="132"/>
  <c r="L34" i="132"/>
  <c r="L31" i="132"/>
  <c r="L29" i="132"/>
  <c r="L28" i="132"/>
  <c r="L63" i="81"/>
  <c r="L62" i="81"/>
  <c r="L61" i="81"/>
  <c r="L60" i="81"/>
  <c r="L59" i="81"/>
  <c r="L58" i="81"/>
  <c r="L57" i="81"/>
  <c r="L55" i="81"/>
  <c r="L51" i="81"/>
  <c r="L50" i="81"/>
  <c r="L48" i="81"/>
  <c r="L46" i="81"/>
  <c r="L42" i="81"/>
  <c r="L41" i="81"/>
  <c r="L40" i="81"/>
  <c r="L34" i="81"/>
  <c r="L31" i="81"/>
  <c r="L29" i="81"/>
  <c r="L28" i="81"/>
  <c r="L26" i="81"/>
  <c r="L63" i="82"/>
  <c r="L62" i="82"/>
  <c r="L61" i="82"/>
  <c r="L59" i="82"/>
  <c r="L57" i="82"/>
  <c r="L55" i="82"/>
  <c r="L51" i="82"/>
  <c r="L50" i="82"/>
  <c r="L49" i="82"/>
  <c r="L48" i="82"/>
  <c r="L46" i="82"/>
  <c r="L44" i="82"/>
  <c r="L42" i="82"/>
  <c r="L35" i="82"/>
  <c r="L31" i="82"/>
  <c r="L30" i="82"/>
  <c r="L29" i="82"/>
  <c r="L28" i="82"/>
  <c r="L26" i="82"/>
  <c r="L64" i="83"/>
  <c r="L63" i="83"/>
  <c r="L62" i="83"/>
  <c r="L61" i="83"/>
  <c r="L60" i="83"/>
  <c r="L59" i="83"/>
  <c r="L58" i="83"/>
  <c r="L57" i="83"/>
  <c r="L56" i="83"/>
  <c r="L55" i="83"/>
  <c r="L51" i="83"/>
  <c r="L50" i="83"/>
  <c r="L49" i="83"/>
  <c r="L48" i="83"/>
  <c r="L46" i="83"/>
  <c r="L44" i="83"/>
  <c r="L43" i="83"/>
  <c r="L42" i="83"/>
  <c r="L40" i="83"/>
  <c r="L37" i="83"/>
  <c r="L35" i="83"/>
  <c r="L34" i="83"/>
  <c r="L31" i="83"/>
  <c r="L29" i="83"/>
  <c r="L28" i="83"/>
  <c r="L26" i="83"/>
  <c r="L64" i="84"/>
  <c r="L63" i="84"/>
  <c r="L62" i="84"/>
  <c r="L61" i="84"/>
  <c r="L60" i="84"/>
  <c r="L59" i="84"/>
  <c r="L58" i="84"/>
  <c r="L57" i="84"/>
  <c r="L56" i="84"/>
  <c r="L55" i="84"/>
  <c r="L54" i="84"/>
  <c r="L51" i="84"/>
  <c r="L50" i="84"/>
  <c r="L49" i="84"/>
  <c r="L48" i="84"/>
  <c r="L47" i="84"/>
  <c r="L46" i="84"/>
  <c r="L45" i="84"/>
  <c r="L44" i="84"/>
  <c r="L43" i="84"/>
  <c r="L42" i="84"/>
  <c r="L41" i="84"/>
  <c r="L40" i="84"/>
  <c r="L39" i="84"/>
  <c r="L38" i="84"/>
  <c r="L37" i="84"/>
  <c r="L36" i="84"/>
  <c r="L35" i="84"/>
  <c r="L34" i="84"/>
  <c r="L31" i="84"/>
  <c r="L30" i="84"/>
  <c r="L29" i="84"/>
  <c r="L28" i="84"/>
  <c r="L27" i="84"/>
  <c r="L26" i="84"/>
  <c r="L25" i="84"/>
  <c r="L64" i="85"/>
  <c r="L63" i="85"/>
  <c r="L62" i="85"/>
  <c r="L61" i="85"/>
  <c r="L60" i="85"/>
  <c r="L59" i="85"/>
  <c r="L58" i="85"/>
  <c r="L57" i="85"/>
  <c r="L56" i="85"/>
  <c r="L55" i="85"/>
  <c r="L54" i="85"/>
  <c r="L51" i="85"/>
  <c r="L50" i="85"/>
  <c r="L49" i="85"/>
  <c r="L48" i="85"/>
  <c r="L47" i="85"/>
  <c r="L46" i="85"/>
  <c r="L44" i="85"/>
  <c r="L42" i="85"/>
  <c r="L40" i="85"/>
  <c r="L34" i="85"/>
  <c r="L31" i="85"/>
  <c r="L29" i="85"/>
  <c r="L28" i="85"/>
  <c r="L26" i="85"/>
  <c r="L64" i="120"/>
  <c r="L63" i="120"/>
  <c r="L62" i="120"/>
  <c r="L61" i="120"/>
  <c r="L60" i="120"/>
  <c r="L59" i="120"/>
  <c r="L58" i="120"/>
  <c r="L57" i="120"/>
  <c r="L56" i="120"/>
  <c r="L55" i="120"/>
  <c r="L54" i="120"/>
  <c r="L51" i="120"/>
  <c r="L50" i="120"/>
  <c r="L49" i="120"/>
  <c r="L48" i="120"/>
  <c r="L47" i="120"/>
  <c r="L46" i="120"/>
  <c r="L45" i="120"/>
  <c r="L44" i="120"/>
  <c r="L43" i="120"/>
  <c r="L42" i="120"/>
  <c r="L41" i="120"/>
  <c r="L40" i="120"/>
  <c r="L39" i="120"/>
  <c r="L38" i="120"/>
  <c r="L37" i="120"/>
  <c r="L36" i="120"/>
  <c r="L35" i="120"/>
  <c r="L34" i="120"/>
  <c r="L31" i="120"/>
  <c r="L30" i="120"/>
  <c r="L29" i="120"/>
  <c r="L28" i="120"/>
  <c r="L27" i="120"/>
  <c r="L26" i="120"/>
  <c r="L25" i="120"/>
  <c r="L18" i="120"/>
  <c r="L17" i="120"/>
  <c r="L16" i="120"/>
  <c r="L15" i="120"/>
  <c r="L64" i="121"/>
  <c r="L63" i="121"/>
  <c r="L62" i="121"/>
  <c r="L61" i="121"/>
  <c r="L59" i="121"/>
  <c r="L58" i="121"/>
  <c r="L57" i="121"/>
  <c r="L55" i="121"/>
  <c r="L54" i="121"/>
  <c r="L51" i="121"/>
  <c r="L48" i="121"/>
  <c r="L46" i="121"/>
  <c r="L44" i="121"/>
  <c r="L42" i="121"/>
  <c r="L40" i="121"/>
  <c r="L37" i="121"/>
  <c r="L35" i="121"/>
  <c r="L34" i="121"/>
  <c r="L31" i="121"/>
  <c r="L29" i="121"/>
  <c r="L28" i="121"/>
  <c r="L64" i="122"/>
  <c r="L63" i="122"/>
  <c r="L62" i="122"/>
  <c r="L61" i="122"/>
  <c r="L60" i="122"/>
  <c r="L59" i="122"/>
  <c r="L58" i="122"/>
  <c r="L57" i="122"/>
  <c r="L56" i="122"/>
  <c r="L55" i="122"/>
  <c r="L54" i="122"/>
  <c r="L51" i="122"/>
  <c r="L50" i="122"/>
  <c r="L49" i="122"/>
  <c r="L48" i="122"/>
  <c r="L47" i="122"/>
  <c r="L46" i="122"/>
  <c r="L44" i="122"/>
  <c r="L43" i="122"/>
  <c r="L42" i="122"/>
  <c r="L40" i="122"/>
  <c r="L39" i="122"/>
  <c r="L37" i="122"/>
  <c r="L35" i="122"/>
  <c r="L34" i="122"/>
  <c r="L31" i="122"/>
  <c r="L30" i="122"/>
  <c r="L29" i="122"/>
  <c r="L28" i="122"/>
  <c r="L26" i="122"/>
  <c r="L64" i="133"/>
  <c r="L63" i="133"/>
  <c r="L62" i="133"/>
  <c r="L61" i="133"/>
  <c r="L60" i="133"/>
  <c r="L59" i="133"/>
  <c r="L58" i="133"/>
  <c r="L57" i="133"/>
  <c r="L55" i="133"/>
  <c r="L51" i="133"/>
  <c r="L50" i="133"/>
  <c r="L49" i="133"/>
  <c r="L48" i="133"/>
  <c r="L46" i="133"/>
  <c r="L44" i="133"/>
  <c r="L42" i="133"/>
  <c r="L41" i="133"/>
  <c r="L40" i="133"/>
  <c r="L38" i="133"/>
  <c r="L35" i="133"/>
  <c r="L34" i="133"/>
  <c r="L31" i="133"/>
  <c r="L30" i="133"/>
  <c r="L29" i="133"/>
  <c r="L28" i="133"/>
  <c r="L26" i="133"/>
  <c r="L63" i="86"/>
  <c r="L62" i="86"/>
  <c r="L61" i="86"/>
  <c r="L60" i="86"/>
  <c r="L59" i="86"/>
  <c r="L58" i="86"/>
  <c r="L56" i="86"/>
  <c r="L55" i="86"/>
  <c r="L51" i="86"/>
  <c r="L48" i="86"/>
  <c r="L44" i="86"/>
  <c r="L43" i="86"/>
  <c r="L42" i="86"/>
  <c r="L40" i="86"/>
  <c r="L35" i="86"/>
  <c r="L34" i="86"/>
  <c r="L31" i="86"/>
  <c r="L29" i="86"/>
  <c r="L28" i="86"/>
  <c r="L26" i="86"/>
  <c r="L64" i="123"/>
  <c r="L63" i="123"/>
  <c r="L62" i="123"/>
  <c r="L61" i="123"/>
  <c r="L59" i="123"/>
  <c r="L58" i="123"/>
  <c r="L57" i="123"/>
  <c r="L55" i="123"/>
  <c r="L54" i="123"/>
  <c r="L51" i="123"/>
  <c r="L50" i="123"/>
  <c r="L49" i="123"/>
  <c r="L48" i="123"/>
  <c r="L46" i="123"/>
  <c r="L44" i="123"/>
  <c r="L43" i="123"/>
  <c r="L42" i="123"/>
  <c r="L40" i="123"/>
  <c r="L37" i="123"/>
  <c r="L35" i="123"/>
  <c r="L34" i="123"/>
  <c r="L31" i="123"/>
  <c r="L30" i="123"/>
  <c r="L29" i="123"/>
  <c r="L28" i="123"/>
  <c r="L26" i="123"/>
  <c r="L63" i="141"/>
  <c r="L62" i="141"/>
  <c r="L61" i="141"/>
  <c r="L60" i="141"/>
  <c r="L59" i="141"/>
  <c r="L58" i="141"/>
  <c r="L57" i="141"/>
  <c r="L55" i="141"/>
  <c r="L51" i="141"/>
  <c r="L48" i="141"/>
  <c r="L46" i="141"/>
  <c r="L44" i="141"/>
  <c r="L43" i="141"/>
  <c r="L42" i="141"/>
  <c r="L40" i="141"/>
  <c r="L37" i="141"/>
  <c r="L34" i="141"/>
  <c r="L31" i="141"/>
  <c r="L30" i="141"/>
  <c r="L29" i="141"/>
  <c r="L28" i="141"/>
  <c r="L26" i="141"/>
  <c r="L64" i="178"/>
  <c r="L63" i="178"/>
  <c r="L62" i="178"/>
  <c r="L61" i="178"/>
  <c r="L60" i="178"/>
  <c r="L59" i="178"/>
  <c r="L58" i="178"/>
  <c r="L57" i="178"/>
  <c r="L55" i="178"/>
  <c r="L50" i="178"/>
  <c r="L49" i="178"/>
  <c r="L48" i="178"/>
  <c r="L46" i="178"/>
  <c r="L42" i="178"/>
  <c r="L40" i="178"/>
  <c r="L37" i="178"/>
  <c r="L34" i="178"/>
  <c r="L31" i="178"/>
  <c r="L30" i="178"/>
  <c r="L29" i="178"/>
  <c r="L28" i="178"/>
  <c r="L26" i="178"/>
  <c r="L64" i="179"/>
  <c r="L63" i="179"/>
  <c r="L62" i="179"/>
  <c r="L61" i="179"/>
  <c r="L59" i="179"/>
  <c r="L58" i="179"/>
  <c r="L57" i="179"/>
  <c r="L55" i="179"/>
  <c r="L51" i="179"/>
  <c r="L50" i="179"/>
  <c r="L49" i="179"/>
  <c r="L48" i="179"/>
  <c r="L44" i="179"/>
  <c r="L42" i="179"/>
  <c r="L40" i="179"/>
  <c r="L38" i="179"/>
  <c r="L37" i="179"/>
  <c r="L34" i="179"/>
  <c r="L31" i="179"/>
  <c r="L30" i="179"/>
  <c r="L29" i="179"/>
  <c r="L28" i="179"/>
  <c r="L63" i="180"/>
  <c r="L62" i="180"/>
  <c r="L61" i="180"/>
  <c r="L59" i="180"/>
  <c r="L58" i="180"/>
  <c r="L57" i="180"/>
  <c r="L56" i="180"/>
  <c r="L55" i="180"/>
  <c r="L54" i="180"/>
  <c r="L51" i="180"/>
  <c r="L50" i="180"/>
  <c r="L48" i="180"/>
  <c r="L47" i="180"/>
  <c r="L46" i="180"/>
  <c r="L44" i="180"/>
  <c r="L42" i="180"/>
  <c r="L40" i="180"/>
  <c r="L38" i="180"/>
  <c r="L34" i="180"/>
  <c r="L31" i="180"/>
  <c r="L30" i="180"/>
  <c r="L29" i="180"/>
  <c r="L28" i="180"/>
  <c r="L26" i="180"/>
  <c r="L64" i="181"/>
  <c r="L63" i="181"/>
  <c r="L62" i="181"/>
  <c r="L61" i="181"/>
  <c r="L60" i="181"/>
  <c r="L59" i="181"/>
  <c r="L58" i="181"/>
  <c r="L57" i="181"/>
  <c r="L56" i="181"/>
  <c r="L55" i="181"/>
  <c r="L54" i="181"/>
  <c r="L51" i="181"/>
  <c r="L50" i="181"/>
  <c r="L49" i="181"/>
  <c r="L48" i="181"/>
  <c r="L47" i="181"/>
  <c r="L46" i="181"/>
  <c r="L45" i="181"/>
  <c r="L44" i="181"/>
  <c r="L43" i="181"/>
  <c r="L42" i="181"/>
  <c r="L41" i="181"/>
  <c r="L40" i="181"/>
  <c r="L39" i="181"/>
  <c r="L38" i="181"/>
  <c r="L37" i="181"/>
  <c r="L36" i="181"/>
  <c r="L35" i="181"/>
  <c r="L34" i="181"/>
  <c r="L31" i="181"/>
  <c r="L30" i="181"/>
  <c r="L29" i="181"/>
  <c r="L28" i="181"/>
  <c r="L27" i="181"/>
  <c r="L26" i="181"/>
  <c r="L25" i="181"/>
  <c r="L18" i="181"/>
  <c r="L17" i="181"/>
  <c r="L16" i="181"/>
  <c r="L15" i="181"/>
  <c r="L64" i="182"/>
  <c r="L63" i="182"/>
  <c r="L62" i="182"/>
  <c r="L61" i="182"/>
  <c r="L60" i="182"/>
  <c r="L59" i="182"/>
  <c r="L58" i="182"/>
  <c r="L57" i="182"/>
  <c r="L56" i="182"/>
  <c r="L55" i="182"/>
  <c r="L54" i="182"/>
  <c r="L51" i="182"/>
  <c r="L50" i="182"/>
  <c r="L49" i="182"/>
  <c r="L48" i="182"/>
  <c r="L47" i="182"/>
  <c r="L46" i="182"/>
  <c r="L45" i="182"/>
  <c r="L44" i="182"/>
  <c r="L43" i="182"/>
  <c r="L42" i="182"/>
  <c r="L41" i="182"/>
  <c r="L40" i="182"/>
  <c r="L39" i="182"/>
  <c r="L38" i="182"/>
  <c r="L37" i="182"/>
  <c r="L36" i="182"/>
  <c r="L35" i="182"/>
  <c r="L34" i="182"/>
  <c r="L31" i="182"/>
  <c r="L30" i="182"/>
  <c r="L29" i="182"/>
  <c r="L28" i="182"/>
  <c r="L27" i="182"/>
  <c r="L26" i="182"/>
  <c r="L25" i="182"/>
  <c r="L18" i="182"/>
  <c r="L17" i="182"/>
  <c r="L16" i="182"/>
  <c r="L15" i="182"/>
  <c r="L63" i="183"/>
  <c r="L62" i="183"/>
  <c r="L61" i="183"/>
  <c r="L60" i="183"/>
  <c r="L59" i="183"/>
  <c r="L58" i="183"/>
  <c r="L57" i="183"/>
  <c r="L55" i="183"/>
  <c r="L51" i="183"/>
  <c r="L44" i="183"/>
  <c r="L42" i="183"/>
  <c r="L40" i="183"/>
  <c r="L38" i="183"/>
  <c r="L35" i="183"/>
  <c r="L31" i="183"/>
  <c r="L29" i="183"/>
  <c r="L28" i="183"/>
  <c r="L26" i="183"/>
  <c r="L64" i="184"/>
  <c r="L63" i="184"/>
  <c r="L62" i="184"/>
  <c r="L61" i="184"/>
  <c r="L60" i="184"/>
  <c r="L59" i="184"/>
  <c r="L58" i="184"/>
  <c r="L57" i="184"/>
  <c r="L56" i="184"/>
  <c r="L55" i="184"/>
  <c r="L54" i="184"/>
  <c r="L51" i="184"/>
  <c r="L50" i="184"/>
  <c r="L49" i="184"/>
  <c r="L48" i="184"/>
  <c r="L47" i="184"/>
  <c r="L46" i="184"/>
  <c r="L45" i="184"/>
  <c r="L44" i="184"/>
  <c r="L43" i="184"/>
  <c r="L42" i="184"/>
  <c r="L41" i="184"/>
  <c r="L40" i="184"/>
  <c r="L39" i="184"/>
  <c r="L38" i="184"/>
  <c r="L37" i="184"/>
  <c r="L36" i="184"/>
  <c r="L35" i="184"/>
  <c r="L34" i="184"/>
  <c r="L31" i="184"/>
  <c r="L30" i="184"/>
  <c r="L29" i="184"/>
  <c r="L28" i="184"/>
  <c r="L27" i="184"/>
  <c r="L26" i="184"/>
  <c r="L25" i="184"/>
  <c r="L18" i="184"/>
  <c r="L17" i="184"/>
  <c r="L16" i="184"/>
  <c r="L15" i="184"/>
  <c r="L64" i="185"/>
  <c r="L63" i="185"/>
  <c r="L62" i="185"/>
  <c r="L60" i="185"/>
  <c r="L59" i="185"/>
  <c r="L58" i="185"/>
  <c r="L57" i="185"/>
  <c r="L55" i="185"/>
  <c r="L54" i="185"/>
  <c r="L51" i="185"/>
  <c r="L50" i="185"/>
  <c r="L48" i="185"/>
  <c r="L46" i="185"/>
  <c r="L44" i="185"/>
  <c r="L42" i="185"/>
  <c r="L40" i="185"/>
  <c r="L37" i="185"/>
  <c r="L34" i="185"/>
  <c r="L31" i="185"/>
  <c r="L30" i="185"/>
  <c r="L29" i="185"/>
  <c r="L28" i="185"/>
  <c r="L26" i="185"/>
  <c r="L63" i="186"/>
  <c r="L62" i="186"/>
  <c r="L61" i="186"/>
  <c r="L59" i="186"/>
  <c r="L58" i="186"/>
  <c r="L57" i="186"/>
  <c r="L51" i="186"/>
  <c r="L50" i="186"/>
  <c r="L49" i="186"/>
  <c r="L48" i="186"/>
  <c r="L46" i="186"/>
  <c r="L44" i="186"/>
  <c r="L42" i="186"/>
  <c r="L40" i="186"/>
  <c r="L38" i="186"/>
  <c r="L37" i="186"/>
  <c r="L34" i="186"/>
  <c r="L31" i="186"/>
  <c r="L29" i="186"/>
  <c r="L28" i="186"/>
  <c r="L64" i="187"/>
  <c r="L63" i="187"/>
  <c r="L62" i="187"/>
  <c r="L61" i="187"/>
  <c r="L60" i="187"/>
  <c r="L59" i="187"/>
  <c r="L58" i="187"/>
  <c r="L57" i="187"/>
  <c r="L56" i="187"/>
  <c r="L55" i="187"/>
  <c r="L54" i="187"/>
  <c r="L51" i="187"/>
  <c r="L50" i="187"/>
  <c r="L49" i="187"/>
  <c r="L48" i="187"/>
  <c r="L47" i="187"/>
  <c r="L46" i="187"/>
  <c r="L45" i="187"/>
  <c r="L44" i="187"/>
  <c r="L43" i="187"/>
  <c r="L42" i="187"/>
  <c r="L41" i="187"/>
  <c r="L40" i="187"/>
  <c r="L39" i="187"/>
  <c r="L38" i="187"/>
  <c r="L37" i="187"/>
  <c r="L36" i="187"/>
  <c r="L35" i="187"/>
  <c r="L34" i="187"/>
  <c r="L31" i="187"/>
  <c r="L30" i="187"/>
  <c r="L29" i="187"/>
  <c r="L28" i="187"/>
  <c r="L27" i="187"/>
  <c r="L26" i="187"/>
  <c r="L25" i="187"/>
  <c r="L18" i="187"/>
  <c r="L17" i="187"/>
  <c r="L16" i="187"/>
  <c r="L15" i="187"/>
  <c r="L64" i="188"/>
  <c r="L63" i="188"/>
  <c r="L62" i="188"/>
  <c r="L61" i="188"/>
  <c r="L60" i="188"/>
  <c r="L59" i="188"/>
  <c r="L58" i="188"/>
  <c r="L57" i="188"/>
  <c r="L56" i="188"/>
  <c r="L55" i="188"/>
  <c r="L54" i="188"/>
  <c r="L51" i="188"/>
  <c r="L50" i="188"/>
  <c r="L49" i="188"/>
  <c r="L48" i="188"/>
  <c r="L47" i="188"/>
  <c r="L46" i="188"/>
  <c r="L45" i="188"/>
  <c r="L44" i="188"/>
  <c r="L43" i="188"/>
  <c r="L42" i="188"/>
  <c r="L41" i="188"/>
  <c r="L40" i="188"/>
  <c r="L39" i="188"/>
  <c r="L38" i="188"/>
  <c r="L37" i="188"/>
  <c r="L36" i="188"/>
  <c r="L35" i="188"/>
  <c r="L34" i="188"/>
  <c r="L31" i="188"/>
  <c r="L30" i="188"/>
  <c r="L29" i="188"/>
  <c r="L28" i="188"/>
  <c r="L27" i="188"/>
  <c r="L26" i="188"/>
  <c r="L25" i="188"/>
  <c r="L18" i="188"/>
  <c r="L17" i="188"/>
  <c r="L16" i="188"/>
  <c r="L15" i="188"/>
  <c r="L64" i="189"/>
  <c r="L63" i="189"/>
  <c r="L62" i="189"/>
  <c r="L61" i="189"/>
  <c r="L60" i="189"/>
  <c r="L59" i="189"/>
  <c r="L58" i="189"/>
  <c r="L57" i="189"/>
  <c r="L56" i="189"/>
  <c r="L55" i="189"/>
  <c r="L54" i="189"/>
  <c r="L51" i="189"/>
  <c r="L50" i="189"/>
  <c r="L49" i="189"/>
  <c r="L48" i="189"/>
  <c r="L47" i="189"/>
  <c r="L46" i="189"/>
  <c r="L45" i="189"/>
  <c r="L44" i="189"/>
  <c r="L43" i="189"/>
  <c r="L42" i="189"/>
  <c r="L41" i="189"/>
  <c r="L40" i="189"/>
  <c r="L39" i="189"/>
  <c r="L38" i="189"/>
  <c r="L37" i="189"/>
  <c r="L36" i="189"/>
  <c r="L35" i="189"/>
  <c r="L34" i="189"/>
  <c r="L31" i="189"/>
  <c r="L30" i="189"/>
  <c r="L29" i="189"/>
  <c r="L28" i="189"/>
  <c r="L27" i="189"/>
  <c r="L26" i="189"/>
  <c r="L25" i="189"/>
  <c r="L18" i="189"/>
  <c r="L17" i="189"/>
  <c r="L16" i="189"/>
  <c r="L15" i="189"/>
  <c r="L64" i="190"/>
  <c r="L63" i="190"/>
  <c r="L62" i="190"/>
  <c r="L61" i="190"/>
  <c r="L59" i="190"/>
  <c r="L58" i="190"/>
  <c r="L56" i="190"/>
  <c r="L55" i="190"/>
  <c r="L54" i="190"/>
  <c r="L51" i="190"/>
  <c r="L49" i="190"/>
  <c r="L48" i="190"/>
  <c r="L47" i="190"/>
  <c r="L46" i="190"/>
  <c r="L44" i="190"/>
  <c r="L42" i="190"/>
  <c r="L41" i="190"/>
  <c r="L40" i="190"/>
  <c r="L38" i="190"/>
  <c r="L37" i="190"/>
  <c r="L34" i="190"/>
  <c r="L31" i="190"/>
  <c r="L30" i="190"/>
  <c r="L29" i="190"/>
  <c r="L28" i="190"/>
  <c r="L26" i="190"/>
  <c r="L63" i="191"/>
  <c r="L62" i="191"/>
  <c r="L61" i="191"/>
  <c r="L60" i="191"/>
  <c r="L59" i="191"/>
  <c r="L58" i="191"/>
  <c r="L57" i="191"/>
  <c r="L55" i="191"/>
  <c r="L51" i="191"/>
  <c r="L50" i="191"/>
  <c r="L44" i="191"/>
  <c r="L42" i="191"/>
  <c r="L40" i="191"/>
  <c r="L34" i="191"/>
  <c r="L31" i="191"/>
  <c r="L29" i="191"/>
  <c r="L28" i="191"/>
  <c r="L26" i="191"/>
  <c r="L63" i="192"/>
  <c r="L62" i="192"/>
  <c r="L61" i="192"/>
  <c r="L59" i="192"/>
  <c r="L58" i="192"/>
  <c r="L55" i="192"/>
  <c r="L51" i="192"/>
  <c r="L50" i="192"/>
  <c r="L49" i="192"/>
  <c r="L48" i="192"/>
  <c r="L44" i="192"/>
  <c r="L43" i="192"/>
  <c r="L42" i="192"/>
  <c r="L40" i="192"/>
  <c r="L35" i="192"/>
  <c r="L34" i="192"/>
  <c r="L31" i="192"/>
  <c r="L30" i="192"/>
  <c r="L29" i="192"/>
  <c r="L28" i="192"/>
  <c r="L26" i="192"/>
  <c r="L64" i="193"/>
  <c r="L63" i="193"/>
  <c r="L62" i="193"/>
  <c r="L61" i="193"/>
  <c r="L60" i="193"/>
  <c r="L59" i="193"/>
  <c r="L57" i="193"/>
  <c r="L55" i="193"/>
  <c r="L51" i="193"/>
  <c r="L50" i="193"/>
  <c r="L49" i="193"/>
  <c r="L48" i="193"/>
  <c r="L47" i="193"/>
  <c r="L44" i="193"/>
  <c r="L42" i="193"/>
  <c r="L40" i="193"/>
  <c r="L39" i="193"/>
  <c r="L38" i="193"/>
  <c r="L37" i="193"/>
  <c r="L35" i="193"/>
  <c r="L34" i="193"/>
  <c r="L31" i="193"/>
  <c r="L30" i="193"/>
  <c r="L29" i="193"/>
  <c r="L28" i="193"/>
  <c r="L26" i="193"/>
  <c r="L64" i="194"/>
  <c r="L63" i="194"/>
  <c r="L62" i="194"/>
  <c r="L61" i="194"/>
  <c r="L59" i="194"/>
  <c r="L58" i="194"/>
  <c r="L56" i="194"/>
  <c r="L55" i="194"/>
  <c r="L54" i="194"/>
  <c r="L51" i="194"/>
  <c r="L50" i="194"/>
  <c r="L48" i="194"/>
  <c r="L46" i="194"/>
  <c r="L44" i="194"/>
  <c r="L42" i="194"/>
  <c r="L41" i="194"/>
  <c r="L40" i="194"/>
  <c r="L38" i="194"/>
  <c r="L35" i="194"/>
  <c r="L34" i="194"/>
  <c r="L31" i="194"/>
  <c r="L30" i="194"/>
  <c r="L29" i="194"/>
  <c r="L28" i="194"/>
  <c r="L26" i="194"/>
  <c r="L25" i="194"/>
  <c r="L64" i="195"/>
  <c r="L63" i="195"/>
  <c r="L62" i="195"/>
  <c r="L61" i="195"/>
  <c r="L59" i="195"/>
  <c r="L58" i="195"/>
  <c r="L57" i="195"/>
  <c r="L55" i="195"/>
  <c r="L51" i="195"/>
  <c r="L50" i="195"/>
  <c r="L49" i="195"/>
  <c r="L46" i="195"/>
  <c r="L44" i="195"/>
  <c r="L43" i="195"/>
  <c r="L42" i="195"/>
  <c r="L40" i="195"/>
  <c r="L38" i="195"/>
  <c r="L37" i="195"/>
  <c r="L34" i="195"/>
  <c r="L31" i="195"/>
  <c r="L30" i="195"/>
  <c r="L29" i="195"/>
  <c r="L28" i="195"/>
  <c r="L26" i="195"/>
  <c r="L25" i="195"/>
  <c r="L64" i="196"/>
  <c r="L63" i="196"/>
  <c r="L62" i="196"/>
  <c r="L61" i="196"/>
  <c r="L60" i="196"/>
  <c r="L59" i="196"/>
  <c r="L57" i="196"/>
  <c r="L56" i="196"/>
  <c r="L55" i="196"/>
  <c r="L54" i="196"/>
  <c r="L51" i="196"/>
  <c r="L49" i="196"/>
  <c r="L48" i="196"/>
  <c r="L43" i="196"/>
  <c r="L42" i="196"/>
  <c r="L41" i="196"/>
  <c r="L40" i="196"/>
  <c r="L38" i="196"/>
  <c r="L37" i="196"/>
  <c r="L35" i="196"/>
  <c r="L31" i="196"/>
  <c r="L30" i="196"/>
  <c r="L28" i="196"/>
  <c r="L26" i="196"/>
  <c r="L25" i="196"/>
  <c r="L64" i="197"/>
  <c r="L63" i="197"/>
  <c r="L62" i="197"/>
  <c r="L61" i="197"/>
  <c r="L60" i="197"/>
  <c r="L59" i="197"/>
  <c r="L57" i="197"/>
  <c r="L55" i="197"/>
  <c r="L54" i="197"/>
  <c r="L51" i="197"/>
  <c r="L49" i="197"/>
  <c r="L48" i="197"/>
  <c r="L46" i="197"/>
  <c r="L44" i="197"/>
  <c r="L43" i="197"/>
  <c r="L42" i="197"/>
  <c r="L41" i="197"/>
  <c r="L40" i="197"/>
  <c r="L38" i="197"/>
  <c r="L34" i="197"/>
  <c r="L31" i="197"/>
  <c r="L30" i="197"/>
  <c r="L28" i="197"/>
  <c r="L26" i="197"/>
  <c r="L64" i="198"/>
  <c r="L63" i="198"/>
  <c r="L62" i="198"/>
  <c r="L61" i="198"/>
  <c r="L60" i="198"/>
  <c r="L59" i="198"/>
  <c r="L57" i="198"/>
  <c r="L55" i="198"/>
  <c r="L51" i="198"/>
  <c r="L50" i="198"/>
  <c r="L49" i="198"/>
  <c r="L48" i="198"/>
  <c r="L44" i="198"/>
  <c r="L42" i="198"/>
  <c r="L41" i="198"/>
  <c r="L40" i="198"/>
  <c r="L38" i="198"/>
  <c r="L37" i="198"/>
  <c r="L34" i="198"/>
  <c r="L31" i="198"/>
  <c r="L28" i="198"/>
  <c r="L26" i="198"/>
  <c r="L64" i="200"/>
  <c r="L63" i="200"/>
  <c r="L62" i="200"/>
  <c r="L61" i="200"/>
  <c r="L60" i="200"/>
  <c r="L59" i="200"/>
  <c r="L57" i="200"/>
  <c r="L55" i="200"/>
  <c r="L51" i="200"/>
  <c r="L50" i="200"/>
  <c r="L49" i="200"/>
  <c r="L48" i="200"/>
  <c r="L44" i="200"/>
  <c r="L42" i="200"/>
  <c r="L41" i="200"/>
  <c r="L40" i="200"/>
  <c r="L38" i="200"/>
  <c r="L31" i="200"/>
  <c r="L30" i="200"/>
  <c r="L28" i="200"/>
  <c r="L26" i="200"/>
  <c r="L64" i="65"/>
  <c r="L63" i="65"/>
  <c r="L62" i="65"/>
  <c r="L61" i="65"/>
  <c r="L60" i="65"/>
  <c r="L59" i="65"/>
  <c r="L58" i="65"/>
  <c r="L57" i="65"/>
  <c r="L56" i="65"/>
  <c r="L55" i="65"/>
  <c r="L54" i="65"/>
  <c r="L51" i="65"/>
  <c r="L50" i="65"/>
  <c r="L49" i="65"/>
  <c r="L48" i="65"/>
  <c r="L47" i="65"/>
  <c r="L46" i="65"/>
  <c r="L45" i="65"/>
  <c r="L44" i="65"/>
  <c r="L43" i="65"/>
  <c r="L42" i="65"/>
  <c r="L41" i="65"/>
  <c r="L40" i="65"/>
  <c r="L39" i="65"/>
  <c r="L38" i="65"/>
  <c r="L37" i="65"/>
  <c r="L36" i="65"/>
  <c r="L35" i="65"/>
  <c r="L34" i="65"/>
  <c r="L31" i="65"/>
  <c r="L30" i="65"/>
  <c r="L29" i="65"/>
  <c r="L28" i="65"/>
  <c r="L27" i="65"/>
  <c r="L26" i="65"/>
  <c r="L25" i="65"/>
  <c r="L18" i="65"/>
  <c r="L17" i="65"/>
  <c r="L16" i="65"/>
  <c r="L15" i="65"/>
  <c r="L63" i="108"/>
  <c r="L62" i="108"/>
  <c r="L61" i="108"/>
  <c r="L59" i="108"/>
  <c r="L58" i="108"/>
  <c r="L57" i="108"/>
  <c r="L55" i="108"/>
  <c r="L51" i="108"/>
  <c r="L50" i="108"/>
  <c r="L48" i="108"/>
  <c r="L46" i="108"/>
  <c r="L42" i="108"/>
  <c r="L40" i="108"/>
  <c r="L37" i="108"/>
  <c r="L31" i="108"/>
  <c r="L30" i="108"/>
  <c r="L29" i="108"/>
  <c r="L28" i="108"/>
  <c r="L26" i="108"/>
  <c r="L25" i="108"/>
  <c r="L63" i="109"/>
  <c r="L62" i="109"/>
  <c r="L60" i="109"/>
  <c r="L59" i="109"/>
  <c r="L58" i="109"/>
  <c r="L57" i="109"/>
  <c r="L56" i="109"/>
  <c r="L55" i="109"/>
  <c r="L54" i="109"/>
  <c r="L51" i="109"/>
  <c r="L50" i="109"/>
  <c r="L48" i="109"/>
  <c r="L46" i="109"/>
  <c r="L44" i="109"/>
  <c r="L42" i="109"/>
  <c r="L41" i="109"/>
  <c r="L40" i="109"/>
  <c r="L37" i="109"/>
  <c r="L34" i="109"/>
  <c r="L31" i="109"/>
  <c r="L29" i="109"/>
  <c r="L28" i="109"/>
  <c r="L26" i="109"/>
  <c r="L64" i="110"/>
  <c r="L63" i="110"/>
  <c r="L62" i="110"/>
  <c r="L61" i="110"/>
  <c r="L60" i="110"/>
  <c r="L59" i="110"/>
  <c r="L58" i="110"/>
  <c r="L57" i="110"/>
  <c r="L55" i="110"/>
  <c r="L51" i="110"/>
  <c r="L50" i="110"/>
  <c r="L48" i="110"/>
  <c r="L46" i="110"/>
  <c r="L44" i="110"/>
  <c r="L42" i="110"/>
  <c r="L41" i="110"/>
  <c r="L40" i="110"/>
  <c r="L38" i="110"/>
  <c r="L37" i="110"/>
  <c r="L31" i="110"/>
  <c r="L30" i="110"/>
  <c r="L29" i="110"/>
  <c r="L28" i="110"/>
  <c r="L26" i="110"/>
  <c r="L63" i="111"/>
  <c r="L62" i="111"/>
  <c r="L61" i="111"/>
  <c r="L60" i="111"/>
  <c r="L59" i="111"/>
  <c r="L58" i="111"/>
  <c r="L57" i="111"/>
  <c r="L55" i="111"/>
  <c r="L51" i="111"/>
  <c r="L50" i="111"/>
  <c r="L48" i="111"/>
  <c r="L47" i="111"/>
  <c r="L44" i="111"/>
  <c r="L40" i="111"/>
  <c r="L37" i="111"/>
  <c r="L35" i="111"/>
  <c r="L34" i="111"/>
  <c r="L31" i="111"/>
  <c r="L29" i="111"/>
  <c r="L28" i="111"/>
  <c r="L26" i="111"/>
  <c r="L64" i="91"/>
  <c r="L63" i="91"/>
  <c r="L62" i="91"/>
  <c r="L61" i="91"/>
  <c r="L60" i="91"/>
  <c r="L59" i="91"/>
  <c r="L58" i="91"/>
  <c r="L57" i="91"/>
  <c r="L55" i="91"/>
  <c r="L51" i="91"/>
  <c r="L50" i="91"/>
  <c r="L48" i="91"/>
  <c r="L44" i="91"/>
  <c r="L42" i="91"/>
  <c r="L40" i="91"/>
  <c r="L38" i="91"/>
  <c r="L37" i="91"/>
  <c r="L35" i="91"/>
  <c r="L34" i="91"/>
  <c r="L31" i="91"/>
  <c r="L29" i="91"/>
  <c r="L28" i="91"/>
  <c r="L26" i="91"/>
  <c r="L63" i="93"/>
  <c r="L62" i="93"/>
  <c r="L61" i="93"/>
  <c r="L60" i="93"/>
  <c r="L59" i="93"/>
  <c r="L58" i="93"/>
  <c r="L57" i="93"/>
  <c r="L55" i="93"/>
  <c r="L54" i="93"/>
  <c r="L51" i="93"/>
  <c r="L50" i="93"/>
  <c r="L48" i="93"/>
  <c r="L47" i="93"/>
  <c r="L44" i="93"/>
  <c r="L42" i="93"/>
  <c r="L40" i="93"/>
  <c r="L37" i="93"/>
  <c r="L34" i="93"/>
  <c r="L31" i="93"/>
  <c r="L30" i="93"/>
  <c r="L29" i="93"/>
  <c r="L28" i="93"/>
  <c r="L27" i="93"/>
  <c r="L26" i="93"/>
  <c r="L25" i="93"/>
  <c r="L64" i="94"/>
  <c r="L63" i="94"/>
  <c r="L62" i="94"/>
  <c r="L61" i="94"/>
  <c r="L60" i="94"/>
  <c r="L59" i="94"/>
  <c r="L58" i="94"/>
  <c r="L57" i="94"/>
  <c r="L55" i="94"/>
  <c r="L51" i="94"/>
  <c r="L49" i="94"/>
  <c r="L48" i="94"/>
  <c r="L47" i="94"/>
  <c r="L46" i="94"/>
  <c r="L44" i="94"/>
  <c r="L42" i="94"/>
  <c r="L41" i="94"/>
  <c r="L40" i="94"/>
  <c r="L37" i="94"/>
  <c r="L35" i="94"/>
  <c r="L34" i="94"/>
  <c r="L31" i="94"/>
  <c r="L29" i="94"/>
  <c r="L28" i="94"/>
  <c r="K64" i="94"/>
  <c r="K63" i="94"/>
  <c r="K62" i="94"/>
  <c r="K59" i="94"/>
  <c r="K58" i="94"/>
  <c r="K57" i="94"/>
  <c r="K56" i="94"/>
  <c r="K55" i="94"/>
  <c r="K54" i="94"/>
  <c r="K51" i="94"/>
  <c r="K50" i="94"/>
  <c r="K46" i="94"/>
  <c r="K41" i="94"/>
  <c r="K40" i="94"/>
  <c r="K37" i="94"/>
  <c r="K34" i="94"/>
  <c r="K31" i="94"/>
  <c r="K30" i="94"/>
  <c r="K29" i="94"/>
  <c r="K28" i="94"/>
  <c r="K26" i="94"/>
  <c r="K64" i="97"/>
  <c r="K63" i="97"/>
  <c r="K62" i="97"/>
  <c r="K61" i="97"/>
  <c r="K60" i="97"/>
  <c r="K59" i="97"/>
  <c r="K58" i="97"/>
  <c r="K57" i="97"/>
  <c r="K55" i="97"/>
  <c r="K54" i="97"/>
  <c r="K51" i="97"/>
  <c r="K50" i="97"/>
  <c r="K49" i="97"/>
  <c r="K48" i="97"/>
  <c r="K46" i="97"/>
  <c r="K44" i="97"/>
  <c r="K40" i="97"/>
  <c r="K34" i="97"/>
  <c r="K31" i="97"/>
  <c r="K30" i="97"/>
  <c r="K29" i="97"/>
  <c r="K28" i="97"/>
  <c r="K26" i="97"/>
  <c r="K63" i="131"/>
  <c r="K62" i="131"/>
  <c r="K61" i="131"/>
  <c r="K59" i="131"/>
  <c r="K58" i="131"/>
  <c r="K57" i="131"/>
  <c r="K55" i="131"/>
  <c r="K50" i="131"/>
  <c r="K48" i="131"/>
  <c r="K46" i="131"/>
  <c r="K42" i="131"/>
  <c r="K40" i="131"/>
  <c r="K38" i="131"/>
  <c r="K34" i="131"/>
  <c r="K31" i="131"/>
  <c r="K29" i="131"/>
  <c r="K28" i="131"/>
  <c r="K64" i="132"/>
  <c r="K63" i="132"/>
  <c r="K62" i="132"/>
  <c r="K61" i="132"/>
  <c r="K60" i="132"/>
  <c r="K59" i="132"/>
  <c r="K58" i="132"/>
  <c r="K57" i="132"/>
  <c r="K55" i="132"/>
  <c r="K51" i="132"/>
  <c r="K50" i="132"/>
  <c r="K49" i="132"/>
  <c r="K48" i="132"/>
  <c r="K46" i="132"/>
  <c r="K44" i="132"/>
  <c r="K42" i="132"/>
  <c r="K40" i="132"/>
  <c r="K37" i="132"/>
  <c r="K34" i="132"/>
  <c r="K31" i="132"/>
  <c r="K29" i="132"/>
  <c r="K28" i="132"/>
  <c r="K63" i="81"/>
  <c r="K62" i="81"/>
  <c r="K61" i="81"/>
  <c r="K59" i="81"/>
  <c r="K58" i="81"/>
  <c r="K57" i="81"/>
  <c r="K55" i="81"/>
  <c r="K51" i="81"/>
  <c r="K48" i="81"/>
  <c r="K47" i="81"/>
  <c r="K46" i="81"/>
  <c r="K44" i="81"/>
  <c r="K42" i="81"/>
  <c r="K40" i="81"/>
  <c r="K34" i="81"/>
  <c r="K31" i="81"/>
  <c r="K29" i="81"/>
  <c r="K28" i="81"/>
  <c r="K26" i="81"/>
  <c r="K62" i="82"/>
  <c r="K61" i="82"/>
  <c r="K60" i="82"/>
  <c r="K59" i="82"/>
  <c r="K58" i="82"/>
  <c r="K57" i="82"/>
  <c r="K55" i="82"/>
  <c r="K51" i="82"/>
  <c r="K50" i="82"/>
  <c r="K49" i="82"/>
  <c r="K48" i="82"/>
  <c r="K46" i="82"/>
  <c r="K44" i="82"/>
  <c r="K42" i="82"/>
  <c r="K40" i="82"/>
  <c r="K34" i="82"/>
  <c r="K31" i="82"/>
  <c r="K30" i="82"/>
  <c r="K29" i="82"/>
  <c r="K28" i="82"/>
  <c r="K26" i="82"/>
  <c r="K64" i="83"/>
  <c r="K63" i="83"/>
  <c r="K62" i="83"/>
  <c r="K61" i="83"/>
  <c r="K60" i="83"/>
  <c r="K59" i="83"/>
  <c r="K58" i="83"/>
  <c r="K57" i="83"/>
  <c r="K56" i="83"/>
  <c r="K55" i="83"/>
  <c r="K54" i="83"/>
  <c r="K51" i="83"/>
  <c r="K50" i="83"/>
  <c r="K49" i="83"/>
  <c r="K48" i="83"/>
  <c r="K47" i="83"/>
  <c r="K46" i="83"/>
  <c r="K44" i="83"/>
  <c r="K42" i="83"/>
  <c r="K41" i="83"/>
  <c r="K40" i="83"/>
  <c r="K37" i="83"/>
  <c r="K35" i="83"/>
  <c r="K31" i="83"/>
  <c r="K30" i="83"/>
  <c r="K29" i="83"/>
  <c r="K28" i="83"/>
  <c r="K26" i="83"/>
  <c r="K64" i="84"/>
  <c r="K63" i="84"/>
  <c r="K62" i="84"/>
  <c r="K61" i="84"/>
  <c r="K60" i="84"/>
  <c r="K59" i="84"/>
  <c r="K58" i="84"/>
  <c r="K57" i="84"/>
  <c r="K56" i="84"/>
  <c r="K55" i="84"/>
  <c r="K51" i="84"/>
  <c r="K50" i="84"/>
  <c r="K48" i="84"/>
  <c r="K46" i="84"/>
  <c r="K44" i="84"/>
  <c r="K42" i="84"/>
  <c r="K40" i="84"/>
  <c r="K37" i="84"/>
  <c r="K35" i="84"/>
  <c r="K34" i="84"/>
  <c r="K31" i="84"/>
  <c r="K29" i="84"/>
  <c r="K28" i="84"/>
  <c r="K26" i="84"/>
  <c r="K64" i="85"/>
  <c r="K63" i="85"/>
  <c r="K62" i="85"/>
  <c r="K61" i="85"/>
  <c r="K60" i="85"/>
  <c r="K59" i="85"/>
  <c r="K58" i="85"/>
  <c r="K57" i="85"/>
  <c r="K56" i="85"/>
  <c r="K55" i="85"/>
  <c r="K54" i="85"/>
  <c r="K51" i="85"/>
  <c r="K50" i="85"/>
  <c r="K49" i="85"/>
  <c r="K48" i="85"/>
  <c r="K47" i="85"/>
  <c r="K46" i="85"/>
  <c r="K45" i="85"/>
  <c r="K44" i="85"/>
  <c r="K42" i="85"/>
  <c r="K41" i="85"/>
  <c r="K40" i="85"/>
  <c r="K39" i="85"/>
  <c r="K38" i="85"/>
  <c r="K37" i="85"/>
  <c r="K36" i="85"/>
  <c r="K35" i="85"/>
  <c r="K34" i="85"/>
  <c r="K31" i="85"/>
  <c r="K30" i="85"/>
  <c r="K29" i="85"/>
  <c r="K28" i="85"/>
  <c r="K26" i="85"/>
  <c r="K25" i="85"/>
  <c r="K64" i="120"/>
  <c r="K63" i="120"/>
  <c r="K62" i="120"/>
  <c r="K61" i="120"/>
  <c r="K60" i="120"/>
  <c r="K59" i="120"/>
  <c r="K58" i="120"/>
  <c r="K57" i="120"/>
  <c r="K56" i="120"/>
  <c r="K55" i="120"/>
  <c r="K54" i="120"/>
  <c r="K51" i="120"/>
  <c r="K50" i="120"/>
  <c r="K49" i="120"/>
  <c r="K48" i="120"/>
  <c r="K47" i="120"/>
  <c r="K46" i="120"/>
  <c r="K45" i="120"/>
  <c r="K44" i="120"/>
  <c r="K43" i="120"/>
  <c r="K42" i="120"/>
  <c r="K41" i="120"/>
  <c r="K40" i="120"/>
  <c r="K39" i="120"/>
  <c r="K38" i="120"/>
  <c r="K37" i="120"/>
  <c r="K36" i="120"/>
  <c r="K35" i="120"/>
  <c r="K34" i="120"/>
  <c r="K31" i="120"/>
  <c r="K30" i="120"/>
  <c r="K29" i="120"/>
  <c r="K28" i="120"/>
  <c r="K27" i="120"/>
  <c r="K26" i="120"/>
  <c r="K25" i="120"/>
  <c r="K18" i="120"/>
  <c r="K17" i="120"/>
  <c r="K16" i="120"/>
  <c r="K15" i="120"/>
  <c r="K64" i="121"/>
  <c r="K63" i="121"/>
  <c r="K62" i="121"/>
  <c r="K61" i="121"/>
  <c r="K60" i="121"/>
  <c r="K59" i="121"/>
  <c r="K58" i="121"/>
  <c r="K57" i="121"/>
  <c r="K56" i="121"/>
  <c r="K55" i="121"/>
  <c r="K54" i="121"/>
  <c r="K51" i="121"/>
  <c r="K50" i="121"/>
  <c r="K49" i="121"/>
  <c r="K48" i="121"/>
  <c r="K46" i="121"/>
  <c r="K44" i="121"/>
  <c r="K43" i="121"/>
  <c r="K42" i="121"/>
  <c r="K41" i="121"/>
  <c r="K40" i="121"/>
  <c r="K38" i="121"/>
  <c r="K37" i="121"/>
  <c r="K35" i="121"/>
  <c r="K34" i="121"/>
  <c r="K31" i="121"/>
  <c r="K29" i="121"/>
  <c r="K28" i="121"/>
  <c r="K26" i="121"/>
  <c r="K64" i="122"/>
  <c r="K63" i="122"/>
  <c r="K62" i="122"/>
  <c r="K61" i="122"/>
  <c r="K60" i="122"/>
  <c r="K59" i="122"/>
  <c r="K58" i="122"/>
  <c r="K57" i="122"/>
  <c r="K56" i="122"/>
  <c r="K55" i="122"/>
  <c r="K54" i="122"/>
  <c r="K51" i="122"/>
  <c r="K50" i="122"/>
  <c r="K49" i="122"/>
  <c r="K48" i="122"/>
  <c r="K47" i="122"/>
  <c r="K46" i="122"/>
  <c r="K44" i="122"/>
  <c r="K43" i="122"/>
  <c r="K42" i="122"/>
  <c r="K41" i="122"/>
  <c r="K40" i="122"/>
  <c r="K37" i="122"/>
  <c r="K35" i="122"/>
  <c r="K34" i="122"/>
  <c r="K31" i="122"/>
  <c r="K29" i="122"/>
  <c r="K28" i="122"/>
  <c r="K26" i="122"/>
  <c r="K25" i="122"/>
  <c r="K63" i="133"/>
  <c r="K62" i="133"/>
  <c r="K61" i="133"/>
  <c r="K60" i="133"/>
  <c r="K59" i="133"/>
  <c r="K58" i="133"/>
  <c r="K57" i="133"/>
  <c r="K55" i="133"/>
  <c r="K50" i="133"/>
  <c r="K49" i="133"/>
  <c r="K48" i="133"/>
  <c r="K46" i="133"/>
  <c r="K44" i="133"/>
  <c r="K43" i="133"/>
  <c r="K42" i="133"/>
  <c r="K41" i="133"/>
  <c r="K40" i="133"/>
  <c r="K38" i="133"/>
  <c r="K35" i="133"/>
  <c r="K34" i="133"/>
  <c r="K31" i="133"/>
  <c r="K30" i="133"/>
  <c r="K29" i="133"/>
  <c r="K28" i="133"/>
  <c r="K26" i="133"/>
  <c r="K63" i="86"/>
  <c r="K61" i="86"/>
  <c r="K60" i="86"/>
  <c r="K59" i="86"/>
  <c r="K58" i="86"/>
  <c r="K57" i="86"/>
  <c r="K56" i="86"/>
  <c r="K55" i="86"/>
  <c r="K54" i="86"/>
  <c r="K51" i="86"/>
  <c r="K50" i="86"/>
  <c r="K49" i="86"/>
  <c r="K48" i="86"/>
  <c r="K46" i="86"/>
  <c r="K44" i="86"/>
  <c r="K42" i="86"/>
  <c r="K40" i="86"/>
  <c r="K35" i="86"/>
  <c r="K34" i="86"/>
  <c r="K31" i="86"/>
  <c r="K29" i="86"/>
  <c r="K28" i="86"/>
  <c r="K26" i="86"/>
  <c r="K64" i="123"/>
  <c r="K63" i="123"/>
  <c r="K62" i="123"/>
  <c r="K61" i="123"/>
  <c r="K60" i="123"/>
  <c r="K59" i="123"/>
  <c r="K58" i="123"/>
  <c r="K57" i="123"/>
  <c r="K56" i="123"/>
  <c r="K55" i="123"/>
  <c r="K54" i="123"/>
  <c r="K51" i="123"/>
  <c r="K50" i="123"/>
  <c r="K49" i="123"/>
  <c r="K48" i="123"/>
  <c r="K46" i="123"/>
  <c r="K44" i="123"/>
  <c r="K43" i="123"/>
  <c r="K42" i="123"/>
  <c r="K41" i="123"/>
  <c r="K40" i="123"/>
  <c r="K39" i="123"/>
  <c r="K38" i="123"/>
  <c r="K37" i="123"/>
  <c r="K34" i="123"/>
  <c r="K31" i="123"/>
  <c r="K30" i="123"/>
  <c r="K29" i="123"/>
  <c r="K28" i="123"/>
  <c r="K26" i="123"/>
  <c r="K64" i="141"/>
  <c r="K63" i="141"/>
  <c r="K62" i="141"/>
  <c r="K61" i="141"/>
  <c r="K60" i="141"/>
  <c r="K59" i="141"/>
  <c r="K58" i="141"/>
  <c r="K57" i="141"/>
  <c r="K55" i="141"/>
  <c r="K51" i="141"/>
  <c r="K50" i="141"/>
  <c r="K46" i="141"/>
  <c r="K44" i="141"/>
  <c r="K43" i="141"/>
  <c r="K42" i="141"/>
  <c r="K40" i="141"/>
  <c r="K37" i="141"/>
  <c r="K34" i="141"/>
  <c r="K31" i="141"/>
  <c r="K30" i="141"/>
  <c r="K29" i="141"/>
  <c r="K28" i="141"/>
  <c r="K26" i="141"/>
  <c r="K64" i="178"/>
  <c r="K63" i="178"/>
  <c r="K62" i="178"/>
  <c r="K61" i="178"/>
  <c r="K60" i="178"/>
  <c r="K59" i="178"/>
  <c r="K58" i="178"/>
  <c r="K57" i="178"/>
  <c r="K55" i="178"/>
  <c r="K51" i="178"/>
  <c r="K50" i="178"/>
  <c r="K49" i="178"/>
  <c r="K48" i="178"/>
  <c r="K47" i="178"/>
  <c r="K46" i="178"/>
  <c r="K44" i="178"/>
  <c r="K42" i="178"/>
  <c r="K41" i="178"/>
  <c r="K40" i="178"/>
  <c r="K37" i="178"/>
  <c r="K34" i="178"/>
  <c r="K31" i="178"/>
  <c r="K29" i="178"/>
  <c r="K28" i="178"/>
  <c r="K26" i="178"/>
  <c r="K63" i="179"/>
  <c r="K62" i="179"/>
  <c r="K61" i="179"/>
  <c r="K60" i="179"/>
  <c r="K59" i="179"/>
  <c r="K58" i="179"/>
  <c r="K57" i="179"/>
  <c r="K55" i="179"/>
  <c r="K54" i="179"/>
  <c r="K51" i="179"/>
  <c r="K50" i="179"/>
  <c r="K49" i="179"/>
  <c r="K48" i="179"/>
  <c r="K46" i="179"/>
  <c r="K44" i="179"/>
  <c r="K42" i="179"/>
  <c r="K41" i="179"/>
  <c r="K40" i="179"/>
  <c r="K38" i="179"/>
  <c r="K37" i="179"/>
  <c r="K34" i="179"/>
  <c r="K31" i="179"/>
  <c r="K30" i="179"/>
  <c r="K29" i="179"/>
  <c r="K28" i="179"/>
  <c r="K26" i="179"/>
  <c r="K64" i="180"/>
  <c r="K63" i="180"/>
  <c r="K62" i="180"/>
  <c r="K61" i="180"/>
  <c r="K60" i="180"/>
  <c r="K59" i="180"/>
  <c r="K58" i="180"/>
  <c r="K57" i="180"/>
  <c r="K56" i="180"/>
  <c r="K55" i="180"/>
  <c r="K54" i="180"/>
  <c r="K51" i="180"/>
  <c r="K49" i="180"/>
  <c r="K48" i="180"/>
  <c r="K46" i="180"/>
  <c r="K42" i="180"/>
  <c r="K41" i="180"/>
  <c r="K40" i="180"/>
  <c r="K35" i="180"/>
  <c r="K34" i="180"/>
  <c r="K31" i="180"/>
  <c r="K30" i="180"/>
  <c r="K28" i="180"/>
  <c r="K26" i="180"/>
  <c r="K64" i="181"/>
  <c r="K63" i="181"/>
  <c r="K62" i="181"/>
  <c r="K61" i="181"/>
  <c r="K60" i="181"/>
  <c r="K59" i="181"/>
  <c r="K58" i="181"/>
  <c r="K57" i="181"/>
  <c r="K56" i="181"/>
  <c r="K55" i="181"/>
  <c r="K54" i="181"/>
  <c r="K51" i="181"/>
  <c r="K50" i="181"/>
  <c r="K49" i="181"/>
  <c r="K48" i="181"/>
  <c r="K47" i="181"/>
  <c r="K46" i="181"/>
  <c r="K45" i="181"/>
  <c r="K44" i="181"/>
  <c r="K43" i="181"/>
  <c r="K42" i="181"/>
  <c r="K41" i="181"/>
  <c r="K40" i="181"/>
  <c r="K39" i="181"/>
  <c r="K38" i="181"/>
  <c r="K37" i="181"/>
  <c r="K36" i="181"/>
  <c r="K35" i="181"/>
  <c r="K34" i="181"/>
  <c r="K31" i="181"/>
  <c r="K30" i="181"/>
  <c r="K29" i="181"/>
  <c r="K28" i="181"/>
  <c r="K27" i="181"/>
  <c r="K26" i="181"/>
  <c r="K25" i="181"/>
  <c r="K18" i="181"/>
  <c r="K17" i="181"/>
  <c r="K16" i="181"/>
  <c r="K15" i="181"/>
  <c r="K64" i="182"/>
  <c r="K63" i="182"/>
  <c r="K62" i="182"/>
  <c r="K61" i="182"/>
  <c r="K60" i="182"/>
  <c r="K59" i="182"/>
  <c r="K58" i="182"/>
  <c r="K57" i="182"/>
  <c r="K56" i="182"/>
  <c r="K55" i="182"/>
  <c r="K54" i="182"/>
  <c r="K51" i="182"/>
  <c r="K50" i="182"/>
  <c r="K49" i="182"/>
  <c r="K48" i="182"/>
  <c r="K47" i="182"/>
  <c r="K46" i="182"/>
  <c r="K45" i="182"/>
  <c r="K44" i="182"/>
  <c r="K43" i="182"/>
  <c r="K42" i="182"/>
  <c r="K41" i="182"/>
  <c r="K40" i="182"/>
  <c r="K39" i="182"/>
  <c r="K38" i="182"/>
  <c r="K37" i="182"/>
  <c r="K36" i="182"/>
  <c r="K35" i="182"/>
  <c r="K34" i="182"/>
  <c r="K31" i="182"/>
  <c r="K30" i="182"/>
  <c r="K29" i="182"/>
  <c r="K28" i="182"/>
  <c r="K27" i="182"/>
  <c r="K26" i="182"/>
  <c r="K25" i="182"/>
  <c r="K18" i="182"/>
  <c r="K17" i="182"/>
  <c r="K16" i="182"/>
  <c r="K15" i="182"/>
  <c r="K63" i="183"/>
  <c r="K62" i="183"/>
  <c r="K61" i="183"/>
  <c r="K60" i="183"/>
  <c r="K59" i="183"/>
  <c r="K55" i="183"/>
  <c r="K51" i="183"/>
  <c r="K48" i="183"/>
  <c r="K46" i="183"/>
  <c r="K42" i="183"/>
  <c r="K40" i="183"/>
  <c r="K38" i="183"/>
  <c r="K31" i="183"/>
  <c r="K28" i="183"/>
  <c r="K26" i="183"/>
  <c r="K25" i="183"/>
  <c r="K64" i="184"/>
  <c r="K63" i="184"/>
  <c r="K62" i="184"/>
  <c r="K61" i="184"/>
  <c r="K60" i="184"/>
  <c r="K59" i="184"/>
  <c r="K58" i="184"/>
  <c r="K57" i="184"/>
  <c r="K56" i="184"/>
  <c r="K55" i="184"/>
  <c r="K54" i="184"/>
  <c r="K51" i="184"/>
  <c r="K50" i="184"/>
  <c r="K49" i="184"/>
  <c r="K48" i="184"/>
  <c r="K47" i="184"/>
  <c r="K46" i="184"/>
  <c r="K45" i="184"/>
  <c r="K44" i="184"/>
  <c r="K43" i="184"/>
  <c r="K42" i="184"/>
  <c r="K41" i="184"/>
  <c r="K40" i="184"/>
  <c r="K39" i="184"/>
  <c r="K38" i="184"/>
  <c r="K37" i="184"/>
  <c r="K36" i="184"/>
  <c r="K35" i="184"/>
  <c r="K34" i="184"/>
  <c r="K31" i="184"/>
  <c r="K30" i="184"/>
  <c r="K29" i="184"/>
  <c r="K28" i="184"/>
  <c r="K27" i="184"/>
  <c r="K26" i="184"/>
  <c r="K25" i="184"/>
  <c r="K18" i="184"/>
  <c r="K17" i="184"/>
  <c r="K16" i="184"/>
  <c r="K15" i="184"/>
  <c r="K64" i="185"/>
  <c r="K63" i="185"/>
  <c r="K62" i="185"/>
  <c r="K60" i="185"/>
  <c r="K59" i="185"/>
  <c r="K58" i="185"/>
  <c r="K57" i="185"/>
  <c r="K56" i="185"/>
  <c r="K55" i="185"/>
  <c r="K51" i="185"/>
  <c r="K50" i="185"/>
  <c r="K49" i="185"/>
  <c r="K48" i="185"/>
  <c r="K46" i="185"/>
  <c r="K42" i="185"/>
  <c r="K40" i="185"/>
  <c r="K37" i="185"/>
  <c r="K35" i="185"/>
  <c r="K34" i="185"/>
  <c r="K31" i="185"/>
  <c r="K30" i="185"/>
  <c r="K29" i="185"/>
  <c r="K28" i="185"/>
  <c r="K26" i="185"/>
  <c r="K63" i="186"/>
  <c r="K62" i="186"/>
  <c r="K61" i="186"/>
  <c r="K60" i="186"/>
  <c r="K59" i="186"/>
  <c r="K58" i="186"/>
  <c r="K57" i="186"/>
  <c r="K55" i="186"/>
  <c r="K51" i="186"/>
  <c r="K50" i="186"/>
  <c r="K49" i="186"/>
  <c r="K48" i="186"/>
  <c r="K46" i="186"/>
  <c r="K44" i="186"/>
  <c r="K41" i="186"/>
  <c r="K40" i="186"/>
  <c r="K38" i="186"/>
  <c r="K37" i="186"/>
  <c r="K31" i="186"/>
  <c r="K29" i="186"/>
  <c r="K28" i="186"/>
  <c r="K64" i="187"/>
  <c r="K63" i="187"/>
  <c r="K62" i="187"/>
  <c r="K61" i="187"/>
  <c r="K60" i="187"/>
  <c r="K59" i="187"/>
  <c r="K58" i="187"/>
  <c r="K57" i="187"/>
  <c r="K56" i="187"/>
  <c r="K55" i="187"/>
  <c r="K54" i="187"/>
  <c r="K51" i="187"/>
  <c r="K50" i="187"/>
  <c r="K49" i="187"/>
  <c r="K48" i="187"/>
  <c r="K47" i="187"/>
  <c r="K46" i="187"/>
  <c r="K45" i="187"/>
  <c r="K44" i="187"/>
  <c r="K43" i="187"/>
  <c r="K42" i="187"/>
  <c r="K41" i="187"/>
  <c r="K40" i="187"/>
  <c r="K39" i="187"/>
  <c r="K38" i="187"/>
  <c r="K37" i="187"/>
  <c r="K36" i="187"/>
  <c r="K35" i="187"/>
  <c r="K34" i="187"/>
  <c r="K31" i="187"/>
  <c r="K30" i="187"/>
  <c r="K29" i="187"/>
  <c r="K28" i="187"/>
  <c r="K27" i="187"/>
  <c r="K26" i="187"/>
  <c r="K25" i="187"/>
  <c r="K18" i="187"/>
  <c r="K17" i="187"/>
  <c r="K16" i="187"/>
  <c r="K15" i="187"/>
  <c r="K64" i="188"/>
  <c r="K63" i="188"/>
  <c r="K62" i="188"/>
  <c r="K61" i="188"/>
  <c r="K60" i="188"/>
  <c r="K59" i="188"/>
  <c r="K58" i="188"/>
  <c r="K57" i="188"/>
  <c r="K56" i="188"/>
  <c r="K55" i="188"/>
  <c r="K54" i="188"/>
  <c r="K51" i="188"/>
  <c r="K50" i="188"/>
  <c r="K49" i="188"/>
  <c r="K48" i="188"/>
  <c r="K47" i="188"/>
  <c r="K46" i="188"/>
  <c r="K45" i="188"/>
  <c r="K44" i="188"/>
  <c r="K43" i="188"/>
  <c r="K42" i="188"/>
  <c r="K41" i="188"/>
  <c r="K40" i="188"/>
  <c r="K39" i="188"/>
  <c r="K38" i="188"/>
  <c r="K37" i="188"/>
  <c r="K36" i="188"/>
  <c r="K35" i="188"/>
  <c r="K34" i="188"/>
  <c r="K31" i="188"/>
  <c r="K30" i="188"/>
  <c r="K29" i="188"/>
  <c r="K28" i="188"/>
  <c r="K27" i="188"/>
  <c r="K26" i="188"/>
  <c r="K25" i="188"/>
  <c r="K18" i="188"/>
  <c r="K17" i="188"/>
  <c r="K16" i="188"/>
  <c r="K15" i="188"/>
  <c r="K64" i="189"/>
  <c r="K63" i="189"/>
  <c r="K62" i="189"/>
  <c r="K61" i="189"/>
  <c r="K60" i="189"/>
  <c r="K59" i="189"/>
  <c r="K58" i="189"/>
  <c r="K57" i="189"/>
  <c r="K56" i="189"/>
  <c r="K55" i="189"/>
  <c r="K54" i="189"/>
  <c r="K51" i="189"/>
  <c r="K50" i="189"/>
  <c r="K49" i="189"/>
  <c r="K48" i="189"/>
  <c r="K47" i="189"/>
  <c r="K46" i="189"/>
  <c r="K45" i="189"/>
  <c r="K44" i="189"/>
  <c r="K43" i="189"/>
  <c r="K42" i="189"/>
  <c r="K41" i="189"/>
  <c r="K40" i="189"/>
  <c r="K39" i="189"/>
  <c r="K38" i="189"/>
  <c r="K37" i="189"/>
  <c r="K36" i="189"/>
  <c r="K35" i="189"/>
  <c r="K34" i="189"/>
  <c r="K31" i="189"/>
  <c r="K30" i="189"/>
  <c r="K29" i="189"/>
  <c r="K28" i="189"/>
  <c r="K27" i="189"/>
  <c r="K26" i="189"/>
  <c r="K25" i="189"/>
  <c r="K18" i="189"/>
  <c r="K17" i="189"/>
  <c r="K16" i="189"/>
  <c r="K15" i="189"/>
  <c r="K64" i="190"/>
  <c r="K63" i="190"/>
  <c r="K62" i="190"/>
  <c r="K61" i="190"/>
  <c r="K59" i="190"/>
  <c r="K58" i="190"/>
  <c r="K57" i="190"/>
  <c r="K56" i="190"/>
  <c r="K55" i="190"/>
  <c r="K54" i="190"/>
  <c r="K51" i="190"/>
  <c r="K50" i="190"/>
  <c r="K49" i="190"/>
  <c r="K48" i="190"/>
  <c r="K47" i="190"/>
  <c r="K46" i="190"/>
  <c r="K44" i="190"/>
  <c r="K42" i="190"/>
  <c r="K41" i="190"/>
  <c r="K40" i="190"/>
  <c r="K38" i="190"/>
  <c r="K37" i="190"/>
  <c r="K36" i="190"/>
  <c r="K34" i="190"/>
  <c r="K31" i="190"/>
  <c r="K30" i="190"/>
  <c r="K29" i="190"/>
  <c r="K28" i="190"/>
  <c r="K27" i="190"/>
  <c r="K26" i="190"/>
  <c r="K63" i="191"/>
  <c r="K62" i="191"/>
  <c r="K61" i="191"/>
  <c r="K60" i="191"/>
  <c r="K59" i="191"/>
  <c r="K58" i="191"/>
  <c r="K57" i="191"/>
  <c r="K56" i="191"/>
  <c r="K55" i="191"/>
  <c r="K51" i="191"/>
  <c r="K50" i="191"/>
  <c r="K48" i="191"/>
  <c r="K46" i="191"/>
  <c r="K44" i="191"/>
  <c r="K42" i="191"/>
  <c r="K40" i="191"/>
  <c r="K37" i="191"/>
  <c r="K35" i="191"/>
  <c r="K31" i="191"/>
  <c r="K30" i="191"/>
  <c r="K29" i="191"/>
  <c r="K28" i="191"/>
  <c r="K25" i="191"/>
  <c r="K63" i="192"/>
  <c r="K62" i="192"/>
  <c r="K61" i="192"/>
  <c r="K59" i="192"/>
  <c r="K58" i="192"/>
  <c r="K57" i="192"/>
  <c r="K51" i="192"/>
  <c r="K50" i="192"/>
  <c r="K49" i="192"/>
  <c r="K48" i="192"/>
  <c r="K46" i="192"/>
  <c r="K44" i="192"/>
  <c r="K43" i="192"/>
  <c r="K42" i="192"/>
  <c r="K40" i="192"/>
  <c r="K35" i="192"/>
  <c r="K34" i="192"/>
  <c r="K31" i="192"/>
  <c r="K29" i="192"/>
  <c r="K28" i="192"/>
  <c r="K26" i="192"/>
  <c r="K64" i="193"/>
  <c r="K63" i="193"/>
  <c r="K62" i="193"/>
  <c r="K61" i="193"/>
  <c r="K59" i="193"/>
  <c r="K58" i="193"/>
  <c r="K57" i="193"/>
  <c r="K55" i="193"/>
  <c r="K54" i="193"/>
  <c r="K51" i="193"/>
  <c r="K50" i="193"/>
  <c r="K49" i="193"/>
  <c r="K48" i="193"/>
  <c r="K47" i="193"/>
  <c r="K46" i="193"/>
  <c r="K44" i="193"/>
  <c r="K43" i="193"/>
  <c r="K42" i="193"/>
  <c r="K41" i="193"/>
  <c r="K40" i="193"/>
  <c r="K35" i="193"/>
  <c r="K34" i="193"/>
  <c r="K31" i="193"/>
  <c r="K30" i="193"/>
  <c r="K29" i="193"/>
  <c r="K28" i="193"/>
  <c r="K27" i="193"/>
  <c r="K26" i="193"/>
  <c r="K64" i="194"/>
  <c r="K63" i="194"/>
  <c r="K62" i="194"/>
  <c r="K61" i="194"/>
  <c r="K60" i="194"/>
  <c r="K59" i="194"/>
  <c r="K58" i="194"/>
  <c r="K57" i="194"/>
  <c r="K56" i="194"/>
  <c r="K55" i="194"/>
  <c r="K54" i="194"/>
  <c r="K51" i="194"/>
  <c r="K50" i="194"/>
  <c r="K48" i="194"/>
  <c r="K46" i="194"/>
  <c r="K44" i="194"/>
  <c r="K42" i="194"/>
  <c r="K41" i="194"/>
  <c r="K40" i="194"/>
  <c r="K38" i="194"/>
  <c r="K37" i="194"/>
  <c r="K35" i="194"/>
  <c r="K34" i="194"/>
  <c r="K31" i="194"/>
  <c r="K29" i="194"/>
  <c r="K28" i="194"/>
  <c r="K25" i="194"/>
  <c r="K64" i="195"/>
  <c r="K63" i="195"/>
  <c r="K62" i="195"/>
  <c r="K61" i="195"/>
  <c r="K59" i="195"/>
  <c r="K58" i="195"/>
  <c r="K57" i="195"/>
  <c r="K56" i="195"/>
  <c r="K55" i="195"/>
  <c r="K54" i="195"/>
  <c r="K51" i="195"/>
  <c r="K50" i="195"/>
  <c r="K49" i="195"/>
  <c r="K48" i="195"/>
  <c r="K46" i="195"/>
  <c r="K44" i="195"/>
  <c r="K43" i="195"/>
  <c r="K42" i="195"/>
  <c r="K40" i="195"/>
  <c r="K38" i="195"/>
  <c r="K31" i="195"/>
  <c r="K29" i="195"/>
  <c r="K28" i="195"/>
  <c r="K26" i="195"/>
  <c r="K64" i="196"/>
  <c r="K63" i="196"/>
  <c r="K62" i="196"/>
  <c r="K61" i="196"/>
  <c r="K60" i="196"/>
  <c r="K59" i="196"/>
  <c r="K57" i="196"/>
  <c r="K56" i="196"/>
  <c r="K55" i="196"/>
  <c r="K54" i="196"/>
  <c r="K51" i="196"/>
  <c r="K50" i="196"/>
  <c r="K49" i="196"/>
  <c r="K48" i="196"/>
  <c r="K46" i="196"/>
  <c r="K43" i="196"/>
  <c r="K42" i="196"/>
  <c r="K41" i="196"/>
  <c r="K40" i="196"/>
  <c r="K38" i="196"/>
  <c r="K37" i="196"/>
  <c r="K35" i="196"/>
  <c r="K31" i="196"/>
  <c r="K30" i="196"/>
  <c r="K28" i="196"/>
  <c r="K25" i="196"/>
  <c r="K64" i="197"/>
  <c r="K63" i="197"/>
  <c r="K62" i="197"/>
  <c r="K60" i="197"/>
  <c r="K59" i="197"/>
  <c r="K57" i="197"/>
  <c r="K55" i="197"/>
  <c r="K51" i="197"/>
  <c r="K50" i="197"/>
  <c r="K49" i="197"/>
  <c r="K48" i="197"/>
  <c r="K47" i="197"/>
  <c r="K46" i="197"/>
  <c r="K44" i="197"/>
  <c r="K43" i="197"/>
  <c r="K42" i="197"/>
  <c r="K41" i="197"/>
  <c r="K40" i="197"/>
  <c r="K38" i="197"/>
  <c r="K37" i="197"/>
  <c r="K35" i="197"/>
  <c r="K34" i="197"/>
  <c r="K31" i="197"/>
  <c r="K30" i="197"/>
  <c r="K28" i="197"/>
  <c r="K26" i="197"/>
  <c r="K64" i="198"/>
  <c r="K63" i="198"/>
  <c r="K62" i="198"/>
  <c r="K61" i="198"/>
  <c r="K60" i="198"/>
  <c r="K59" i="198"/>
  <c r="K57" i="198"/>
  <c r="K56" i="198"/>
  <c r="K55" i="198"/>
  <c r="K51" i="198"/>
  <c r="K49" i="198"/>
  <c r="K48" i="198"/>
  <c r="K46" i="198"/>
  <c r="K44" i="198"/>
  <c r="K42" i="198"/>
  <c r="K40" i="198"/>
  <c r="K38" i="198"/>
  <c r="K37" i="198"/>
  <c r="K31" i="198"/>
  <c r="K28" i="198"/>
  <c r="K26" i="198"/>
  <c r="K63" i="200"/>
  <c r="K62" i="200"/>
  <c r="K61" i="200"/>
  <c r="K60" i="200"/>
  <c r="K59" i="200"/>
  <c r="K57" i="200"/>
  <c r="K55" i="200"/>
  <c r="K51" i="200"/>
  <c r="K50" i="200"/>
  <c r="K48" i="200"/>
  <c r="K42" i="200"/>
  <c r="K41" i="200"/>
  <c r="K40" i="200"/>
  <c r="K38" i="200"/>
  <c r="K37" i="200"/>
  <c r="K35" i="200"/>
  <c r="K31" i="200"/>
  <c r="K30" i="200"/>
  <c r="K28" i="200"/>
  <c r="K26" i="200"/>
  <c r="K25" i="200"/>
  <c r="K64" i="65"/>
  <c r="K63" i="65"/>
  <c r="K62" i="65"/>
  <c r="K61" i="65"/>
  <c r="K60" i="65"/>
  <c r="K59" i="65"/>
  <c r="K58" i="65"/>
  <c r="K57" i="65"/>
  <c r="K56" i="65"/>
  <c r="K55" i="65"/>
  <c r="K54" i="65"/>
  <c r="K51" i="65"/>
  <c r="K50" i="65"/>
  <c r="K49" i="65"/>
  <c r="K48" i="65"/>
  <c r="K47" i="65"/>
  <c r="K46" i="65"/>
  <c r="K45" i="65"/>
  <c r="K44" i="65"/>
  <c r="K43" i="65"/>
  <c r="K42" i="65"/>
  <c r="K41" i="65"/>
  <c r="K40" i="65"/>
  <c r="K39" i="65"/>
  <c r="K38" i="65"/>
  <c r="K37" i="65"/>
  <c r="K36" i="65"/>
  <c r="K35" i="65"/>
  <c r="K34" i="65"/>
  <c r="K31" i="65"/>
  <c r="K30" i="65"/>
  <c r="K29" i="65"/>
  <c r="K28" i="65"/>
  <c r="K27" i="65"/>
  <c r="K26" i="65"/>
  <c r="K25" i="65"/>
  <c r="K18" i="65"/>
  <c r="K17" i="65"/>
  <c r="K16" i="65"/>
  <c r="K15" i="65"/>
  <c r="K64" i="108"/>
  <c r="K63" i="108"/>
  <c r="K62" i="108"/>
  <c r="K61" i="108"/>
  <c r="K60" i="108"/>
  <c r="K59" i="108"/>
  <c r="K58" i="108"/>
  <c r="K57" i="108"/>
  <c r="K56" i="108"/>
  <c r="K55" i="108"/>
  <c r="K51" i="108"/>
  <c r="K50" i="108"/>
  <c r="K49" i="108"/>
  <c r="K48" i="108"/>
  <c r="K46" i="108"/>
  <c r="K44" i="108"/>
  <c r="K42" i="108"/>
  <c r="K40" i="108"/>
  <c r="K37" i="108"/>
  <c r="K31" i="108"/>
  <c r="K29" i="108"/>
  <c r="K28" i="108"/>
  <c r="K26" i="108"/>
  <c r="K25" i="108"/>
  <c r="K64" i="109"/>
  <c r="K63" i="109"/>
  <c r="K62" i="109"/>
  <c r="K61" i="109"/>
  <c r="K60" i="109"/>
  <c r="K59" i="109"/>
  <c r="K58" i="109"/>
  <c r="K57" i="109"/>
  <c r="K56" i="109"/>
  <c r="K55" i="109"/>
  <c r="K54" i="109"/>
  <c r="K51" i="109"/>
  <c r="K50" i="109"/>
  <c r="K49" i="109"/>
  <c r="K48" i="109"/>
  <c r="K47" i="109"/>
  <c r="K46" i="109"/>
  <c r="K44" i="109"/>
  <c r="K42" i="109"/>
  <c r="K41" i="109"/>
  <c r="K40" i="109"/>
  <c r="K39" i="109"/>
  <c r="K37" i="109"/>
  <c r="K34" i="109"/>
  <c r="K31" i="109"/>
  <c r="K30" i="109"/>
  <c r="K29" i="109"/>
  <c r="K28" i="109"/>
  <c r="K64" i="110"/>
  <c r="K63" i="110"/>
  <c r="K62" i="110"/>
  <c r="K61" i="110"/>
  <c r="K60" i="110"/>
  <c r="K59" i="110"/>
  <c r="K58" i="110"/>
  <c r="K57" i="110"/>
  <c r="K56" i="110"/>
  <c r="K55" i="110"/>
  <c r="K54" i="110"/>
  <c r="K51" i="110"/>
  <c r="K50" i="110"/>
  <c r="K49" i="110"/>
  <c r="K48" i="110"/>
  <c r="K46" i="110"/>
  <c r="K44" i="110"/>
  <c r="K42" i="110"/>
  <c r="K40" i="110"/>
  <c r="K38" i="110"/>
  <c r="K37" i="110"/>
  <c r="K35" i="110"/>
  <c r="K34" i="110"/>
  <c r="K31" i="110"/>
  <c r="K29" i="110"/>
  <c r="K28" i="110"/>
  <c r="K26" i="110"/>
  <c r="K64" i="111"/>
  <c r="K63" i="111"/>
  <c r="K62" i="111"/>
  <c r="K61" i="111"/>
  <c r="K60" i="111"/>
  <c r="K59" i="111"/>
  <c r="K58" i="111"/>
  <c r="K55" i="111"/>
  <c r="K50" i="111"/>
  <c r="K49" i="111"/>
  <c r="K48" i="111"/>
  <c r="K46" i="111"/>
  <c r="K43" i="111"/>
  <c r="K42" i="111"/>
  <c r="K40" i="111"/>
  <c r="K35" i="111"/>
  <c r="K34" i="111"/>
  <c r="K31" i="111"/>
  <c r="K30" i="111"/>
  <c r="K29" i="111"/>
  <c r="K28" i="111"/>
  <c r="K26" i="111"/>
  <c r="K64" i="91"/>
  <c r="K63" i="91"/>
  <c r="K62" i="91"/>
  <c r="K61" i="91"/>
  <c r="K60" i="91"/>
  <c r="K59" i="91"/>
  <c r="K57" i="91"/>
  <c r="K55" i="91"/>
  <c r="K50" i="91"/>
  <c r="K48" i="91"/>
  <c r="K46" i="91"/>
  <c r="K44" i="91"/>
  <c r="K42" i="91"/>
  <c r="K40" i="91"/>
  <c r="K38" i="91"/>
  <c r="K37" i="91"/>
  <c r="K34" i="91"/>
  <c r="K31" i="91"/>
  <c r="K29" i="91"/>
  <c r="K28" i="91"/>
  <c r="K26" i="91"/>
  <c r="K64" i="93"/>
  <c r="K63" i="93"/>
  <c r="K62" i="93"/>
  <c r="K61" i="93"/>
  <c r="K60" i="93"/>
  <c r="K59" i="93"/>
  <c r="K58" i="93"/>
  <c r="K57" i="93"/>
  <c r="K55" i="93"/>
  <c r="K51" i="93"/>
  <c r="K49" i="93"/>
  <c r="K48" i="93"/>
  <c r="K47" i="93"/>
  <c r="K46" i="93"/>
  <c r="K45" i="93"/>
  <c r="K44" i="93"/>
  <c r="K43" i="93"/>
  <c r="K42" i="93"/>
  <c r="K40" i="93"/>
  <c r="K38" i="93"/>
  <c r="K37" i="93"/>
  <c r="K35" i="93"/>
  <c r="K34" i="93"/>
  <c r="K31" i="93"/>
  <c r="K30" i="93"/>
  <c r="K29" i="93"/>
  <c r="K28" i="93"/>
  <c r="K26" i="93"/>
  <c r="J64" i="93"/>
  <c r="J63" i="93"/>
  <c r="J62" i="93"/>
  <c r="J61" i="93"/>
  <c r="J60" i="93"/>
  <c r="J59" i="93"/>
  <c r="J58" i="93"/>
  <c r="J57" i="93"/>
  <c r="J55" i="93"/>
  <c r="J51" i="93"/>
  <c r="J50" i="93"/>
  <c r="J48" i="93"/>
  <c r="J46" i="93"/>
  <c r="J42" i="93"/>
  <c r="J40" i="93"/>
  <c r="J37" i="93"/>
  <c r="J34" i="93"/>
  <c r="J31" i="93"/>
  <c r="J30" i="93"/>
  <c r="J29" i="93"/>
  <c r="J28" i="93"/>
  <c r="J26" i="93"/>
  <c r="J64" i="94"/>
  <c r="J63" i="94"/>
  <c r="J62" i="94"/>
  <c r="J61" i="94"/>
  <c r="J60" i="94"/>
  <c r="J59" i="94"/>
  <c r="J58" i="94"/>
  <c r="J57" i="94"/>
  <c r="J55" i="94"/>
  <c r="J54" i="94"/>
  <c r="J51" i="94"/>
  <c r="J50" i="94"/>
  <c r="J48" i="94"/>
  <c r="J46" i="94"/>
  <c r="J44" i="94"/>
  <c r="J42" i="94"/>
  <c r="J40" i="94"/>
  <c r="J37" i="94"/>
  <c r="J34" i="94"/>
  <c r="J31" i="94"/>
  <c r="J29" i="94"/>
  <c r="J28" i="94"/>
  <c r="J64" i="97"/>
  <c r="J63" i="97"/>
  <c r="J62" i="97"/>
  <c r="J61" i="97"/>
  <c r="J60" i="97"/>
  <c r="J59" i="97"/>
  <c r="J58" i="97"/>
  <c r="J57" i="97"/>
  <c r="J51" i="97"/>
  <c r="J49" i="97"/>
  <c r="J48" i="97"/>
  <c r="J46" i="97"/>
  <c r="J44" i="97"/>
  <c r="J42" i="97"/>
  <c r="J40" i="97"/>
  <c r="J34" i="97"/>
  <c r="J31" i="97"/>
  <c r="J29" i="97"/>
  <c r="J28" i="97"/>
  <c r="J26" i="97"/>
  <c r="J64" i="131"/>
  <c r="J63" i="131"/>
  <c r="J62" i="131"/>
  <c r="J61" i="131"/>
  <c r="J59" i="131"/>
  <c r="J57" i="131"/>
  <c r="J55" i="131"/>
  <c r="J51" i="131"/>
  <c r="J50" i="131"/>
  <c r="J46" i="131"/>
  <c r="J42" i="131"/>
  <c r="J40" i="131"/>
  <c r="J38" i="131"/>
  <c r="J31" i="131"/>
  <c r="J29" i="131"/>
  <c r="J28" i="131"/>
  <c r="J64" i="132"/>
  <c r="J63" i="132"/>
  <c r="J62" i="132"/>
  <c r="J61" i="132"/>
  <c r="J60" i="132"/>
  <c r="J59" i="132"/>
  <c r="J58" i="132"/>
  <c r="J57" i="132"/>
  <c r="J55" i="132"/>
  <c r="J51" i="132"/>
  <c r="J50" i="132"/>
  <c r="J48" i="132"/>
  <c r="J46" i="132"/>
  <c r="J42" i="132"/>
  <c r="J40" i="132"/>
  <c r="J34" i="132"/>
  <c r="J31" i="132"/>
  <c r="J29" i="132"/>
  <c r="J28" i="132"/>
  <c r="J64" i="81"/>
  <c r="J63" i="81"/>
  <c r="J62" i="81"/>
  <c r="J61" i="81"/>
  <c r="J60" i="81"/>
  <c r="J59" i="81"/>
  <c r="J58" i="81"/>
  <c r="J57" i="81"/>
  <c r="J55" i="81"/>
  <c r="J50" i="81"/>
  <c r="J48" i="81"/>
  <c r="J46" i="81"/>
  <c r="J44" i="81"/>
  <c r="J42" i="81"/>
  <c r="J40" i="81"/>
  <c r="J34" i="81"/>
  <c r="J31" i="81"/>
  <c r="J29" i="81"/>
  <c r="J28" i="81"/>
  <c r="J26" i="81"/>
  <c r="J64" i="82"/>
  <c r="J63" i="82"/>
  <c r="J62" i="82"/>
  <c r="J61" i="82"/>
  <c r="J59" i="82"/>
  <c r="J58" i="82"/>
  <c r="J57" i="82"/>
  <c r="J55" i="82"/>
  <c r="J51" i="82"/>
  <c r="J50" i="82"/>
  <c r="J48" i="82"/>
  <c r="J46" i="82"/>
  <c r="J44" i="82"/>
  <c r="J42" i="82"/>
  <c r="J40" i="82"/>
  <c r="J31" i="82"/>
  <c r="J30" i="82"/>
  <c r="J29" i="82"/>
  <c r="J28" i="82"/>
  <c r="J26" i="82"/>
  <c r="J64" i="83"/>
  <c r="J63" i="83"/>
  <c r="J62" i="83"/>
  <c r="J61" i="83"/>
  <c r="J60" i="83"/>
  <c r="J59" i="83"/>
  <c r="J58" i="83"/>
  <c r="J57" i="83"/>
  <c r="J55" i="83"/>
  <c r="J54" i="83"/>
  <c r="J51" i="83"/>
  <c r="J50" i="83"/>
  <c r="J49" i="83"/>
  <c r="J48" i="83"/>
  <c r="J46" i="83"/>
  <c r="J44" i="83"/>
  <c r="J42" i="83"/>
  <c r="J41" i="83"/>
  <c r="J40" i="83"/>
  <c r="J39" i="83"/>
  <c r="J37" i="83"/>
  <c r="J31" i="83"/>
  <c r="J30" i="83"/>
  <c r="J29" i="83"/>
  <c r="J28" i="83"/>
  <c r="J26" i="83"/>
  <c r="J64" i="84"/>
  <c r="J63" i="84"/>
  <c r="J62" i="84"/>
  <c r="J61" i="84"/>
  <c r="J60" i="84"/>
  <c r="J59" i="84"/>
  <c r="J58" i="84"/>
  <c r="J57" i="84"/>
  <c r="J55" i="84"/>
  <c r="J51" i="84"/>
  <c r="J50" i="84"/>
  <c r="J48" i="84"/>
  <c r="J46" i="84"/>
  <c r="J44" i="84"/>
  <c r="J42" i="84"/>
  <c r="J40" i="84"/>
  <c r="J34" i="84"/>
  <c r="J31" i="84"/>
  <c r="J30" i="84"/>
  <c r="J29" i="84"/>
  <c r="J28" i="84"/>
  <c r="J26" i="84"/>
  <c r="J64" i="85"/>
  <c r="J63" i="85"/>
  <c r="J62" i="85"/>
  <c r="J61" i="85"/>
  <c r="J60" i="85"/>
  <c r="J59" i="85"/>
  <c r="J58" i="85"/>
  <c r="J57" i="85"/>
  <c r="J56" i="85"/>
  <c r="J55" i="85"/>
  <c r="J54" i="85"/>
  <c r="J51" i="85"/>
  <c r="J50" i="85"/>
  <c r="J49" i="85"/>
  <c r="J48" i="85"/>
  <c r="J47" i="85"/>
  <c r="J46" i="85"/>
  <c r="J45" i="85"/>
  <c r="J44" i="85"/>
  <c r="J43" i="85"/>
  <c r="J42" i="85"/>
  <c r="J41" i="85"/>
  <c r="J40" i="85"/>
  <c r="J39" i="85"/>
  <c r="J38" i="85"/>
  <c r="J37" i="85"/>
  <c r="J36" i="85"/>
  <c r="J35" i="85"/>
  <c r="J34" i="85"/>
  <c r="J31" i="85"/>
  <c r="J30" i="85"/>
  <c r="J29" i="85"/>
  <c r="J28" i="85"/>
  <c r="J27" i="85"/>
  <c r="J26" i="85"/>
  <c r="J25" i="85"/>
  <c r="J18" i="85"/>
  <c r="J17" i="85"/>
  <c r="J16" i="85"/>
  <c r="J15" i="85"/>
  <c r="J64" i="120"/>
  <c r="J63" i="120"/>
  <c r="J62" i="120"/>
  <c r="J61" i="120"/>
  <c r="J60" i="120"/>
  <c r="J59" i="120"/>
  <c r="J58" i="120"/>
  <c r="J57" i="120"/>
  <c r="J56" i="120"/>
  <c r="J55" i="120"/>
  <c r="J54" i="120"/>
  <c r="J51" i="120"/>
  <c r="J50" i="120"/>
  <c r="J49" i="120"/>
  <c r="J48" i="120"/>
  <c r="J47" i="120"/>
  <c r="J46" i="120"/>
  <c r="J45" i="120"/>
  <c r="J44" i="120"/>
  <c r="J43" i="120"/>
  <c r="J42" i="120"/>
  <c r="J41" i="120"/>
  <c r="J40" i="120"/>
  <c r="J39" i="120"/>
  <c r="J38" i="120"/>
  <c r="J37" i="120"/>
  <c r="J36" i="120"/>
  <c r="J35" i="120"/>
  <c r="J34" i="120"/>
  <c r="J31" i="120"/>
  <c r="J30" i="120"/>
  <c r="J29" i="120"/>
  <c r="J28" i="120"/>
  <c r="J27" i="120"/>
  <c r="J26" i="120"/>
  <c r="J25" i="120"/>
  <c r="J18" i="120"/>
  <c r="J17" i="120"/>
  <c r="J16" i="120"/>
  <c r="J15" i="120"/>
  <c r="J64" i="121"/>
  <c r="J63" i="121"/>
  <c r="J62" i="121"/>
  <c r="J61" i="121"/>
  <c r="J60" i="121"/>
  <c r="J59" i="121"/>
  <c r="J57" i="121"/>
  <c r="J56" i="121"/>
  <c r="J55" i="121"/>
  <c r="J51" i="121"/>
  <c r="J50" i="121"/>
  <c r="J49" i="121"/>
  <c r="J47" i="121"/>
  <c r="J46" i="121"/>
  <c r="J44" i="121"/>
  <c r="J42" i="121"/>
  <c r="J40" i="121"/>
  <c r="J38" i="121"/>
  <c r="J31" i="121"/>
  <c r="J29" i="121"/>
  <c r="J28" i="121"/>
  <c r="J26" i="121"/>
  <c r="J64" i="122"/>
  <c r="J63" i="122"/>
  <c r="J62" i="122"/>
  <c r="J61" i="122"/>
  <c r="J60" i="122"/>
  <c r="J59" i="122"/>
  <c r="J58" i="122"/>
  <c r="J57" i="122"/>
  <c r="J56" i="122"/>
  <c r="J55" i="122"/>
  <c r="J51" i="122"/>
  <c r="J50" i="122"/>
  <c r="J49" i="122"/>
  <c r="J48" i="122"/>
  <c r="J46" i="122"/>
  <c r="J44" i="122"/>
  <c r="J42" i="122"/>
  <c r="J40" i="122"/>
  <c r="J37" i="122"/>
  <c r="J34" i="122"/>
  <c r="J31" i="122"/>
  <c r="J29" i="122"/>
  <c r="J28" i="122"/>
  <c r="J26" i="122"/>
  <c r="J64" i="133"/>
  <c r="J63" i="133"/>
  <c r="J62" i="133"/>
  <c r="J61" i="133"/>
  <c r="J60" i="133"/>
  <c r="J59" i="133"/>
  <c r="J58" i="133"/>
  <c r="J57" i="133"/>
  <c r="J56" i="133"/>
  <c r="J55" i="133"/>
  <c r="J51" i="133"/>
  <c r="J50" i="133"/>
  <c r="J48" i="133"/>
  <c r="J46" i="133"/>
  <c r="J44" i="133"/>
  <c r="J43" i="133"/>
  <c r="J42" i="133"/>
  <c r="J41" i="133"/>
  <c r="J40" i="133"/>
  <c r="J38" i="133"/>
  <c r="J34" i="133"/>
  <c r="J31" i="133"/>
  <c r="J30" i="133"/>
  <c r="J29" i="133"/>
  <c r="J28" i="133"/>
  <c r="J64" i="86"/>
  <c r="J63" i="86"/>
  <c r="J62" i="86"/>
  <c r="J61" i="86"/>
  <c r="J60" i="86"/>
  <c r="J59" i="86"/>
  <c r="J58" i="86"/>
  <c r="J57" i="86"/>
  <c r="J56" i="86"/>
  <c r="J55" i="86"/>
  <c r="J51" i="86"/>
  <c r="J48" i="86"/>
  <c r="J46" i="86"/>
  <c r="J44" i="86"/>
  <c r="J42" i="86"/>
  <c r="J40" i="86"/>
  <c r="J31" i="86"/>
  <c r="J29" i="86"/>
  <c r="J28" i="86"/>
  <c r="J26" i="86"/>
  <c r="J64" i="123"/>
  <c r="J63" i="123"/>
  <c r="J62" i="123"/>
  <c r="J61" i="123"/>
  <c r="J60" i="123"/>
  <c r="J59" i="123"/>
  <c r="J58" i="123"/>
  <c r="J57" i="123"/>
  <c r="J55" i="123"/>
  <c r="J54" i="123"/>
  <c r="J51" i="123"/>
  <c r="J50" i="123"/>
  <c r="J49" i="123"/>
  <c r="J48" i="123"/>
  <c r="J47" i="123"/>
  <c r="J46" i="123"/>
  <c r="J44" i="123"/>
  <c r="J42" i="123"/>
  <c r="J40" i="123"/>
  <c r="J39" i="123"/>
  <c r="J37" i="123"/>
  <c r="J36" i="123"/>
  <c r="J35" i="123"/>
  <c r="J34" i="123"/>
  <c r="J31" i="123"/>
  <c r="J30" i="123"/>
  <c r="J29" i="123"/>
  <c r="J28" i="123"/>
  <c r="J26" i="123"/>
  <c r="J64" i="141"/>
  <c r="J63" i="141"/>
  <c r="J62" i="141"/>
  <c r="J61" i="141"/>
  <c r="J60" i="141"/>
  <c r="J59" i="141"/>
  <c r="J58" i="141"/>
  <c r="J55" i="141"/>
  <c r="J51" i="141"/>
  <c r="J50" i="141"/>
  <c r="J48" i="141"/>
  <c r="J46" i="141"/>
  <c r="J44" i="141"/>
  <c r="J43" i="141"/>
  <c r="J42" i="141"/>
  <c r="J34" i="141"/>
  <c r="J31" i="141"/>
  <c r="J30" i="141"/>
  <c r="J29" i="141"/>
  <c r="J28" i="141"/>
  <c r="J26" i="141"/>
  <c r="J64" i="178"/>
  <c r="J63" i="178"/>
  <c r="J62" i="178"/>
  <c r="J61" i="178"/>
  <c r="J60" i="178"/>
  <c r="J59" i="178"/>
  <c r="J58" i="178"/>
  <c r="J57" i="178"/>
  <c r="J55" i="178"/>
  <c r="J51" i="178"/>
  <c r="J50" i="178"/>
  <c r="J49" i="178"/>
  <c r="J48" i="178"/>
  <c r="J46" i="178"/>
  <c r="J44" i="178"/>
  <c r="J42" i="178"/>
  <c r="J40" i="178"/>
  <c r="J37" i="178"/>
  <c r="J31" i="178"/>
  <c r="J29" i="178"/>
  <c r="J28" i="178"/>
  <c r="J26" i="178"/>
  <c r="J64" i="179"/>
  <c r="J63" i="179"/>
  <c r="J62" i="179"/>
  <c r="J61" i="179"/>
  <c r="J60" i="179"/>
  <c r="J59" i="179"/>
  <c r="J58" i="179"/>
  <c r="J57" i="179"/>
  <c r="J55" i="179"/>
  <c r="J51" i="179"/>
  <c r="J50" i="179"/>
  <c r="J49" i="179"/>
  <c r="J48" i="179"/>
  <c r="J46" i="179"/>
  <c r="J42" i="179"/>
  <c r="J40" i="179"/>
  <c r="J37" i="179"/>
  <c r="J31" i="179"/>
  <c r="J30" i="179"/>
  <c r="J29" i="179"/>
  <c r="J28" i="179"/>
  <c r="J64" i="180"/>
  <c r="J63" i="180"/>
  <c r="J62" i="180"/>
  <c r="J61" i="180"/>
  <c r="J59" i="180"/>
  <c r="J58" i="180"/>
  <c r="J57" i="180"/>
  <c r="J56" i="180"/>
  <c r="J55" i="180"/>
  <c r="J51" i="180"/>
  <c r="J50" i="180"/>
  <c r="J48" i="180"/>
  <c r="J46" i="180"/>
  <c r="J44" i="180"/>
  <c r="J42" i="180"/>
  <c r="J40" i="180"/>
  <c r="J38" i="180"/>
  <c r="J34" i="180"/>
  <c r="J31" i="180"/>
  <c r="J30" i="180"/>
  <c r="J29" i="180"/>
  <c r="J28" i="180"/>
  <c r="J64" i="181"/>
  <c r="J63" i="181"/>
  <c r="J62" i="181"/>
  <c r="J61" i="181"/>
  <c r="J60" i="181"/>
  <c r="J59" i="181"/>
  <c r="J58" i="181"/>
  <c r="J57" i="181"/>
  <c r="J56" i="181"/>
  <c r="J55" i="181"/>
  <c r="J54" i="181"/>
  <c r="J51" i="181"/>
  <c r="J50" i="181"/>
  <c r="J49" i="181"/>
  <c r="J48" i="181"/>
  <c r="J47" i="181"/>
  <c r="J46" i="181"/>
  <c r="J45" i="181"/>
  <c r="J44" i="181"/>
  <c r="J43" i="181"/>
  <c r="J42" i="181"/>
  <c r="J41" i="181"/>
  <c r="J40" i="181"/>
  <c r="J39" i="181"/>
  <c r="J38" i="181"/>
  <c r="J37" i="181"/>
  <c r="J36" i="181"/>
  <c r="J35" i="181"/>
  <c r="J34" i="181"/>
  <c r="J31" i="181"/>
  <c r="J30" i="181"/>
  <c r="J29" i="181"/>
  <c r="J28" i="181"/>
  <c r="J27" i="181"/>
  <c r="J26" i="181"/>
  <c r="J25" i="181"/>
  <c r="J18" i="181"/>
  <c r="J17" i="181"/>
  <c r="J16" i="181"/>
  <c r="J15" i="181"/>
  <c r="J64" i="182"/>
  <c r="J63" i="182"/>
  <c r="J62" i="182"/>
  <c r="J61" i="182"/>
  <c r="J60" i="182"/>
  <c r="J59" i="182"/>
  <c r="J58" i="182"/>
  <c r="J57" i="182"/>
  <c r="J56" i="182"/>
  <c r="J55" i="182"/>
  <c r="J54" i="182"/>
  <c r="J51" i="182"/>
  <c r="J50" i="182"/>
  <c r="J49" i="182"/>
  <c r="J48" i="182"/>
  <c r="J47" i="182"/>
  <c r="J46" i="182"/>
  <c r="J45" i="182"/>
  <c r="J44" i="182"/>
  <c r="J43" i="182"/>
  <c r="J42" i="182"/>
  <c r="J41" i="182"/>
  <c r="J40" i="182"/>
  <c r="J39" i="182"/>
  <c r="J38" i="182"/>
  <c r="J37" i="182"/>
  <c r="J36" i="182"/>
  <c r="J35" i="182"/>
  <c r="J34" i="182"/>
  <c r="J31" i="182"/>
  <c r="J30" i="182"/>
  <c r="J29" i="182"/>
  <c r="J28" i="182"/>
  <c r="J27" i="182"/>
  <c r="J26" i="182"/>
  <c r="J25" i="182"/>
  <c r="J18" i="182"/>
  <c r="J17" i="182"/>
  <c r="J16" i="182"/>
  <c r="J15" i="182"/>
  <c r="J64" i="183"/>
  <c r="J63" i="183"/>
  <c r="J62" i="183"/>
  <c r="J61" i="183"/>
  <c r="J60" i="183"/>
  <c r="J59" i="183"/>
  <c r="J58" i="183"/>
  <c r="J57" i="183"/>
  <c r="J55" i="183"/>
  <c r="J50" i="183"/>
  <c r="J46" i="183"/>
  <c r="J44" i="183"/>
  <c r="J42" i="183"/>
  <c r="J40" i="183"/>
  <c r="J38" i="183"/>
  <c r="J31" i="183"/>
  <c r="J29" i="183"/>
  <c r="J28" i="183"/>
  <c r="J26" i="183"/>
  <c r="J64" i="184"/>
  <c r="J63" i="184"/>
  <c r="J62" i="184"/>
  <c r="J61" i="184"/>
  <c r="J60" i="184"/>
  <c r="J59" i="184"/>
  <c r="J58" i="184"/>
  <c r="J57" i="184"/>
  <c r="J56" i="184"/>
  <c r="J55" i="184"/>
  <c r="J54" i="184"/>
  <c r="J51" i="184"/>
  <c r="J50" i="184"/>
  <c r="J49" i="184"/>
  <c r="J48" i="184"/>
  <c r="J47" i="184"/>
  <c r="J46" i="184"/>
  <c r="J45" i="184"/>
  <c r="J44" i="184"/>
  <c r="J43" i="184"/>
  <c r="J42" i="184"/>
  <c r="J41" i="184"/>
  <c r="J40" i="184"/>
  <c r="J39" i="184"/>
  <c r="J38" i="184"/>
  <c r="J37" i="184"/>
  <c r="J36" i="184"/>
  <c r="J35" i="184"/>
  <c r="J34" i="184"/>
  <c r="J31" i="184"/>
  <c r="J30" i="184"/>
  <c r="J29" i="184"/>
  <c r="J28" i="184"/>
  <c r="J27" i="184"/>
  <c r="J26" i="184"/>
  <c r="J25" i="184"/>
  <c r="J18" i="184"/>
  <c r="J17" i="184"/>
  <c r="J16" i="184"/>
  <c r="J15" i="184"/>
  <c r="J64" i="185"/>
  <c r="J63" i="185"/>
  <c r="J62" i="185"/>
  <c r="J61" i="185"/>
  <c r="J60" i="185"/>
  <c r="J59" i="185"/>
  <c r="J58" i="185"/>
  <c r="J57" i="185"/>
  <c r="J55" i="185"/>
  <c r="J51" i="185"/>
  <c r="J50" i="185"/>
  <c r="J48" i="185"/>
  <c r="J46" i="185"/>
  <c r="J42" i="185"/>
  <c r="J40" i="185"/>
  <c r="J37" i="185"/>
  <c r="J36" i="185"/>
  <c r="J34" i="185"/>
  <c r="J31" i="185"/>
  <c r="J29" i="185"/>
  <c r="J28" i="185"/>
  <c r="J26" i="185"/>
  <c r="J25" i="185"/>
  <c r="J63" i="186"/>
  <c r="J62" i="186"/>
  <c r="J61" i="186"/>
  <c r="J59" i="186"/>
  <c r="J58" i="186"/>
  <c r="J57" i="186"/>
  <c r="J55" i="186"/>
  <c r="J51" i="186"/>
  <c r="J48" i="186"/>
  <c r="J46" i="186"/>
  <c r="J44" i="186"/>
  <c r="J42" i="186"/>
  <c r="J40" i="186"/>
  <c r="J38" i="186"/>
  <c r="J34" i="186"/>
  <c r="J31" i="186"/>
  <c r="J28" i="186"/>
  <c r="J26" i="186"/>
  <c r="J64" i="187"/>
  <c r="J63" i="187"/>
  <c r="J62" i="187"/>
  <c r="J61" i="187"/>
  <c r="J60" i="187"/>
  <c r="J59" i="187"/>
  <c r="J58" i="187"/>
  <c r="J57" i="187"/>
  <c r="J56" i="187"/>
  <c r="J55" i="187"/>
  <c r="J54" i="187"/>
  <c r="J51" i="187"/>
  <c r="J50" i="187"/>
  <c r="J49" i="187"/>
  <c r="J48" i="187"/>
  <c r="J47" i="187"/>
  <c r="J46" i="187"/>
  <c r="J45" i="187"/>
  <c r="J44" i="187"/>
  <c r="J43" i="187"/>
  <c r="J42" i="187"/>
  <c r="J41" i="187"/>
  <c r="J40" i="187"/>
  <c r="J39" i="187"/>
  <c r="J38" i="187"/>
  <c r="J37" i="187"/>
  <c r="J36" i="187"/>
  <c r="J35" i="187"/>
  <c r="J34" i="187"/>
  <c r="J31" i="187"/>
  <c r="J30" i="187"/>
  <c r="J29" i="187"/>
  <c r="J28" i="187"/>
  <c r="J27" i="187"/>
  <c r="J26" i="187"/>
  <c r="J25" i="187"/>
  <c r="J18" i="187"/>
  <c r="J17" i="187"/>
  <c r="J16" i="187"/>
  <c r="J15" i="187"/>
  <c r="J64" i="188"/>
  <c r="J63" i="188"/>
  <c r="J62" i="188"/>
  <c r="J61" i="188"/>
  <c r="J60" i="188"/>
  <c r="J59" i="188"/>
  <c r="J58" i="188"/>
  <c r="J57" i="188"/>
  <c r="J56" i="188"/>
  <c r="J55" i="188"/>
  <c r="J54" i="188"/>
  <c r="J51" i="188"/>
  <c r="J50" i="188"/>
  <c r="J49" i="188"/>
  <c r="J48" i="188"/>
  <c r="J47" i="188"/>
  <c r="J46" i="188"/>
  <c r="J45" i="188"/>
  <c r="J44" i="188"/>
  <c r="J43" i="188"/>
  <c r="J42" i="188"/>
  <c r="J41" i="188"/>
  <c r="J40" i="188"/>
  <c r="J39" i="188"/>
  <c r="J38" i="188"/>
  <c r="J37" i="188"/>
  <c r="J36" i="188"/>
  <c r="J35" i="188"/>
  <c r="J34" i="188"/>
  <c r="J31" i="188"/>
  <c r="J30" i="188"/>
  <c r="J29" i="188"/>
  <c r="J28" i="188"/>
  <c r="J27" i="188"/>
  <c r="J26" i="188"/>
  <c r="J25" i="188"/>
  <c r="J18" i="188"/>
  <c r="J17" i="188"/>
  <c r="J16" i="188"/>
  <c r="J15" i="188"/>
  <c r="J64" i="189"/>
  <c r="J63" i="189"/>
  <c r="J62" i="189"/>
  <c r="J61" i="189"/>
  <c r="J60" i="189"/>
  <c r="J59" i="189"/>
  <c r="J58" i="189"/>
  <c r="J57" i="189"/>
  <c r="J56" i="189"/>
  <c r="J55" i="189"/>
  <c r="J54" i="189"/>
  <c r="J51" i="189"/>
  <c r="J50" i="189"/>
  <c r="J49" i="189"/>
  <c r="J48" i="189"/>
  <c r="J47" i="189"/>
  <c r="J46" i="189"/>
  <c r="J45" i="189"/>
  <c r="J44" i="189"/>
  <c r="J43" i="189"/>
  <c r="J42" i="189"/>
  <c r="J41" i="189"/>
  <c r="J40" i="189"/>
  <c r="J39" i="189"/>
  <c r="J38" i="189"/>
  <c r="J37" i="189"/>
  <c r="J36" i="189"/>
  <c r="J35" i="189"/>
  <c r="J34" i="189"/>
  <c r="J31" i="189"/>
  <c r="J30" i="189"/>
  <c r="J29" i="189"/>
  <c r="J28" i="189"/>
  <c r="J27" i="189"/>
  <c r="J26" i="189"/>
  <c r="J25" i="189"/>
  <c r="J18" i="189"/>
  <c r="J17" i="189"/>
  <c r="J16" i="189"/>
  <c r="J15" i="189"/>
  <c r="J64" i="190"/>
  <c r="J63" i="190"/>
  <c r="J62" i="190"/>
  <c r="J61" i="190"/>
  <c r="J59" i="190"/>
  <c r="J58" i="190"/>
  <c r="J57" i="190"/>
  <c r="J56" i="190"/>
  <c r="J55" i="190"/>
  <c r="J51" i="190"/>
  <c r="J50" i="190"/>
  <c r="J49" i="190"/>
  <c r="J48" i="190"/>
  <c r="J46" i="190"/>
  <c r="J44" i="190"/>
  <c r="J42" i="190"/>
  <c r="J40" i="190"/>
  <c r="J37" i="190"/>
  <c r="J36" i="190"/>
  <c r="J34" i="190"/>
  <c r="J31" i="190"/>
  <c r="J30" i="190"/>
  <c r="J29" i="190"/>
  <c r="J28" i="190"/>
  <c r="J26" i="190"/>
  <c r="J63" i="191"/>
  <c r="J62" i="191"/>
  <c r="J61" i="191"/>
  <c r="J59" i="191"/>
  <c r="J58" i="191"/>
  <c r="J57" i="191"/>
  <c r="J56" i="191"/>
  <c r="J55" i="191"/>
  <c r="J54" i="191"/>
  <c r="J51" i="191"/>
  <c r="J50" i="191"/>
  <c r="J48" i="191"/>
  <c r="J46" i="191"/>
  <c r="J42" i="191"/>
  <c r="J40" i="191"/>
  <c r="J34" i="191"/>
  <c r="J31" i="191"/>
  <c r="J29" i="191"/>
  <c r="J28" i="191"/>
  <c r="J26" i="191"/>
  <c r="J64" i="192"/>
  <c r="J63" i="192"/>
  <c r="J62" i="192"/>
  <c r="J61" i="192"/>
  <c r="J59" i="192"/>
  <c r="J58" i="192"/>
  <c r="J57" i="192"/>
  <c r="J55" i="192"/>
  <c r="J51" i="192"/>
  <c r="J50" i="192"/>
  <c r="J48" i="192"/>
  <c r="J46" i="192"/>
  <c r="J44" i="192"/>
  <c r="J43" i="192"/>
  <c r="J42" i="192"/>
  <c r="J40" i="192"/>
  <c r="J34" i="192"/>
  <c r="J31" i="192"/>
  <c r="J29" i="192"/>
  <c r="J28" i="192"/>
  <c r="J26" i="192"/>
  <c r="J64" i="193"/>
  <c r="J63" i="193"/>
  <c r="J62" i="193"/>
  <c r="J61" i="193"/>
  <c r="J60" i="193"/>
  <c r="J59" i="193"/>
  <c r="J58" i="193"/>
  <c r="J57" i="193"/>
  <c r="J56" i="193"/>
  <c r="J55" i="193"/>
  <c r="J51" i="193"/>
  <c r="J50" i="193"/>
  <c r="J49" i="193"/>
  <c r="J48" i="193"/>
  <c r="J46" i="193"/>
  <c r="J44" i="193"/>
  <c r="J43" i="193"/>
  <c r="J42" i="193"/>
  <c r="J40" i="193"/>
  <c r="J37" i="193"/>
  <c r="J36" i="193"/>
  <c r="J35" i="193"/>
  <c r="J34" i="193"/>
  <c r="J31" i="193"/>
  <c r="J30" i="193"/>
  <c r="J29" i="193"/>
  <c r="J28" i="193"/>
  <c r="J64" i="194"/>
  <c r="J63" i="194"/>
  <c r="J62" i="194"/>
  <c r="J61" i="194"/>
  <c r="J59" i="194"/>
  <c r="J58" i="194"/>
  <c r="J57" i="194"/>
  <c r="J56" i="194"/>
  <c r="J55" i="194"/>
  <c r="J51" i="194"/>
  <c r="J50" i="194"/>
  <c r="J49" i="194"/>
  <c r="J48" i="194"/>
  <c r="J46" i="194"/>
  <c r="J44" i="194"/>
  <c r="J42" i="194"/>
  <c r="J41" i="194"/>
  <c r="J40" i="194"/>
  <c r="J39" i="194"/>
  <c r="J35" i="194"/>
  <c r="J34" i="194"/>
  <c r="J31" i="194"/>
  <c r="J29" i="194"/>
  <c r="J28" i="194"/>
  <c r="J26" i="194"/>
  <c r="J25" i="194"/>
  <c r="J63" i="195"/>
  <c r="J62" i="195"/>
  <c r="J61" i="195"/>
  <c r="J59" i="195"/>
  <c r="J58" i="195"/>
  <c r="J57" i="195"/>
  <c r="J55" i="195"/>
  <c r="J54" i="195"/>
  <c r="J51" i="195"/>
  <c r="J50" i="195"/>
  <c r="J49" i="195"/>
  <c r="J46" i="195"/>
  <c r="J44" i="195"/>
  <c r="J42" i="195"/>
  <c r="J40" i="195"/>
  <c r="J38" i="195"/>
  <c r="J37" i="195"/>
  <c r="J34" i="195"/>
  <c r="J31" i="195"/>
  <c r="J29" i="195"/>
  <c r="J28" i="195"/>
  <c r="J26" i="195"/>
  <c r="J64" i="196"/>
  <c r="J63" i="196"/>
  <c r="J62" i="196"/>
  <c r="J61" i="196"/>
  <c r="J60" i="196"/>
  <c r="J59" i="196"/>
  <c r="J57" i="196"/>
  <c r="J56" i="196"/>
  <c r="J55" i="196"/>
  <c r="J54" i="196"/>
  <c r="J51" i="196"/>
  <c r="J50" i="196"/>
  <c r="J49" i="196"/>
  <c r="J48" i="196"/>
  <c r="J46" i="196"/>
  <c r="J44" i="196"/>
  <c r="J43" i="196"/>
  <c r="J42" i="196"/>
  <c r="J40" i="196"/>
  <c r="J38" i="196"/>
  <c r="J37" i="196"/>
  <c r="J35" i="196"/>
  <c r="J34" i="196"/>
  <c r="J31" i="196"/>
  <c r="J30" i="196"/>
  <c r="J28" i="196"/>
  <c r="J26" i="196"/>
  <c r="J64" i="197"/>
  <c r="J63" i="197"/>
  <c r="J62" i="197"/>
  <c r="J61" i="197"/>
  <c r="J60" i="197"/>
  <c r="J59" i="197"/>
  <c r="J57" i="197"/>
  <c r="J55" i="197"/>
  <c r="J51" i="197"/>
  <c r="J50" i="197"/>
  <c r="J49" i="197"/>
  <c r="J48" i="197"/>
  <c r="J46" i="197"/>
  <c r="J44" i="197"/>
  <c r="J43" i="197"/>
  <c r="J42" i="197"/>
  <c r="J40" i="197"/>
  <c r="J38" i="197"/>
  <c r="J37" i="197"/>
  <c r="J34" i="197"/>
  <c r="J31" i="197"/>
  <c r="J30" i="197"/>
  <c r="J28" i="197"/>
  <c r="J26" i="197"/>
  <c r="J64" i="198"/>
  <c r="J63" i="198"/>
  <c r="J62" i="198"/>
  <c r="J61" i="198"/>
  <c r="J60" i="198"/>
  <c r="J59" i="198"/>
  <c r="J57" i="198"/>
  <c r="J56" i="198"/>
  <c r="J55" i="198"/>
  <c r="J51" i="198"/>
  <c r="J50" i="198"/>
  <c r="J48" i="198"/>
  <c r="J44" i="198"/>
  <c r="J43" i="198"/>
  <c r="J42" i="198"/>
  <c r="J41" i="198"/>
  <c r="J34" i="198"/>
  <c r="J31" i="198"/>
  <c r="J28" i="198"/>
  <c r="J63" i="200"/>
  <c r="J62" i="200"/>
  <c r="J61" i="200"/>
  <c r="J60" i="200"/>
  <c r="J59" i="200"/>
  <c r="J57" i="200"/>
  <c r="J55" i="200"/>
  <c r="J51" i="200"/>
  <c r="J50" i="200"/>
  <c r="J44" i="200"/>
  <c r="J42" i="200"/>
  <c r="J41" i="200"/>
  <c r="J40" i="200"/>
  <c r="J38" i="200"/>
  <c r="J37" i="200"/>
  <c r="J34" i="200"/>
  <c r="J31" i="200"/>
  <c r="J30" i="200"/>
  <c r="J28" i="200"/>
  <c r="J26" i="200"/>
  <c r="J64" i="65"/>
  <c r="J63" i="65"/>
  <c r="J62" i="65"/>
  <c r="J61" i="65"/>
  <c r="J60" i="65"/>
  <c r="J59" i="65"/>
  <c r="J58" i="65"/>
  <c r="J57" i="65"/>
  <c r="J56" i="65"/>
  <c r="J55" i="65"/>
  <c r="J54" i="65"/>
  <c r="J51" i="65"/>
  <c r="J50" i="65"/>
  <c r="J49" i="65"/>
  <c r="J48" i="65"/>
  <c r="J47" i="65"/>
  <c r="J46" i="65"/>
  <c r="J45" i="65"/>
  <c r="J44" i="65"/>
  <c r="J43" i="65"/>
  <c r="J42" i="65"/>
  <c r="J41" i="65"/>
  <c r="J40" i="65"/>
  <c r="J39" i="65"/>
  <c r="J38" i="65"/>
  <c r="J37" i="65"/>
  <c r="J36" i="65"/>
  <c r="J35" i="65"/>
  <c r="J34" i="65"/>
  <c r="J31" i="65"/>
  <c r="J30" i="65"/>
  <c r="J29" i="65"/>
  <c r="J28" i="65"/>
  <c r="J27" i="65"/>
  <c r="J26" i="65"/>
  <c r="J25" i="65"/>
  <c r="J18" i="65"/>
  <c r="J17" i="65"/>
  <c r="J16" i="65"/>
  <c r="J15" i="65"/>
  <c r="J64" i="108"/>
  <c r="J63" i="108"/>
  <c r="J62" i="108"/>
  <c r="J61" i="108"/>
  <c r="J59" i="108"/>
  <c r="J58" i="108"/>
  <c r="J57" i="108"/>
  <c r="J56" i="108"/>
  <c r="J55" i="108"/>
  <c r="J51" i="108"/>
  <c r="J46" i="108"/>
  <c r="J44" i="108"/>
  <c r="J42" i="108"/>
  <c r="J40" i="108"/>
  <c r="J34" i="108"/>
  <c r="J31" i="108"/>
  <c r="J28" i="108"/>
  <c r="J26" i="108"/>
  <c r="J64" i="109"/>
  <c r="J63" i="109"/>
  <c r="J62" i="109"/>
  <c r="J60" i="109"/>
  <c r="J59" i="109"/>
  <c r="J58" i="109"/>
  <c r="J57" i="109"/>
  <c r="J55" i="109"/>
  <c r="J51" i="109"/>
  <c r="J50" i="109"/>
  <c r="J49" i="109"/>
  <c r="J48" i="109"/>
  <c r="J46" i="109"/>
  <c r="J44" i="109"/>
  <c r="J42" i="109"/>
  <c r="J41" i="109"/>
  <c r="J40" i="109"/>
  <c r="J37" i="109"/>
  <c r="J34" i="109"/>
  <c r="J31" i="109"/>
  <c r="J29" i="109"/>
  <c r="J28" i="109"/>
  <c r="J26" i="109"/>
  <c r="J64" i="110"/>
  <c r="J63" i="110"/>
  <c r="J62" i="110"/>
  <c r="J61" i="110"/>
  <c r="J60" i="110"/>
  <c r="J59" i="110"/>
  <c r="J58" i="110"/>
  <c r="J57" i="110"/>
  <c r="J55" i="110"/>
  <c r="J51" i="110"/>
  <c r="J50" i="110"/>
  <c r="J48" i="110"/>
  <c r="J46" i="110"/>
  <c r="J42" i="110"/>
  <c r="J40" i="110"/>
  <c r="J38" i="110"/>
  <c r="J31" i="110"/>
  <c r="J29" i="110"/>
  <c r="J28" i="110"/>
  <c r="J26" i="110"/>
  <c r="J64" i="111"/>
  <c r="J63" i="111"/>
  <c r="J62" i="111"/>
  <c r="J61" i="111"/>
  <c r="J60" i="111"/>
  <c r="J59" i="111"/>
  <c r="J58" i="111"/>
  <c r="J55" i="111"/>
  <c r="J51" i="111"/>
  <c r="J48" i="111"/>
  <c r="J46" i="111"/>
  <c r="J44" i="111"/>
  <c r="J42" i="111"/>
  <c r="J40" i="111"/>
  <c r="J31" i="111"/>
  <c r="J30" i="111"/>
  <c r="J29" i="111"/>
  <c r="J28" i="111"/>
  <c r="J26" i="111"/>
  <c r="J63" i="91"/>
  <c r="J62" i="91"/>
  <c r="J61" i="91"/>
  <c r="J60" i="91"/>
  <c r="J59" i="91"/>
  <c r="J58" i="91"/>
  <c r="J57" i="91"/>
  <c r="J55" i="91"/>
  <c r="J50" i="91"/>
  <c r="J48" i="91"/>
  <c r="J46" i="91"/>
  <c r="J44" i="91"/>
  <c r="J42" i="91"/>
  <c r="J40" i="91"/>
  <c r="J38" i="91"/>
  <c r="J37" i="91"/>
  <c r="J34" i="91"/>
  <c r="J31" i="91"/>
  <c r="J29" i="91"/>
  <c r="J28" i="91"/>
  <c r="J26" i="91"/>
  <c r="I64" i="91"/>
  <c r="I63" i="91"/>
  <c r="I62" i="91"/>
  <c r="I61" i="91"/>
  <c r="I59" i="91"/>
  <c r="I57" i="91"/>
  <c r="I55" i="91"/>
  <c r="I51" i="91"/>
  <c r="I48" i="91"/>
  <c r="I42" i="91"/>
  <c r="I40" i="91"/>
  <c r="I34" i="91"/>
  <c r="I31" i="91"/>
  <c r="I28" i="91"/>
  <c r="I26" i="91"/>
  <c r="I63" i="93"/>
  <c r="I62" i="93"/>
  <c r="I61" i="93"/>
  <c r="I60" i="93"/>
  <c r="I59" i="93"/>
  <c r="I58" i="93"/>
  <c r="I57" i="93"/>
  <c r="I55" i="93"/>
  <c r="I51" i="93"/>
  <c r="I50" i="93"/>
  <c r="I48" i="93"/>
  <c r="I44" i="93"/>
  <c r="I43" i="93"/>
  <c r="I42" i="93"/>
  <c r="I40" i="93"/>
  <c r="I37" i="93"/>
  <c r="I35" i="93"/>
  <c r="I34" i="93"/>
  <c r="I31" i="93"/>
  <c r="I29" i="93"/>
  <c r="I28" i="93"/>
  <c r="I26" i="93"/>
  <c r="I64" i="94"/>
  <c r="I63" i="94"/>
  <c r="I62" i="94"/>
  <c r="I61" i="94"/>
  <c r="I60" i="94"/>
  <c r="I59" i="94"/>
  <c r="I58" i="94"/>
  <c r="I57" i="94"/>
  <c r="I56" i="94"/>
  <c r="I55" i="94"/>
  <c r="I51" i="94"/>
  <c r="I50" i="94"/>
  <c r="I46" i="94"/>
  <c r="I44" i="94"/>
  <c r="I42" i="94"/>
  <c r="I40" i="94"/>
  <c r="I37" i="94"/>
  <c r="I34" i="94"/>
  <c r="I31" i="94"/>
  <c r="I29" i="94"/>
  <c r="I28" i="94"/>
  <c r="I63" i="97"/>
  <c r="I62" i="97"/>
  <c r="I61" i="97"/>
  <c r="I60" i="97"/>
  <c r="I59" i="97"/>
  <c r="I58" i="97"/>
  <c r="I57" i="97"/>
  <c r="I55" i="97"/>
  <c r="I51" i="97"/>
  <c r="I50" i="97"/>
  <c r="I42" i="97"/>
  <c r="I40" i="97"/>
  <c r="I34" i="97"/>
  <c r="I31" i="97"/>
  <c r="I28" i="97"/>
  <c r="I26" i="97"/>
  <c r="I63" i="131"/>
  <c r="I62" i="131"/>
  <c r="I61" i="131"/>
  <c r="I59" i="131"/>
  <c r="I58" i="131"/>
  <c r="I57" i="131"/>
  <c r="I50" i="131"/>
  <c r="I48" i="131"/>
  <c r="I42" i="131"/>
  <c r="I40" i="131"/>
  <c r="I31" i="131"/>
  <c r="I28" i="131"/>
  <c r="I26" i="131"/>
  <c r="I63" i="132"/>
  <c r="I62" i="132"/>
  <c r="I61" i="132"/>
  <c r="I60" i="132"/>
  <c r="I59" i="132"/>
  <c r="I58" i="132"/>
  <c r="I57" i="132"/>
  <c r="I51" i="132"/>
  <c r="I50" i="132"/>
  <c r="I48" i="132"/>
  <c r="I46" i="132"/>
  <c r="I44" i="132"/>
  <c r="I42" i="132"/>
  <c r="I40" i="132"/>
  <c r="I34" i="132"/>
  <c r="I31" i="132"/>
  <c r="I29" i="132"/>
  <c r="I28" i="132"/>
  <c r="I26" i="132"/>
  <c r="I63" i="81"/>
  <c r="I62" i="81"/>
  <c r="I61" i="81"/>
  <c r="I58" i="81"/>
  <c r="I57" i="81"/>
  <c r="I55" i="81"/>
  <c r="I51" i="81"/>
  <c r="I50" i="81"/>
  <c r="I48" i="81"/>
  <c r="I44" i="81"/>
  <c r="I42" i="81"/>
  <c r="I40" i="81"/>
  <c r="I34" i="81"/>
  <c r="I31" i="81"/>
  <c r="I28" i="81"/>
  <c r="I26" i="81"/>
  <c r="I64" i="82"/>
  <c r="I63" i="82"/>
  <c r="I62" i="82"/>
  <c r="I59" i="82"/>
  <c r="I58" i="82"/>
  <c r="I57" i="82"/>
  <c r="I56" i="82"/>
  <c r="I55" i="82"/>
  <c r="I51" i="82"/>
  <c r="I50" i="82"/>
  <c r="I48" i="82"/>
  <c r="I44" i="82"/>
  <c r="I42" i="82"/>
  <c r="I40" i="82"/>
  <c r="I31" i="82"/>
  <c r="I30" i="82"/>
  <c r="I29" i="82"/>
  <c r="I28" i="82"/>
  <c r="I26" i="82"/>
  <c r="I64" i="83"/>
  <c r="I63" i="83"/>
  <c r="I62" i="83"/>
  <c r="I61" i="83"/>
  <c r="I59" i="83"/>
  <c r="I58" i="83"/>
  <c r="I57" i="83"/>
  <c r="I55" i="83"/>
  <c r="I54" i="83"/>
  <c r="I51" i="83"/>
  <c r="I50" i="83"/>
  <c r="I48" i="83"/>
  <c r="I44" i="83"/>
  <c r="I42" i="83"/>
  <c r="I40" i="83"/>
  <c r="I37" i="83"/>
  <c r="I35" i="83"/>
  <c r="I34" i="83"/>
  <c r="I31" i="83"/>
  <c r="I30" i="83"/>
  <c r="I29" i="83"/>
  <c r="I28" i="83"/>
  <c r="I26" i="83"/>
  <c r="I63" i="84"/>
  <c r="I62" i="84"/>
  <c r="I61" i="84"/>
  <c r="I60" i="84"/>
  <c r="I59" i="84"/>
  <c r="I58" i="84"/>
  <c r="I57" i="84"/>
  <c r="I55" i="84"/>
  <c r="I51" i="84"/>
  <c r="I50" i="84"/>
  <c r="I49" i="84"/>
  <c r="I48" i="84"/>
  <c r="I46" i="84"/>
  <c r="I44" i="84"/>
  <c r="I43" i="84"/>
  <c r="I42" i="84"/>
  <c r="I40" i="84"/>
  <c r="I35" i="84"/>
  <c r="I34" i="84"/>
  <c r="I31" i="84"/>
  <c r="I29" i="84"/>
  <c r="I28" i="84"/>
  <c r="I26" i="84"/>
  <c r="I64" i="85"/>
  <c r="I63" i="85"/>
  <c r="I62" i="85"/>
  <c r="I61" i="85"/>
  <c r="I60" i="85"/>
  <c r="I59" i="85"/>
  <c r="I58" i="85"/>
  <c r="I57" i="85"/>
  <c r="I56" i="85"/>
  <c r="I55" i="85"/>
  <c r="I54" i="85"/>
  <c r="I51" i="85"/>
  <c r="I50" i="85"/>
  <c r="I49" i="85"/>
  <c r="I48" i="85"/>
  <c r="I47" i="85"/>
  <c r="I46" i="85"/>
  <c r="I45" i="85"/>
  <c r="I44" i="85"/>
  <c r="I43" i="85"/>
  <c r="I42" i="85"/>
  <c r="I41" i="85"/>
  <c r="I40" i="85"/>
  <c r="I39" i="85"/>
  <c r="I38" i="85"/>
  <c r="I37" i="85"/>
  <c r="I36" i="85"/>
  <c r="I35" i="85"/>
  <c r="I34" i="85"/>
  <c r="I31" i="85"/>
  <c r="I30" i="85"/>
  <c r="I29" i="85"/>
  <c r="I28" i="85"/>
  <c r="I27" i="85"/>
  <c r="I26" i="85"/>
  <c r="I25" i="85"/>
  <c r="I18" i="85"/>
  <c r="I17" i="85"/>
  <c r="I16" i="85"/>
  <c r="I15" i="85"/>
  <c r="I64" i="120"/>
  <c r="I63" i="120"/>
  <c r="I62" i="120"/>
  <c r="I61" i="120"/>
  <c r="I60" i="120"/>
  <c r="I59" i="120"/>
  <c r="I58" i="120"/>
  <c r="I56" i="120"/>
  <c r="I55" i="120"/>
  <c r="I54" i="120"/>
  <c r="I51" i="120"/>
  <c r="I50" i="120"/>
  <c r="I49" i="120"/>
  <c r="I48" i="120"/>
  <c r="I47" i="120"/>
  <c r="I46" i="120"/>
  <c r="I44" i="120"/>
  <c r="I43" i="120"/>
  <c r="I42" i="120"/>
  <c r="I40" i="120"/>
  <c r="I38" i="120"/>
  <c r="I35" i="120"/>
  <c r="I34" i="120"/>
  <c r="I31" i="120"/>
  <c r="I30" i="120"/>
  <c r="I29" i="120"/>
  <c r="I28" i="120"/>
  <c r="I26" i="120"/>
  <c r="I64" i="121"/>
  <c r="I63" i="121"/>
  <c r="I62" i="121"/>
  <c r="I61" i="121"/>
  <c r="I59" i="121"/>
  <c r="I58" i="121"/>
  <c r="I57" i="121"/>
  <c r="I55" i="121"/>
  <c r="I54" i="121"/>
  <c r="I51" i="121"/>
  <c r="I50" i="121"/>
  <c r="I44" i="121"/>
  <c r="I42" i="121"/>
  <c r="I40" i="121"/>
  <c r="I38" i="121"/>
  <c r="I35" i="121"/>
  <c r="I34" i="121"/>
  <c r="I31" i="121"/>
  <c r="I29" i="121"/>
  <c r="I28" i="121"/>
  <c r="I26" i="121"/>
  <c r="I64" i="122"/>
  <c r="I63" i="122"/>
  <c r="I62" i="122"/>
  <c r="I61" i="122"/>
  <c r="I59" i="122"/>
  <c r="I58" i="122"/>
  <c r="I57" i="122"/>
  <c r="I56" i="122"/>
  <c r="I55" i="122"/>
  <c r="I54" i="122"/>
  <c r="I51" i="122"/>
  <c r="I50" i="122"/>
  <c r="I49" i="122"/>
  <c r="I48" i="122"/>
  <c r="I46" i="122"/>
  <c r="I44" i="122"/>
  <c r="I43" i="122"/>
  <c r="I42" i="122"/>
  <c r="I41" i="122"/>
  <c r="I40" i="122"/>
  <c r="I38" i="122"/>
  <c r="I37" i="122"/>
  <c r="I34" i="122"/>
  <c r="I31" i="122"/>
  <c r="I30" i="122"/>
  <c r="I29" i="122"/>
  <c r="I28" i="122"/>
  <c r="I26" i="122"/>
  <c r="I64" i="133"/>
  <c r="I63" i="133"/>
  <c r="I62" i="133"/>
  <c r="I61" i="133"/>
  <c r="I60" i="133"/>
  <c r="I59" i="133"/>
  <c r="I58" i="133"/>
  <c r="I57" i="133"/>
  <c r="I55" i="133"/>
  <c r="I54" i="133"/>
  <c r="I51" i="133"/>
  <c r="I50" i="133"/>
  <c r="I49" i="133"/>
  <c r="I48" i="133"/>
  <c r="I46" i="133"/>
  <c r="I44" i="133"/>
  <c r="I43" i="133"/>
  <c r="I42" i="133"/>
  <c r="I40" i="133"/>
  <c r="I38" i="133"/>
  <c r="I35" i="133"/>
  <c r="I34" i="133"/>
  <c r="I31" i="133"/>
  <c r="I30" i="133"/>
  <c r="I29" i="133"/>
  <c r="I28" i="133"/>
  <c r="I26" i="133"/>
  <c r="I63" i="86"/>
  <c r="I61" i="86"/>
  <c r="I60" i="86"/>
  <c r="I59" i="86"/>
  <c r="I58" i="86"/>
  <c r="I57" i="86"/>
  <c r="I56" i="86"/>
  <c r="I55" i="86"/>
  <c r="I51" i="86"/>
  <c r="I50" i="86"/>
  <c r="I48" i="86"/>
  <c r="I46" i="86"/>
  <c r="I44" i="86"/>
  <c r="I43" i="86"/>
  <c r="I42" i="86"/>
  <c r="I40" i="86"/>
  <c r="I35" i="86"/>
  <c r="I34" i="86"/>
  <c r="I31" i="86"/>
  <c r="I30" i="86"/>
  <c r="I29" i="86"/>
  <c r="I28" i="86"/>
  <c r="I26" i="86"/>
  <c r="I64" i="123"/>
  <c r="I63" i="123"/>
  <c r="I62" i="123"/>
  <c r="I61" i="123"/>
  <c r="I60" i="123"/>
  <c r="I59" i="123"/>
  <c r="I58" i="123"/>
  <c r="I57" i="123"/>
  <c r="I55" i="123"/>
  <c r="I54" i="123"/>
  <c r="I51" i="123"/>
  <c r="I50" i="123"/>
  <c r="I49" i="123"/>
  <c r="I48" i="123"/>
  <c r="I46" i="123"/>
  <c r="I44" i="123"/>
  <c r="I43" i="123"/>
  <c r="I42" i="123"/>
  <c r="I40" i="123"/>
  <c r="I39" i="123"/>
  <c r="I38" i="123"/>
  <c r="I37" i="123"/>
  <c r="I35" i="123"/>
  <c r="I34" i="123"/>
  <c r="I31" i="123"/>
  <c r="I29" i="123"/>
  <c r="I28" i="123"/>
  <c r="I26" i="123"/>
  <c r="I63" i="141"/>
  <c r="I62" i="141"/>
  <c r="I61" i="141"/>
  <c r="I60" i="141"/>
  <c r="I59" i="141"/>
  <c r="I58" i="141"/>
  <c r="I51" i="141"/>
  <c r="I50" i="141"/>
  <c r="I48" i="141"/>
  <c r="I46" i="141"/>
  <c r="I43" i="141"/>
  <c r="I42" i="141"/>
  <c r="I40" i="141"/>
  <c r="I31" i="141"/>
  <c r="I28" i="141"/>
  <c r="I26" i="141"/>
  <c r="I64" i="178"/>
  <c r="I63" i="178"/>
  <c r="I62" i="178"/>
  <c r="I61" i="178"/>
  <c r="I60" i="178"/>
  <c r="I59" i="178"/>
  <c r="I58" i="178"/>
  <c r="I57" i="178"/>
  <c r="I55" i="178"/>
  <c r="I51" i="178"/>
  <c r="I50" i="178"/>
  <c r="I49" i="178"/>
  <c r="I48" i="178"/>
  <c r="I42" i="178"/>
  <c r="I40" i="178"/>
  <c r="I34" i="178"/>
  <c r="I31" i="178"/>
  <c r="I30" i="178"/>
  <c r="I29" i="178"/>
  <c r="I28" i="178"/>
  <c r="I26" i="178"/>
  <c r="I63" i="179"/>
  <c r="I62" i="179"/>
  <c r="I61" i="179"/>
  <c r="I59" i="179"/>
  <c r="I58" i="179"/>
  <c r="I57" i="179"/>
  <c r="I55" i="179"/>
  <c r="I51" i="179"/>
  <c r="I50" i="179"/>
  <c r="I48" i="179"/>
  <c r="I46" i="179"/>
  <c r="I44" i="179"/>
  <c r="I42" i="179"/>
  <c r="I40" i="179"/>
  <c r="I38" i="179"/>
  <c r="I37" i="179"/>
  <c r="I31" i="179"/>
  <c r="I30" i="179"/>
  <c r="I29" i="179"/>
  <c r="I28" i="179"/>
  <c r="I26" i="179"/>
  <c r="I64" i="180"/>
  <c r="I63" i="180"/>
  <c r="I62" i="180"/>
  <c r="I61" i="180"/>
  <c r="I59" i="180"/>
  <c r="I58" i="180"/>
  <c r="I57" i="180"/>
  <c r="I51" i="180"/>
  <c r="I50" i="180"/>
  <c r="I48" i="180"/>
  <c r="I46" i="180"/>
  <c r="I42" i="180"/>
  <c r="I40" i="180"/>
  <c r="I38" i="180"/>
  <c r="I37" i="180"/>
  <c r="I34" i="180"/>
  <c r="I31" i="180"/>
  <c r="I30" i="180"/>
  <c r="I29" i="180"/>
  <c r="I28" i="180"/>
  <c r="I26" i="180"/>
  <c r="I64" i="181"/>
  <c r="I63" i="181"/>
  <c r="I62" i="181"/>
  <c r="I61" i="181"/>
  <c r="I60" i="181"/>
  <c r="I59" i="181"/>
  <c r="I58" i="181"/>
  <c r="I57" i="181"/>
  <c r="I56" i="181"/>
  <c r="I55" i="181"/>
  <c r="I54" i="181"/>
  <c r="I51" i="181"/>
  <c r="I50" i="181"/>
  <c r="I49" i="181"/>
  <c r="I48" i="181"/>
  <c r="I47" i="181"/>
  <c r="I46" i="181"/>
  <c r="I45" i="181"/>
  <c r="I44" i="181"/>
  <c r="I43" i="181"/>
  <c r="I42" i="181"/>
  <c r="I41" i="181"/>
  <c r="I40" i="181"/>
  <c r="I39" i="181"/>
  <c r="I38" i="181"/>
  <c r="I37" i="181"/>
  <c r="I36" i="181"/>
  <c r="I35" i="181"/>
  <c r="I34" i="181"/>
  <c r="I31" i="181"/>
  <c r="I30" i="181"/>
  <c r="I29" i="181"/>
  <c r="I28" i="181"/>
  <c r="I27" i="181"/>
  <c r="I26" i="181"/>
  <c r="I25" i="181"/>
  <c r="I18" i="181"/>
  <c r="I17" i="181"/>
  <c r="I16" i="181"/>
  <c r="I15" i="181"/>
  <c r="I64" i="182"/>
  <c r="I63" i="182"/>
  <c r="I62" i="182"/>
  <c r="I61" i="182"/>
  <c r="I60" i="182"/>
  <c r="I59" i="182"/>
  <c r="I58" i="182"/>
  <c r="I57" i="182"/>
  <c r="I56" i="182"/>
  <c r="I55" i="182"/>
  <c r="I54" i="182"/>
  <c r="I51" i="182"/>
  <c r="I50" i="182"/>
  <c r="I49" i="182"/>
  <c r="I48" i="182"/>
  <c r="I47" i="182"/>
  <c r="I46" i="182"/>
  <c r="I45" i="182"/>
  <c r="I44" i="182"/>
  <c r="I43" i="182"/>
  <c r="I42" i="182"/>
  <c r="I41" i="182"/>
  <c r="I40" i="182"/>
  <c r="I39" i="182"/>
  <c r="I38" i="182"/>
  <c r="I37" i="182"/>
  <c r="I36" i="182"/>
  <c r="I35" i="182"/>
  <c r="I34" i="182"/>
  <c r="I31" i="182"/>
  <c r="I30" i="182"/>
  <c r="I29" i="182"/>
  <c r="I28" i="182"/>
  <c r="I27" i="182"/>
  <c r="I26" i="182"/>
  <c r="I25" i="182"/>
  <c r="I18" i="182"/>
  <c r="I17" i="182"/>
  <c r="I16" i="182"/>
  <c r="I15" i="182"/>
  <c r="I63" i="183"/>
  <c r="I62" i="183"/>
  <c r="I61" i="183"/>
  <c r="I60" i="183"/>
  <c r="I59" i="183"/>
  <c r="I58" i="183"/>
  <c r="I57" i="183"/>
  <c r="I55" i="183"/>
  <c r="I51" i="183"/>
  <c r="I50" i="183"/>
  <c r="I48" i="183"/>
  <c r="I42" i="183"/>
  <c r="I40" i="183"/>
  <c r="I38" i="183"/>
  <c r="I37" i="183"/>
  <c r="I34" i="183"/>
  <c r="I31" i="183"/>
  <c r="I29" i="183"/>
  <c r="I28" i="183"/>
  <c r="I26" i="183"/>
  <c r="I64" i="184"/>
  <c r="I63" i="184"/>
  <c r="I62" i="184"/>
  <c r="I61" i="184"/>
  <c r="I60" i="184"/>
  <c r="I59" i="184"/>
  <c r="I58" i="184"/>
  <c r="I57" i="184"/>
  <c r="I56" i="184"/>
  <c r="I55" i="184"/>
  <c r="I54" i="184"/>
  <c r="I51" i="184"/>
  <c r="I50" i="184"/>
  <c r="I49" i="184"/>
  <c r="I48" i="184"/>
  <c r="I47" i="184"/>
  <c r="I46" i="184"/>
  <c r="I45" i="184"/>
  <c r="I44" i="184"/>
  <c r="I43" i="184"/>
  <c r="I42" i="184"/>
  <c r="I41" i="184"/>
  <c r="I40" i="184"/>
  <c r="I39" i="184"/>
  <c r="I38" i="184"/>
  <c r="I37" i="184"/>
  <c r="I36" i="184"/>
  <c r="I35" i="184"/>
  <c r="I34" i="184"/>
  <c r="I31" i="184"/>
  <c r="I30" i="184"/>
  <c r="I29" i="184"/>
  <c r="I28" i="184"/>
  <c r="I27" i="184"/>
  <c r="I26" i="184"/>
  <c r="I25" i="184"/>
  <c r="I18" i="184"/>
  <c r="I17" i="184"/>
  <c r="I16" i="184"/>
  <c r="I15" i="184"/>
  <c r="I64" i="185"/>
  <c r="I63" i="185"/>
  <c r="I62" i="185"/>
  <c r="I60" i="185"/>
  <c r="I59" i="185"/>
  <c r="I58" i="185"/>
  <c r="I57" i="185"/>
  <c r="I55" i="185"/>
  <c r="I51" i="185"/>
  <c r="I50" i="185"/>
  <c r="I48" i="185"/>
  <c r="I46" i="185"/>
  <c r="I42" i="185"/>
  <c r="I40" i="185"/>
  <c r="I37" i="185"/>
  <c r="I34" i="185"/>
  <c r="I31" i="185"/>
  <c r="I29" i="185"/>
  <c r="I28" i="185"/>
  <c r="I26" i="185"/>
  <c r="I63" i="186"/>
  <c r="I62" i="186"/>
  <c r="I61" i="186"/>
  <c r="I60" i="186"/>
  <c r="I59" i="186"/>
  <c r="I58" i="186"/>
  <c r="I55" i="186"/>
  <c r="I51" i="186"/>
  <c r="I50" i="186"/>
  <c r="I48" i="186"/>
  <c r="I44" i="186"/>
  <c r="I42" i="186"/>
  <c r="I40" i="186"/>
  <c r="I38" i="186"/>
  <c r="I37" i="186"/>
  <c r="I34" i="186"/>
  <c r="I31" i="186"/>
  <c r="I29" i="186"/>
  <c r="I28" i="186"/>
  <c r="I26" i="186"/>
  <c r="I64" i="187"/>
  <c r="I63" i="187"/>
  <c r="I62" i="187"/>
  <c r="I61" i="187"/>
  <c r="I60" i="187"/>
  <c r="I59" i="187"/>
  <c r="I58" i="187"/>
  <c r="I57" i="187"/>
  <c r="I56" i="187"/>
  <c r="I55" i="187"/>
  <c r="I54" i="187"/>
  <c r="I51" i="187"/>
  <c r="I50" i="187"/>
  <c r="I49" i="187"/>
  <c r="I48" i="187"/>
  <c r="I47" i="187"/>
  <c r="I46" i="187"/>
  <c r="I45" i="187"/>
  <c r="I44" i="187"/>
  <c r="I43" i="187"/>
  <c r="I42" i="187"/>
  <c r="I41" i="187"/>
  <c r="I40" i="187"/>
  <c r="I39" i="187"/>
  <c r="I38" i="187"/>
  <c r="I37" i="187"/>
  <c r="I36" i="187"/>
  <c r="I35" i="187"/>
  <c r="I34" i="187"/>
  <c r="I31" i="187"/>
  <c r="I30" i="187"/>
  <c r="I29" i="187"/>
  <c r="I28" i="187"/>
  <c r="I27" i="187"/>
  <c r="I26" i="187"/>
  <c r="I25" i="187"/>
  <c r="I18" i="187"/>
  <c r="I17" i="187"/>
  <c r="I16" i="187"/>
  <c r="I15" i="187"/>
  <c r="I64" i="188"/>
  <c r="I63" i="188"/>
  <c r="I62" i="188"/>
  <c r="I61" i="188"/>
  <c r="I60" i="188"/>
  <c r="I59" i="188"/>
  <c r="I58" i="188"/>
  <c r="I57" i="188"/>
  <c r="I56" i="188"/>
  <c r="I55" i="188"/>
  <c r="I54" i="188"/>
  <c r="I51" i="188"/>
  <c r="I50" i="188"/>
  <c r="I49" i="188"/>
  <c r="I48" i="188"/>
  <c r="I47" i="188"/>
  <c r="I46" i="188"/>
  <c r="I45" i="188"/>
  <c r="I44" i="188"/>
  <c r="I43" i="188"/>
  <c r="I42" i="188"/>
  <c r="I41" i="188"/>
  <c r="I40" i="188"/>
  <c r="I39" i="188"/>
  <c r="I38" i="188"/>
  <c r="I37" i="188"/>
  <c r="I36" i="188"/>
  <c r="I35" i="188"/>
  <c r="I34" i="188"/>
  <c r="I31" i="188"/>
  <c r="I30" i="188"/>
  <c r="I29" i="188"/>
  <c r="I28" i="188"/>
  <c r="I27" i="188"/>
  <c r="I26" i="188"/>
  <c r="I25" i="188"/>
  <c r="I18" i="188"/>
  <c r="I17" i="188"/>
  <c r="I16" i="188"/>
  <c r="I15" i="188"/>
  <c r="I64" i="189"/>
  <c r="I63" i="189"/>
  <c r="I62" i="189"/>
  <c r="I61" i="189"/>
  <c r="I60" i="189"/>
  <c r="I59" i="189"/>
  <c r="I58" i="189"/>
  <c r="I57" i="189"/>
  <c r="I56" i="189"/>
  <c r="I55" i="189"/>
  <c r="I54" i="189"/>
  <c r="I51" i="189"/>
  <c r="I50" i="189"/>
  <c r="I49" i="189"/>
  <c r="I48" i="189"/>
  <c r="I47" i="189"/>
  <c r="I46" i="189"/>
  <c r="I45" i="189"/>
  <c r="I44" i="189"/>
  <c r="I43" i="189"/>
  <c r="I42" i="189"/>
  <c r="I41" i="189"/>
  <c r="I40" i="189"/>
  <c r="I39" i="189"/>
  <c r="I38" i="189"/>
  <c r="I37" i="189"/>
  <c r="I36" i="189"/>
  <c r="I35" i="189"/>
  <c r="I34" i="189"/>
  <c r="I31" i="189"/>
  <c r="I30" i="189"/>
  <c r="I29" i="189"/>
  <c r="I28" i="189"/>
  <c r="I27" i="189"/>
  <c r="I26" i="189"/>
  <c r="I25" i="189"/>
  <c r="I18" i="189"/>
  <c r="I17" i="189"/>
  <c r="I16" i="189"/>
  <c r="I15" i="189"/>
  <c r="I64" i="190"/>
  <c r="I63" i="190"/>
  <c r="I62" i="190"/>
  <c r="I61" i="190"/>
  <c r="I60" i="190"/>
  <c r="I59" i="190"/>
  <c r="I58" i="190"/>
  <c r="I57" i="190"/>
  <c r="I56" i="190"/>
  <c r="I55" i="190"/>
  <c r="I54" i="190"/>
  <c r="I51" i="190"/>
  <c r="I50" i="190"/>
  <c r="I48" i="190"/>
  <c r="I44" i="190"/>
  <c r="I42" i="190"/>
  <c r="I40" i="190"/>
  <c r="I39" i="190"/>
  <c r="I37" i="190"/>
  <c r="I34" i="190"/>
  <c r="I31" i="190"/>
  <c r="I30" i="190"/>
  <c r="I29" i="190"/>
  <c r="I28" i="190"/>
  <c r="I26" i="190"/>
  <c r="I64" i="191"/>
  <c r="I63" i="191"/>
  <c r="I62" i="191"/>
  <c r="I59" i="191"/>
  <c r="I58" i="191"/>
  <c r="I57" i="191"/>
  <c r="I56" i="191"/>
  <c r="I55" i="191"/>
  <c r="I54" i="191"/>
  <c r="I51" i="191"/>
  <c r="I50" i="191"/>
  <c r="I49" i="191"/>
  <c r="I48" i="191"/>
  <c r="I44" i="191"/>
  <c r="I42" i="191"/>
  <c r="I40" i="191"/>
  <c r="I37" i="191"/>
  <c r="I34" i="191"/>
  <c r="I31" i="191"/>
  <c r="I29" i="191"/>
  <c r="I28" i="191"/>
  <c r="I26" i="191"/>
  <c r="I62" i="192"/>
  <c r="I61" i="192"/>
  <c r="I59" i="192"/>
  <c r="I58" i="192"/>
  <c r="I57" i="192"/>
  <c r="I55" i="192"/>
  <c r="I51" i="192"/>
  <c r="I50" i="192"/>
  <c r="I49" i="192"/>
  <c r="I48" i="192"/>
  <c r="I46" i="192"/>
  <c r="I44" i="192"/>
  <c r="I42" i="192"/>
  <c r="I34" i="192"/>
  <c r="I31" i="192"/>
  <c r="I29" i="192"/>
  <c r="I28" i="192"/>
  <c r="I26" i="192"/>
  <c r="I25" i="192"/>
  <c r="I64" i="193"/>
  <c r="I63" i="193"/>
  <c r="I62" i="193"/>
  <c r="I61" i="193"/>
  <c r="I60" i="193"/>
  <c r="I59" i="193"/>
  <c r="I58" i="193"/>
  <c r="I57" i="193"/>
  <c r="I56" i="193"/>
  <c r="I55" i="193"/>
  <c r="I54" i="193"/>
  <c r="I51" i="193"/>
  <c r="I50" i="193"/>
  <c r="I49" i="193"/>
  <c r="I48" i="193"/>
  <c r="I46" i="193"/>
  <c r="I44" i="193"/>
  <c r="I43" i="193"/>
  <c r="I42" i="193"/>
  <c r="I40" i="193"/>
  <c r="I37" i="193"/>
  <c r="I35" i="193"/>
  <c r="I34" i="193"/>
  <c r="I31" i="193"/>
  <c r="I30" i="193"/>
  <c r="I29" i="193"/>
  <c r="I28" i="193"/>
  <c r="I26" i="193"/>
  <c r="I63" i="194"/>
  <c r="I62" i="194"/>
  <c r="I61" i="194"/>
  <c r="I59" i="194"/>
  <c r="I58" i="194"/>
  <c r="I57" i="194"/>
  <c r="I56" i="194"/>
  <c r="I55" i="194"/>
  <c r="I54" i="194"/>
  <c r="I51" i="194"/>
  <c r="I50" i="194"/>
  <c r="I48" i="194"/>
  <c r="I46" i="194"/>
  <c r="I44" i="194"/>
  <c r="I42" i="194"/>
  <c r="I40" i="194"/>
  <c r="I38" i="194"/>
  <c r="I34" i="194"/>
  <c r="I31" i="194"/>
  <c r="I30" i="194"/>
  <c r="I29" i="194"/>
  <c r="I28" i="194"/>
  <c r="I26" i="194"/>
  <c r="I25" i="194"/>
  <c r="I64" i="195"/>
  <c r="I63" i="195"/>
  <c r="I62" i="195"/>
  <c r="I61" i="195"/>
  <c r="I59" i="195"/>
  <c r="I58" i="195"/>
  <c r="I57" i="195"/>
  <c r="I56" i="195"/>
  <c r="I55" i="195"/>
  <c r="I51" i="195"/>
  <c r="I50" i="195"/>
  <c r="I49" i="195"/>
  <c r="I48" i="195"/>
  <c r="I44" i="195"/>
  <c r="I42" i="195"/>
  <c r="I38" i="195"/>
  <c r="I34" i="195"/>
  <c r="I31" i="195"/>
  <c r="I30" i="195"/>
  <c r="I29" i="195"/>
  <c r="I28" i="195"/>
  <c r="I26" i="195"/>
  <c r="I64" i="196"/>
  <c r="I63" i="196"/>
  <c r="I62" i="196"/>
  <c r="I61" i="196"/>
  <c r="I60" i="196"/>
  <c r="I59" i="196"/>
  <c r="I57" i="196"/>
  <c r="I56" i="196"/>
  <c r="I55" i="196"/>
  <c r="I54" i="196"/>
  <c r="I51" i="196"/>
  <c r="I50" i="196"/>
  <c r="I49" i="196"/>
  <c r="I48" i="196"/>
  <c r="I46" i="196"/>
  <c r="I44" i="196"/>
  <c r="I42" i="196"/>
  <c r="I40" i="196"/>
  <c r="I38" i="196"/>
  <c r="I35" i="196"/>
  <c r="I34" i="196"/>
  <c r="I31" i="196"/>
  <c r="I30" i="196"/>
  <c r="I28" i="196"/>
  <c r="I26" i="196"/>
  <c r="I64" i="197"/>
  <c r="I63" i="197"/>
  <c r="I62" i="197"/>
  <c r="I61" i="197"/>
  <c r="I60" i="197"/>
  <c r="I59" i="197"/>
  <c r="I57" i="197"/>
  <c r="I55" i="197"/>
  <c r="I51" i="197"/>
  <c r="I50" i="197"/>
  <c r="I49" i="197"/>
  <c r="I48" i="197"/>
  <c r="I44" i="197"/>
  <c r="I43" i="197"/>
  <c r="I42" i="197"/>
  <c r="I40" i="197"/>
  <c r="I38" i="197"/>
  <c r="I37" i="197"/>
  <c r="I34" i="197"/>
  <c r="I31" i="197"/>
  <c r="I30" i="197"/>
  <c r="I28" i="197"/>
  <c r="I26" i="197"/>
  <c r="I64" i="198"/>
  <c r="I63" i="198"/>
  <c r="I62" i="198"/>
  <c r="I61" i="198"/>
  <c r="I60" i="198"/>
  <c r="I59" i="198"/>
  <c r="I57" i="198"/>
  <c r="I56" i="198"/>
  <c r="I55" i="198"/>
  <c r="I51" i="198"/>
  <c r="I50" i="198"/>
  <c r="I49" i="198"/>
  <c r="I48" i="198"/>
  <c r="I44" i="198"/>
  <c r="I42" i="198"/>
  <c r="I36" i="198"/>
  <c r="I31" i="198"/>
  <c r="I28" i="198"/>
  <c r="I26" i="198"/>
  <c r="I64" i="200"/>
  <c r="I63" i="200"/>
  <c r="I62" i="200"/>
  <c r="I61" i="200"/>
  <c r="I60" i="200"/>
  <c r="I59" i="200"/>
  <c r="I57" i="200"/>
  <c r="I55" i="200"/>
  <c r="I51" i="200"/>
  <c r="I50" i="200"/>
  <c r="I49" i="200"/>
  <c r="I48" i="200"/>
  <c r="I44" i="200"/>
  <c r="I42" i="200"/>
  <c r="I37" i="200"/>
  <c r="I34" i="200"/>
  <c r="I31" i="200"/>
  <c r="I30" i="200"/>
  <c r="I28" i="200"/>
  <c r="I26" i="200"/>
  <c r="I64" i="65"/>
  <c r="I63" i="65"/>
  <c r="I62" i="65"/>
  <c r="I61" i="65"/>
  <c r="I60" i="65"/>
  <c r="I59" i="65"/>
  <c r="I58" i="65"/>
  <c r="I57" i="65"/>
  <c r="I56" i="65"/>
  <c r="I55" i="65"/>
  <c r="I54" i="65"/>
  <c r="I51" i="65"/>
  <c r="I50" i="65"/>
  <c r="I49" i="65"/>
  <c r="I48" i="65"/>
  <c r="I47" i="65"/>
  <c r="I46" i="65"/>
  <c r="I45" i="65"/>
  <c r="I44" i="65"/>
  <c r="I43" i="65"/>
  <c r="I42" i="65"/>
  <c r="I41" i="65"/>
  <c r="I40" i="65"/>
  <c r="I39" i="65"/>
  <c r="I38" i="65"/>
  <c r="I37" i="65"/>
  <c r="I36" i="65"/>
  <c r="I35" i="65"/>
  <c r="I34" i="65"/>
  <c r="I31" i="65"/>
  <c r="I30" i="65"/>
  <c r="I29" i="65"/>
  <c r="I28" i="65"/>
  <c r="I27" i="65"/>
  <c r="I26" i="65"/>
  <c r="I25" i="65"/>
  <c r="I18" i="65"/>
  <c r="I17" i="65"/>
  <c r="I16" i="65"/>
  <c r="I15" i="65"/>
  <c r="I64" i="108"/>
  <c r="I63" i="108"/>
  <c r="I62" i="108"/>
  <c r="I61" i="108"/>
  <c r="I60" i="108"/>
  <c r="I59" i="108"/>
  <c r="I57" i="108"/>
  <c r="I55" i="108"/>
  <c r="I51" i="108"/>
  <c r="I48" i="108"/>
  <c r="I44" i="108"/>
  <c r="I42" i="108"/>
  <c r="I40" i="108"/>
  <c r="I31" i="108"/>
  <c r="I29" i="108"/>
  <c r="I28" i="108"/>
  <c r="I26" i="108"/>
  <c r="I63" i="109"/>
  <c r="I62" i="109"/>
  <c r="I60" i="109"/>
  <c r="I59" i="109"/>
  <c r="I57" i="109"/>
  <c r="I55" i="109"/>
  <c r="I54" i="109"/>
  <c r="I51" i="109"/>
  <c r="I50" i="109"/>
  <c r="I49" i="109"/>
  <c r="I48" i="109"/>
  <c r="I46" i="109"/>
  <c r="I44" i="109"/>
  <c r="I42" i="109"/>
  <c r="I40" i="109"/>
  <c r="I37" i="109"/>
  <c r="I34" i="109"/>
  <c r="I31" i="109"/>
  <c r="I29" i="109"/>
  <c r="I28" i="109"/>
  <c r="I26" i="109"/>
  <c r="I64" i="110"/>
  <c r="I63" i="110"/>
  <c r="I62" i="110"/>
  <c r="I61" i="110"/>
  <c r="I60" i="110"/>
  <c r="I59" i="110"/>
  <c r="I58" i="110"/>
  <c r="I57" i="110"/>
  <c r="I55" i="110"/>
  <c r="I51" i="110"/>
  <c r="I50" i="110"/>
  <c r="I48" i="110"/>
  <c r="I44" i="110"/>
  <c r="I42" i="110"/>
  <c r="I40" i="110"/>
  <c r="I38" i="110"/>
  <c r="I34" i="110"/>
  <c r="I31" i="110"/>
  <c r="I29" i="110"/>
  <c r="I28" i="110"/>
  <c r="I26" i="110"/>
  <c r="I64" i="111"/>
  <c r="I63" i="111"/>
  <c r="I62" i="111"/>
  <c r="I61" i="111"/>
  <c r="I59" i="111"/>
  <c r="I58" i="111"/>
  <c r="I55" i="111"/>
  <c r="I51" i="111"/>
  <c r="I50" i="111"/>
  <c r="I49" i="111"/>
  <c r="I46" i="111"/>
  <c r="I44" i="111"/>
  <c r="I42" i="111"/>
  <c r="I40" i="111"/>
  <c r="I34" i="111"/>
  <c r="I31" i="111"/>
  <c r="I29" i="111"/>
  <c r="I28" i="111"/>
  <c r="I26" i="111"/>
  <c r="H63" i="111"/>
  <c r="H62" i="111"/>
  <c r="H61" i="111"/>
  <c r="H60" i="111"/>
  <c r="H59" i="111"/>
  <c r="H58" i="111"/>
  <c r="H55" i="111"/>
  <c r="H51" i="111"/>
  <c r="H49" i="111"/>
  <c r="H48" i="111"/>
  <c r="H46" i="111"/>
  <c r="H44" i="111"/>
  <c r="H43" i="111"/>
  <c r="H42" i="111"/>
  <c r="H40" i="111"/>
  <c r="H34" i="111"/>
  <c r="H31" i="111"/>
  <c r="H30" i="111"/>
  <c r="H29" i="111"/>
  <c r="H28" i="111"/>
  <c r="H26" i="111"/>
  <c r="H63" i="91"/>
  <c r="H62" i="91"/>
  <c r="H61" i="91"/>
  <c r="H59" i="91"/>
  <c r="H58" i="91"/>
  <c r="H57" i="91"/>
  <c r="H55" i="91"/>
  <c r="H51" i="91"/>
  <c r="H50" i="91"/>
  <c r="H48" i="91"/>
  <c r="H46" i="91"/>
  <c r="H42" i="91"/>
  <c r="H40" i="91"/>
  <c r="H38" i="91"/>
  <c r="H37" i="91"/>
  <c r="H34" i="91"/>
  <c r="H31" i="91"/>
  <c r="H29" i="91"/>
  <c r="H28" i="91"/>
  <c r="H26" i="91"/>
  <c r="H64" i="93"/>
  <c r="H63" i="93"/>
  <c r="H62" i="93"/>
  <c r="H61" i="93"/>
  <c r="H60" i="93"/>
  <c r="H59" i="93"/>
  <c r="H58" i="93"/>
  <c r="H57" i="93"/>
  <c r="H55" i="93"/>
  <c r="H51" i="93"/>
  <c r="H50" i="93"/>
  <c r="H48" i="93"/>
  <c r="H47" i="93"/>
  <c r="H46" i="93"/>
  <c r="H44" i="93"/>
  <c r="H43" i="93"/>
  <c r="H42" i="93"/>
  <c r="H40" i="93"/>
  <c r="H35" i="93"/>
  <c r="H34" i="93"/>
  <c r="H31" i="93"/>
  <c r="H29" i="93"/>
  <c r="H28" i="93"/>
  <c r="H26" i="93"/>
  <c r="H63" i="94"/>
  <c r="H62" i="94"/>
  <c r="H61" i="94"/>
  <c r="H60" i="94"/>
  <c r="H59" i="94"/>
  <c r="H58" i="94"/>
  <c r="H57" i="94"/>
  <c r="H55" i="94"/>
  <c r="H48" i="94"/>
  <c r="H46" i="94"/>
  <c r="H44" i="94"/>
  <c r="H42" i="94"/>
  <c r="H40" i="94"/>
  <c r="H34" i="94"/>
  <c r="H31" i="94"/>
  <c r="H29" i="94"/>
  <c r="H28" i="94"/>
  <c r="H63" i="97"/>
  <c r="H62" i="97"/>
  <c r="H61" i="97"/>
  <c r="H60" i="97"/>
  <c r="H59" i="97"/>
  <c r="H58" i="97"/>
  <c r="H57" i="97"/>
  <c r="H55" i="97"/>
  <c r="H51" i="97"/>
  <c r="H50" i="97"/>
  <c r="H48" i="97"/>
  <c r="H46" i="97"/>
  <c r="H42" i="97"/>
  <c r="H40" i="97"/>
  <c r="H37" i="97"/>
  <c r="H34" i="97"/>
  <c r="H31" i="97"/>
  <c r="H28" i="97"/>
  <c r="H26" i="97"/>
  <c r="H63" i="131"/>
  <c r="H62" i="131"/>
  <c r="H61" i="131"/>
  <c r="H59" i="131"/>
  <c r="H58" i="131"/>
  <c r="H57" i="131"/>
  <c r="H55" i="131"/>
  <c r="H48" i="131"/>
  <c r="H46" i="131"/>
  <c r="H44" i="131"/>
  <c r="H42" i="131"/>
  <c r="H40" i="131"/>
  <c r="H38" i="131"/>
  <c r="H34" i="131"/>
  <c r="H31" i="131"/>
  <c r="H29" i="131"/>
  <c r="H28" i="131"/>
  <c r="H64" i="132"/>
  <c r="H63" i="132"/>
  <c r="H62" i="132"/>
  <c r="H61" i="132"/>
  <c r="H60" i="132"/>
  <c r="H59" i="132"/>
  <c r="H58" i="132"/>
  <c r="H57" i="132"/>
  <c r="H55" i="132"/>
  <c r="H51" i="132"/>
  <c r="H50" i="132"/>
  <c r="H46" i="132"/>
  <c r="H42" i="132"/>
  <c r="H40" i="132"/>
  <c r="H37" i="132"/>
  <c r="H36" i="132"/>
  <c r="H34" i="132"/>
  <c r="H31" i="132"/>
  <c r="H29" i="132"/>
  <c r="H28" i="132"/>
  <c r="H26" i="132"/>
  <c r="H63" i="81"/>
  <c r="H62" i="81"/>
  <c r="H61" i="81"/>
  <c r="H60" i="81"/>
  <c r="H59" i="81"/>
  <c r="H58" i="81"/>
  <c r="H57" i="81"/>
  <c r="H55" i="81"/>
  <c r="H51" i="81"/>
  <c r="H50" i="81"/>
  <c r="H48" i="81"/>
  <c r="H46" i="81"/>
  <c r="H44" i="81"/>
  <c r="H40" i="81"/>
  <c r="H34" i="81"/>
  <c r="H31" i="81"/>
  <c r="H29" i="81"/>
  <c r="H28" i="81"/>
  <c r="H26" i="81"/>
  <c r="H63" i="82"/>
  <c r="H62" i="82"/>
  <c r="H61" i="82"/>
  <c r="H59" i="82"/>
  <c r="H58" i="82"/>
  <c r="H57" i="82"/>
  <c r="H55" i="82"/>
  <c r="H50" i="82"/>
  <c r="H48" i="82"/>
  <c r="H46" i="82"/>
  <c r="H44" i="82"/>
  <c r="H42" i="82"/>
  <c r="H40" i="82"/>
  <c r="H35" i="82"/>
  <c r="H34" i="82"/>
  <c r="H31" i="82"/>
  <c r="H30" i="82"/>
  <c r="H29" i="82"/>
  <c r="H28" i="82"/>
  <c r="H26" i="82"/>
  <c r="H64" i="83"/>
  <c r="H63" i="83"/>
  <c r="H62" i="83"/>
  <c r="H61" i="83"/>
  <c r="H59" i="83"/>
  <c r="H58" i="83"/>
  <c r="H57" i="83"/>
  <c r="H55" i="83"/>
  <c r="H51" i="83"/>
  <c r="H50" i="83"/>
  <c r="H49" i="83"/>
  <c r="H48" i="83"/>
  <c r="H46" i="83"/>
  <c r="H44" i="83"/>
  <c r="H42" i="83"/>
  <c r="H40" i="83"/>
  <c r="H39" i="83"/>
  <c r="H36" i="83"/>
  <c r="H34" i="83"/>
  <c r="H31" i="83"/>
  <c r="H30" i="83"/>
  <c r="H29" i="83"/>
  <c r="H28" i="83"/>
  <c r="H26" i="83"/>
  <c r="H64" i="84"/>
  <c r="H63" i="84"/>
  <c r="H62" i="84"/>
  <c r="H61" i="84"/>
  <c r="H60" i="84"/>
  <c r="H59" i="84"/>
  <c r="H58" i="84"/>
  <c r="H57" i="84"/>
  <c r="H55" i="84"/>
  <c r="H51" i="84"/>
  <c r="H50" i="84"/>
  <c r="H49" i="84"/>
  <c r="H48" i="84"/>
  <c r="H46" i="84"/>
  <c r="H43" i="84"/>
  <c r="H42" i="84"/>
  <c r="H40" i="84"/>
  <c r="H37" i="84"/>
  <c r="H35" i="84"/>
  <c r="H34" i="84"/>
  <c r="H31" i="84"/>
  <c r="H30" i="84"/>
  <c r="H29" i="84"/>
  <c r="H28" i="84"/>
  <c r="H26" i="84"/>
  <c r="H64" i="85"/>
  <c r="H63" i="85"/>
  <c r="H62" i="85"/>
  <c r="H61" i="85"/>
  <c r="H60" i="85"/>
  <c r="H59" i="85"/>
  <c r="H58" i="85"/>
  <c r="H57" i="85"/>
  <c r="H56" i="85"/>
  <c r="H55" i="85"/>
  <c r="H54" i="85"/>
  <c r="H51" i="85"/>
  <c r="H50" i="85"/>
  <c r="H49" i="85"/>
  <c r="H48" i="85"/>
  <c r="H47" i="85"/>
  <c r="H46" i="85"/>
  <c r="H45" i="85"/>
  <c r="H44" i="85"/>
  <c r="H43" i="85"/>
  <c r="H42" i="85"/>
  <c r="H41" i="85"/>
  <c r="H40" i="85"/>
  <c r="H39" i="85"/>
  <c r="H38" i="85"/>
  <c r="H37" i="85"/>
  <c r="H36" i="85"/>
  <c r="H35" i="85"/>
  <c r="H34" i="85"/>
  <c r="H31" i="85"/>
  <c r="H30" i="85"/>
  <c r="H29" i="85"/>
  <c r="H28" i="85"/>
  <c r="H27" i="85"/>
  <c r="H26" i="85"/>
  <c r="H25" i="85"/>
  <c r="H18" i="85"/>
  <c r="H17" i="85"/>
  <c r="H16" i="85"/>
  <c r="H15" i="85"/>
  <c r="H64" i="120"/>
  <c r="H63" i="120"/>
  <c r="H62" i="120"/>
  <c r="H61" i="120"/>
  <c r="H59" i="120"/>
  <c r="H58" i="120"/>
  <c r="H57" i="120"/>
  <c r="H56" i="120"/>
  <c r="H55" i="120"/>
  <c r="H54" i="120"/>
  <c r="H51" i="120"/>
  <c r="H50" i="120"/>
  <c r="H49" i="120"/>
  <c r="H48" i="120"/>
  <c r="H47" i="120"/>
  <c r="H46" i="120"/>
  <c r="H44" i="120"/>
  <c r="H43" i="120"/>
  <c r="H42" i="120"/>
  <c r="H40" i="120"/>
  <c r="H38" i="120"/>
  <c r="H36" i="120"/>
  <c r="H35" i="120"/>
  <c r="H34" i="120"/>
  <c r="H31" i="120"/>
  <c r="H30" i="120"/>
  <c r="H29" i="120"/>
  <c r="H28" i="120"/>
  <c r="H26" i="120"/>
  <c r="H64" i="121"/>
  <c r="H63" i="121"/>
  <c r="H62" i="121"/>
  <c r="H61" i="121"/>
  <c r="H60" i="121"/>
  <c r="H59" i="121"/>
  <c r="H58" i="121"/>
  <c r="H56" i="121"/>
  <c r="H55" i="121"/>
  <c r="H51" i="121"/>
  <c r="H50" i="121"/>
  <c r="H48" i="121"/>
  <c r="H46" i="121"/>
  <c r="H44" i="121"/>
  <c r="H42" i="121"/>
  <c r="H40" i="121"/>
  <c r="H37" i="121"/>
  <c r="H34" i="121"/>
  <c r="H31" i="121"/>
  <c r="H30" i="121"/>
  <c r="H29" i="121"/>
  <c r="H28" i="121"/>
  <c r="H26" i="121"/>
  <c r="H64" i="122"/>
  <c r="H63" i="122"/>
  <c r="H62" i="122"/>
  <c r="H61" i="122"/>
  <c r="H59" i="122"/>
  <c r="H58" i="122"/>
  <c r="H57" i="122"/>
  <c r="H56" i="122"/>
  <c r="H55" i="122"/>
  <c r="H54" i="122"/>
  <c r="H51" i="122"/>
  <c r="H50" i="122"/>
  <c r="H49" i="122"/>
  <c r="H48" i="122"/>
  <c r="H46" i="122"/>
  <c r="H44" i="122"/>
  <c r="H43" i="122"/>
  <c r="H42" i="122"/>
  <c r="H40" i="122"/>
  <c r="H39" i="122"/>
  <c r="H35" i="122"/>
  <c r="H34" i="122"/>
  <c r="H31" i="122"/>
  <c r="H30" i="122"/>
  <c r="H29" i="122"/>
  <c r="H28" i="122"/>
  <c r="H26" i="122"/>
  <c r="H63" i="133"/>
  <c r="H62" i="133"/>
  <c r="H61" i="133"/>
  <c r="H59" i="133"/>
  <c r="H58" i="133"/>
  <c r="H57" i="133"/>
  <c r="H56" i="133"/>
  <c r="H55" i="133"/>
  <c r="H54" i="133"/>
  <c r="H51" i="133"/>
  <c r="H50" i="133"/>
  <c r="H49" i="133"/>
  <c r="H48" i="133"/>
  <c r="H47" i="133"/>
  <c r="H46" i="133"/>
  <c r="H44" i="133"/>
  <c r="H43" i="133"/>
  <c r="H42" i="133"/>
  <c r="H40" i="133"/>
  <c r="H38" i="133"/>
  <c r="H36" i="133"/>
  <c r="H34" i="133"/>
  <c r="H31" i="133"/>
  <c r="H30" i="133"/>
  <c r="H29" i="133"/>
  <c r="H28" i="133"/>
  <c r="H26" i="133"/>
  <c r="H63" i="86"/>
  <c r="H62" i="86"/>
  <c r="H61" i="86"/>
  <c r="H59" i="86"/>
  <c r="H58" i="86"/>
  <c r="H57" i="86"/>
  <c r="H55" i="86"/>
  <c r="H54" i="86"/>
  <c r="H51" i="86"/>
  <c r="H50" i="86"/>
  <c r="H48" i="86"/>
  <c r="H46" i="86"/>
  <c r="H43" i="86"/>
  <c r="H40" i="86"/>
  <c r="H34" i="86"/>
  <c r="H31" i="86"/>
  <c r="H29" i="86"/>
  <c r="H28" i="86"/>
  <c r="H64" i="123"/>
  <c r="H63" i="123"/>
  <c r="H62" i="123"/>
  <c r="H61" i="123"/>
  <c r="H59" i="123"/>
  <c r="H58" i="123"/>
  <c r="H57" i="123"/>
  <c r="H56" i="123"/>
  <c r="H55" i="123"/>
  <c r="H54" i="123"/>
  <c r="H51" i="123"/>
  <c r="H50" i="123"/>
  <c r="H49" i="123"/>
  <c r="H48" i="123"/>
  <c r="H46" i="123"/>
  <c r="H44" i="123"/>
  <c r="H43" i="123"/>
  <c r="H42" i="123"/>
  <c r="H40" i="123"/>
  <c r="H38" i="123"/>
  <c r="H37" i="123"/>
  <c r="H35" i="123"/>
  <c r="H34" i="123"/>
  <c r="H31" i="123"/>
  <c r="H30" i="123"/>
  <c r="H29" i="123"/>
  <c r="H28" i="123"/>
  <c r="H26" i="123"/>
  <c r="H63" i="141"/>
  <c r="H62" i="141"/>
  <c r="H61" i="141"/>
  <c r="H59" i="141"/>
  <c r="H58" i="141"/>
  <c r="H57" i="141"/>
  <c r="H55" i="141"/>
  <c r="H51" i="141"/>
  <c r="H50" i="141"/>
  <c r="H48" i="141"/>
  <c r="H46" i="141"/>
  <c r="H44" i="141"/>
  <c r="H42" i="141"/>
  <c r="H37" i="141"/>
  <c r="H34" i="141"/>
  <c r="H31" i="141"/>
  <c r="H30" i="141"/>
  <c r="H29" i="141"/>
  <c r="H28" i="141"/>
  <c r="H26" i="141"/>
  <c r="H64" i="178"/>
  <c r="H63" i="178"/>
  <c r="H62" i="178"/>
  <c r="H61" i="178"/>
  <c r="H60" i="178"/>
  <c r="H59" i="178"/>
  <c r="H58" i="178"/>
  <c r="H57" i="178"/>
  <c r="H55" i="178"/>
  <c r="H51" i="178"/>
  <c r="H50" i="178"/>
  <c r="H48" i="178"/>
  <c r="H46" i="178"/>
  <c r="H44" i="178"/>
  <c r="H42" i="178"/>
  <c r="H40" i="178"/>
  <c r="H37" i="178"/>
  <c r="H34" i="178"/>
  <c r="H31" i="178"/>
  <c r="H29" i="178"/>
  <c r="H28" i="178"/>
  <c r="H26" i="178"/>
  <c r="H63" i="179"/>
  <c r="H62" i="179"/>
  <c r="H61" i="179"/>
  <c r="H59" i="179"/>
  <c r="H58" i="179"/>
  <c r="H55" i="179"/>
  <c r="H51" i="179"/>
  <c r="H50" i="179"/>
  <c r="H49" i="179"/>
  <c r="H48" i="179"/>
  <c r="H46" i="179"/>
  <c r="H44" i="179"/>
  <c r="H42" i="179"/>
  <c r="H40" i="179"/>
  <c r="H38" i="179"/>
  <c r="H37" i="179"/>
  <c r="H34" i="179"/>
  <c r="H31" i="179"/>
  <c r="H29" i="179"/>
  <c r="H28" i="179"/>
  <c r="H26" i="179"/>
  <c r="H63" i="180"/>
  <c r="H62" i="180"/>
  <c r="H61" i="180"/>
  <c r="H59" i="180"/>
  <c r="H58" i="180"/>
  <c r="H57" i="180"/>
  <c r="H55" i="180"/>
  <c r="H54" i="180"/>
  <c r="H51" i="180"/>
  <c r="H34" i="180"/>
  <c r="H31" i="180"/>
  <c r="H30" i="180"/>
  <c r="H29" i="180"/>
  <c r="H28" i="180"/>
  <c r="H26" i="180"/>
  <c r="H64" i="181"/>
  <c r="H63" i="181"/>
  <c r="H62" i="181"/>
  <c r="H61" i="181"/>
  <c r="H60" i="181"/>
  <c r="H59" i="181"/>
  <c r="H58" i="181"/>
  <c r="H57" i="181"/>
  <c r="H56" i="181"/>
  <c r="H55" i="181"/>
  <c r="H54" i="181"/>
  <c r="H51" i="181"/>
  <c r="H50" i="181"/>
  <c r="H49" i="181"/>
  <c r="H48" i="181"/>
  <c r="H47" i="181"/>
  <c r="H46" i="181"/>
  <c r="H45" i="181"/>
  <c r="H44" i="181"/>
  <c r="H43" i="181"/>
  <c r="H42" i="181"/>
  <c r="H41" i="181"/>
  <c r="H40" i="181"/>
  <c r="H39" i="181"/>
  <c r="H38" i="181"/>
  <c r="H37" i="181"/>
  <c r="H36" i="181"/>
  <c r="H35" i="181"/>
  <c r="H34" i="181"/>
  <c r="H31" i="181"/>
  <c r="H30" i="181"/>
  <c r="H29" i="181"/>
  <c r="H28" i="181"/>
  <c r="H27" i="181"/>
  <c r="H26" i="181"/>
  <c r="H25" i="181"/>
  <c r="H18" i="181"/>
  <c r="H17" i="181"/>
  <c r="H16" i="181"/>
  <c r="H15" i="181"/>
  <c r="H64" i="182"/>
  <c r="H63" i="182"/>
  <c r="H62" i="182"/>
  <c r="H61" i="182"/>
  <c r="H60" i="182"/>
  <c r="H59" i="182"/>
  <c r="H58" i="182"/>
  <c r="H57" i="182"/>
  <c r="H56" i="182"/>
  <c r="H55" i="182"/>
  <c r="H54" i="182"/>
  <c r="H51" i="182"/>
  <c r="H50" i="182"/>
  <c r="H49" i="182"/>
  <c r="H48" i="182"/>
  <c r="H47" i="182"/>
  <c r="H46" i="182"/>
  <c r="H45" i="182"/>
  <c r="H44" i="182"/>
  <c r="H43" i="182"/>
  <c r="H42" i="182"/>
  <c r="H41" i="182"/>
  <c r="H40" i="182"/>
  <c r="H39" i="182"/>
  <c r="H38" i="182"/>
  <c r="H37" i="182"/>
  <c r="H36" i="182"/>
  <c r="H35" i="182"/>
  <c r="H34" i="182"/>
  <c r="H31" i="182"/>
  <c r="H30" i="182"/>
  <c r="H29" i="182"/>
  <c r="H28" i="182"/>
  <c r="H27" i="182"/>
  <c r="H26" i="182"/>
  <c r="H25" i="182"/>
  <c r="H18" i="182"/>
  <c r="H17" i="182"/>
  <c r="H16" i="182"/>
  <c r="H15" i="182"/>
  <c r="H64" i="183"/>
  <c r="H63" i="183"/>
  <c r="H62" i="183"/>
  <c r="H61" i="183"/>
  <c r="H60" i="183"/>
  <c r="H59" i="183"/>
  <c r="H58" i="183"/>
  <c r="H57" i="183"/>
  <c r="H55" i="183"/>
  <c r="H51" i="183"/>
  <c r="H50" i="183"/>
  <c r="H46" i="183"/>
  <c r="H44" i="183"/>
  <c r="H42" i="183"/>
  <c r="H31" i="183"/>
  <c r="H29" i="183"/>
  <c r="H28" i="183"/>
  <c r="H26" i="183"/>
  <c r="H64" i="184"/>
  <c r="H63" i="184"/>
  <c r="H62" i="184"/>
  <c r="H61" i="184"/>
  <c r="H60" i="184"/>
  <c r="H59" i="184"/>
  <c r="H58" i="184"/>
  <c r="H57" i="184"/>
  <c r="H56" i="184"/>
  <c r="H55" i="184"/>
  <c r="H54" i="184"/>
  <c r="H51" i="184"/>
  <c r="H50" i="184"/>
  <c r="H49" i="184"/>
  <c r="H48" i="184"/>
  <c r="H47" i="184"/>
  <c r="H46" i="184"/>
  <c r="H45" i="184"/>
  <c r="H44" i="184"/>
  <c r="H43" i="184"/>
  <c r="H42" i="184"/>
  <c r="H41" i="184"/>
  <c r="H40" i="184"/>
  <c r="H39" i="184"/>
  <c r="H38" i="184"/>
  <c r="H37" i="184"/>
  <c r="H36" i="184"/>
  <c r="H35" i="184"/>
  <c r="H34" i="184"/>
  <c r="H31" i="184"/>
  <c r="H30" i="184"/>
  <c r="H29" i="184"/>
  <c r="H28" i="184"/>
  <c r="H27" i="184"/>
  <c r="H26" i="184"/>
  <c r="H25" i="184"/>
  <c r="H18" i="184"/>
  <c r="H17" i="184"/>
  <c r="H16" i="184"/>
  <c r="H15" i="184"/>
  <c r="H64" i="185"/>
  <c r="H63" i="185"/>
  <c r="H62" i="185"/>
  <c r="H61" i="185"/>
  <c r="H59" i="185"/>
  <c r="H58" i="185"/>
  <c r="H57" i="185"/>
  <c r="H56" i="185"/>
  <c r="H55" i="185"/>
  <c r="H51" i="185"/>
  <c r="H50" i="185"/>
  <c r="H48" i="185"/>
  <c r="H47" i="185"/>
  <c r="H46" i="185"/>
  <c r="H44" i="185"/>
  <c r="H42" i="185"/>
  <c r="H40" i="185"/>
  <c r="H37" i="185"/>
  <c r="H34" i="185"/>
  <c r="H31" i="185"/>
  <c r="H29" i="185"/>
  <c r="H28" i="185"/>
  <c r="H26" i="185"/>
  <c r="H63" i="186"/>
  <c r="H62" i="186"/>
  <c r="H61" i="186"/>
  <c r="H59" i="186"/>
  <c r="H58" i="186"/>
  <c r="H57" i="186"/>
  <c r="H55" i="186"/>
  <c r="H51" i="186"/>
  <c r="H50" i="186"/>
  <c r="H48" i="186"/>
  <c r="H46" i="186"/>
  <c r="H44" i="186"/>
  <c r="H42" i="186"/>
  <c r="H38" i="186"/>
  <c r="H34" i="186"/>
  <c r="H31" i="186"/>
  <c r="H29" i="186"/>
  <c r="H28" i="186"/>
  <c r="H64" i="187"/>
  <c r="H63" i="187"/>
  <c r="H62" i="187"/>
  <c r="H61" i="187"/>
  <c r="H60" i="187"/>
  <c r="H59" i="187"/>
  <c r="H58" i="187"/>
  <c r="H57" i="187"/>
  <c r="H56" i="187"/>
  <c r="H55" i="187"/>
  <c r="H54" i="187"/>
  <c r="H51" i="187"/>
  <c r="H50" i="187"/>
  <c r="H49" i="187"/>
  <c r="H48" i="187"/>
  <c r="H47" i="187"/>
  <c r="H46" i="187"/>
  <c r="H45" i="187"/>
  <c r="H44" i="187"/>
  <c r="H43" i="187"/>
  <c r="H42" i="187"/>
  <c r="H41" i="187"/>
  <c r="H40" i="187"/>
  <c r="H39" i="187"/>
  <c r="H38" i="187"/>
  <c r="H37" i="187"/>
  <c r="H36" i="187"/>
  <c r="H35" i="187"/>
  <c r="H34" i="187"/>
  <c r="H31" i="187"/>
  <c r="H30" i="187"/>
  <c r="H29" i="187"/>
  <c r="H28" i="187"/>
  <c r="H27" i="187"/>
  <c r="H26" i="187"/>
  <c r="H25" i="187"/>
  <c r="H18" i="187"/>
  <c r="H17" i="187"/>
  <c r="H16" i="187"/>
  <c r="H15" i="187"/>
  <c r="H64" i="188"/>
  <c r="H63" i="188"/>
  <c r="H62" i="188"/>
  <c r="H61" i="188"/>
  <c r="H60" i="188"/>
  <c r="H59" i="188"/>
  <c r="H58" i="188"/>
  <c r="H57" i="188"/>
  <c r="H56" i="188"/>
  <c r="H55" i="188"/>
  <c r="H54" i="188"/>
  <c r="H51" i="188"/>
  <c r="H50" i="188"/>
  <c r="H49" i="188"/>
  <c r="H48" i="188"/>
  <c r="H47" i="188"/>
  <c r="H46" i="188"/>
  <c r="H45" i="188"/>
  <c r="H44" i="188"/>
  <c r="H43" i="188"/>
  <c r="H42" i="188"/>
  <c r="H41" i="188"/>
  <c r="H40" i="188"/>
  <c r="H39" i="188"/>
  <c r="H38" i="188"/>
  <c r="H37" i="188"/>
  <c r="H36" i="188"/>
  <c r="H35" i="188"/>
  <c r="H34" i="188"/>
  <c r="H31" i="188"/>
  <c r="H30" i="188"/>
  <c r="H29" i="188"/>
  <c r="H28" i="188"/>
  <c r="H27" i="188"/>
  <c r="H26" i="188"/>
  <c r="H25" i="188"/>
  <c r="H18" i="188"/>
  <c r="H17" i="188"/>
  <c r="H16" i="188"/>
  <c r="H15" i="188"/>
  <c r="H64" i="189"/>
  <c r="H63" i="189"/>
  <c r="H62" i="189"/>
  <c r="H61" i="189"/>
  <c r="H60" i="189"/>
  <c r="H59" i="189"/>
  <c r="H58" i="189"/>
  <c r="H57" i="189"/>
  <c r="H56" i="189"/>
  <c r="H55" i="189"/>
  <c r="H54" i="189"/>
  <c r="H51" i="189"/>
  <c r="H50" i="189"/>
  <c r="H49" i="189"/>
  <c r="H48" i="189"/>
  <c r="H47" i="189"/>
  <c r="H46" i="189"/>
  <c r="H45" i="189"/>
  <c r="H44" i="189"/>
  <c r="H43" i="189"/>
  <c r="H42" i="189"/>
  <c r="H41" i="189"/>
  <c r="H40" i="189"/>
  <c r="H39" i="189"/>
  <c r="H38" i="189"/>
  <c r="H37" i="189"/>
  <c r="H36" i="189"/>
  <c r="H35" i="189"/>
  <c r="H34" i="189"/>
  <c r="H31" i="189"/>
  <c r="H30" i="189"/>
  <c r="H29" i="189"/>
  <c r="H28" i="189"/>
  <c r="H27" i="189"/>
  <c r="H26" i="189"/>
  <c r="H25" i="189"/>
  <c r="H18" i="189"/>
  <c r="H17" i="189"/>
  <c r="H16" i="189"/>
  <c r="H15" i="189"/>
  <c r="H64" i="190"/>
  <c r="H63" i="190"/>
  <c r="H62" i="190"/>
  <c r="H61" i="190"/>
  <c r="H59" i="190"/>
  <c r="H57" i="190"/>
  <c r="H56" i="190"/>
  <c r="H55" i="190"/>
  <c r="H51" i="190"/>
  <c r="H50" i="190"/>
  <c r="H49" i="190"/>
  <c r="H48" i="190"/>
  <c r="H47" i="190"/>
  <c r="H46" i="190"/>
  <c r="H44" i="190"/>
  <c r="H42" i="190"/>
  <c r="H41" i="190"/>
  <c r="H40" i="190"/>
  <c r="H38" i="190"/>
  <c r="H37" i="190"/>
  <c r="H36" i="190"/>
  <c r="H34" i="190"/>
  <c r="H31" i="190"/>
  <c r="H29" i="190"/>
  <c r="H28" i="190"/>
  <c r="H26" i="190"/>
  <c r="H64" i="191"/>
  <c r="H63" i="191"/>
  <c r="H62" i="191"/>
  <c r="H61" i="191"/>
  <c r="H59" i="191"/>
  <c r="H58" i="191"/>
  <c r="H56" i="191"/>
  <c r="H55" i="191"/>
  <c r="H51" i="191"/>
  <c r="H50" i="191"/>
  <c r="H49" i="191"/>
  <c r="H46" i="191"/>
  <c r="H42" i="191"/>
  <c r="H40" i="191"/>
  <c r="H35" i="191"/>
  <c r="H34" i="191"/>
  <c r="H31" i="191"/>
  <c r="H29" i="191"/>
  <c r="H28" i="191"/>
  <c r="H63" i="192"/>
  <c r="H62" i="192"/>
  <c r="H61" i="192"/>
  <c r="H59" i="192"/>
  <c r="H58" i="192"/>
  <c r="H57" i="192"/>
  <c r="H55" i="192"/>
  <c r="H51" i="192"/>
  <c r="H50" i="192"/>
  <c r="H49" i="192"/>
  <c r="H48" i="192"/>
  <c r="H46" i="192"/>
  <c r="H44" i="192"/>
  <c r="H42" i="192"/>
  <c r="H37" i="192"/>
  <c r="H35" i="192"/>
  <c r="H34" i="192"/>
  <c r="H31" i="192"/>
  <c r="H30" i="192"/>
  <c r="H29" i="192"/>
  <c r="H28" i="192"/>
  <c r="H26" i="192"/>
  <c r="H64" i="193"/>
  <c r="H63" i="193"/>
  <c r="H62" i="193"/>
  <c r="H61" i="193"/>
  <c r="H59" i="193"/>
  <c r="H58" i="193"/>
  <c r="H57" i="193"/>
  <c r="H56" i="193"/>
  <c r="H55" i="193"/>
  <c r="H54" i="193"/>
  <c r="H51" i="193"/>
  <c r="H50" i="193"/>
  <c r="H49" i="193"/>
  <c r="H48" i="193"/>
  <c r="H47" i="193"/>
  <c r="H46" i="193"/>
  <c r="H44" i="193"/>
  <c r="H43" i="193"/>
  <c r="H42" i="193"/>
  <c r="H41" i="193"/>
  <c r="H40" i="193"/>
  <c r="H37" i="193"/>
  <c r="H35" i="193"/>
  <c r="H34" i="193"/>
  <c r="H31" i="193"/>
  <c r="H30" i="193"/>
  <c r="H29" i="193"/>
  <c r="H28" i="193"/>
  <c r="H26" i="193"/>
  <c r="H64" i="194"/>
  <c r="H63" i="194"/>
  <c r="H62" i="194"/>
  <c r="H61" i="194"/>
  <c r="H60" i="194"/>
  <c r="H59" i="194"/>
  <c r="H58" i="194"/>
  <c r="H57" i="194"/>
  <c r="H56" i="194"/>
  <c r="H55" i="194"/>
  <c r="H51" i="194"/>
  <c r="H50" i="194"/>
  <c r="H48" i="194"/>
  <c r="H46" i="194"/>
  <c r="H44" i="194"/>
  <c r="H42" i="194"/>
  <c r="H38" i="194"/>
  <c r="H35" i="194"/>
  <c r="H34" i="194"/>
  <c r="H31" i="194"/>
  <c r="H29" i="194"/>
  <c r="H28" i="194"/>
  <c r="H26" i="194"/>
  <c r="H64" i="195"/>
  <c r="H63" i="195"/>
  <c r="H62" i="195"/>
  <c r="H61" i="195"/>
  <c r="H60" i="195"/>
  <c r="H59" i="195"/>
  <c r="H58" i="195"/>
  <c r="H57" i="195"/>
  <c r="H55" i="195"/>
  <c r="H51" i="195"/>
  <c r="H50" i="195"/>
  <c r="H49" i="195"/>
  <c r="H48" i="195"/>
  <c r="H46" i="195"/>
  <c r="H44" i="195"/>
  <c r="H42" i="195"/>
  <c r="H40" i="195"/>
  <c r="H38" i="195"/>
  <c r="H37" i="195"/>
  <c r="H34" i="195"/>
  <c r="H31" i="195"/>
  <c r="H29" i="195"/>
  <c r="H28" i="195"/>
  <c r="H26" i="195"/>
  <c r="H64" i="196"/>
  <c r="H63" i="196"/>
  <c r="H62" i="196"/>
  <c r="H61" i="196"/>
  <c r="H60" i="196"/>
  <c r="H59" i="196"/>
  <c r="H57" i="196"/>
  <c r="H56" i="196"/>
  <c r="H55" i="196"/>
  <c r="H54" i="196"/>
  <c r="H51" i="196"/>
  <c r="H50" i="196"/>
  <c r="H49" i="196"/>
  <c r="H48" i="196"/>
  <c r="H46" i="196"/>
  <c r="H44" i="196"/>
  <c r="H43" i="196"/>
  <c r="H42" i="196"/>
  <c r="H41" i="196"/>
  <c r="H40" i="196"/>
  <c r="H38" i="196"/>
  <c r="H37" i="196"/>
  <c r="H34" i="196"/>
  <c r="H31" i="196"/>
  <c r="H29" i="196"/>
  <c r="H28" i="196"/>
  <c r="H63" i="197"/>
  <c r="H62" i="197"/>
  <c r="H61" i="197"/>
  <c r="H60" i="197"/>
  <c r="H57" i="197"/>
  <c r="H55" i="197"/>
  <c r="H51" i="197"/>
  <c r="H50" i="197"/>
  <c r="H49" i="197"/>
  <c r="H48" i="197"/>
  <c r="H47" i="197"/>
  <c r="H46" i="197"/>
  <c r="H44" i="197"/>
  <c r="H43" i="197"/>
  <c r="H42" i="197"/>
  <c r="H41" i="197"/>
  <c r="H40" i="197"/>
  <c r="H38" i="197"/>
  <c r="H37" i="197"/>
  <c r="H35" i="197"/>
  <c r="H34" i="197"/>
  <c r="H31" i="197"/>
  <c r="H30" i="197"/>
  <c r="H29" i="197"/>
  <c r="H28" i="197"/>
  <c r="H26" i="197"/>
  <c r="H64" i="198"/>
  <c r="H63" i="198"/>
  <c r="H62" i="198"/>
  <c r="H61" i="198"/>
  <c r="H60" i="198"/>
  <c r="H59" i="198"/>
  <c r="H57" i="198"/>
  <c r="H56" i="198"/>
  <c r="H55" i="198"/>
  <c r="H54" i="198"/>
  <c r="H51" i="198"/>
  <c r="H50" i="198"/>
  <c r="H49" i="198"/>
  <c r="H48" i="198"/>
  <c r="H46" i="198"/>
  <c r="H44" i="198"/>
  <c r="H42" i="198"/>
  <c r="H41" i="198"/>
  <c r="H40" i="198"/>
  <c r="H38" i="198"/>
  <c r="H37" i="198"/>
  <c r="H34" i="198"/>
  <c r="H31" i="198"/>
  <c r="H29" i="198"/>
  <c r="H28" i="198"/>
  <c r="H26" i="198"/>
  <c r="H64" i="200"/>
  <c r="H63" i="200"/>
  <c r="H62" i="200"/>
  <c r="H61" i="200"/>
  <c r="H60" i="200"/>
  <c r="H59" i="200"/>
  <c r="H57" i="200"/>
  <c r="H55" i="200"/>
  <c r="H54" i="200"/>
  <c r="H51" i="200"/>
  <c r="H50" i="200"/>
  <c r="H49" i="200"/>
  <c r="H48" i="200"/>
  <c r="H46" i="200"/>
  <c r="H44" i="200"/>
  <c r="H42" i="200"/>
  <c r="H41" i="200"/>
  <c r="H40" i="200"/>
  <c r="H38" i="200"/>
  <c r="H37" i="200"/>
  <c r="H35" i="200"/>
  <c r="H34" i="200"/>
  <c r="H31" i="200"/>
  <c r="H30" i="200"/>
  <c r="H29" i="200"/>
  <c r="H28" i="200"/>
  <c r="H26" i="200"/>
  <c r="H64" i="65"/>
  <c r="H63" i="65"/>
  <c r="H62" i="65"/>
  <c r="H61" i="65"/>
  <c r="H60" i="65"/>
  <c r="H59" i="65"/>
  <c r="H58" i="65"/>
  <c r="H57" i="65"/>
  <c r="H56" i="65"/>
  <c r="H55" i="65"/>
  <c r="H54" i="65"/>
  <c r="H51" i="65"/>
  <c r="H50" i="65"/>
  <c r="H49" i="65"/>
  <c r="H48" i="65"/>
  <c r="H47" i="65"/>
  <c r="H46" i="65"/>
  <c r="H45" i="65"/>
  <c r="H44" i="65"/>
  <c r="H43" i="65"/>
  <c r="H42" i="65"/>
  <c r="H41" i="65"/>
  <c r="H40" i="65"/>
  <c r="H39" i="65"/>
  <c r="H38" i="65"/>
  <c r="H37" i="65"/>
  <c r="H36" i="65"/>
  <c r="H35" i="65"/>
  <c r="H34" i="65"/>
  <c r="H31" i="65"/>
  <c r="H30" i="65"/>
  <c r="H29" i="65"/>
  <c r="H28" i="65"/>
  <c r="H27" i="65"/>
  <c r="H26" i="65"/>
  <c r="H25" i="65"/>
  <c r="H18" i="65"/>
  <c r="H17" i="65"/>
  <c r="H16" i="65"/>
  <c r="H15" i="65"/>
  <c r="H64" i="108"/>
  <c r="H63" i="108"/>
  <c r="H62" i="108"/>
  <c r="H61" i="108"/>
  <c r="H59" i="108"/>
  <c r="H58" i="108"/>
  <c r="H57" i="108"/>
  <c r="H56" i="108"/>
  <c r="H55" i="108"/>
  <c r="H51" i="108"/>
  <c r="H50" i="108"/>
  <c r="H49" i="108"/>
  <c r="H48" i="108"/>
  <c r="H46" i="108"/>
  <c r="H42" i="108"/>
  <c r="H40" i="108"/>
  <c r="H34" i="108"/>
  <c r="H31" i="108"/>
  <c r="H29" i="108"/>
  <c r="H28" i="108"/>
  <c r="H26" i="108"/>
  <c r="H64" i="109"/>
  <c r="H63" i="109"/>
  <c r="H62" i="109"/>
  <c r="H59" i="109"/>
  <c r="H58" i="109"/>
  <c r="H57" i="109"/>
  <c r="H55" i="109"/>
  <c r="H51" i="109"/>
  <c r="H50" i="109"/>
  <c r="H49" i="109"/>
  <c r="H48" i="109"/>
  <c r="H46" i="109"/>
  <c r="H44" i="109"/>
  <c r="H42" i="109"/>
  <c r="H40" i="109"/>
  <c r="H37" i="109"/>
  <c r="H34" i="109"/>
  <c r="H31" i="109"/>
  <c r="H29" i="109"/>
  <c r="H28" i="109"/>
  <c r="H26" i="109"/>
  <c r="H63" i="110"/>
  <c r="H62" i="110"/>
  <c r="H61" i="110"/>
  <c r="H59" i="110"/>
  <c r="H58" i="110"/>
  <c r="H57" i="110"/>
  <c r="H55" i="110"/>
  <c r="H51" i="110"/>
  <c r="H46" i="110"/>
  <c r="H44" i="110"/>
  <c r="H42" i="110"/>
  <c r="H40" i="110"/>
  <c r="H38" i="110"/>
  <c r="H34" i="110"/>
  <c r="H31" i="110"/>
  <c r="H29" i="110"/>
  <c r="H28" i="110"/>
  <c r="H26" i="110"/>
  <c r="G63" i="110"/>
  <c r="G62" i="110"/>
  <c r="G61" i="110"/>
  <c r="G60" i="110"/>
  <c r="G59" i="110"/>
  <c r="G58" i="110"/>
  <c r="G57" i="110"/>
  <c r="G55" i="110"/>
  <c r="G51" i="110"/>
  <c r="G50" i="110"/>
  <c r="G48" i="110"/>
  <c r="G47" i="110"/>
  <c r="G46" i="110"/>
  <c r="G44" i="110"/>
  <c r="G42" i="110"/>
  <c r="G40" i="110"/>
  <c r="G38" i="110"/>
  <c r="G31" i="110"/>
  <c r="G30" i="110"/>
  <c r="G29" i="110"/>
  <c r="G28" i="110"/>
  <c r="G26" i="110"/>
  <c r="G63" i="111"/>
  <c r="G62" i="111"/>
  <c r="G61" i="111"/>
  <c r="G59" i="111"/>
  <c r="G55" i="111"/>
  <c r="G51" i="111"/>
  <c r="G50" i="111"/>
  <c r="G49" i="111"/>
  <c r="G48" i="111"/>
  <c r="G46" i="111"/>
  <c r="G44" i="111"/>
  <c r="G42" i="111"/>
  <c r="G40" i="111"/>
  <c r="G34" i="111"/>
  <c r="G31" i="111"/>
  <c r="G30" i="111"/>
  <c r="G29" i="111"/>
  <c r="G28" i="111"/>
  <c r="G26" i="111"/>
  <c r="G64" i="91"/>
  <c r="G63" i="91"/>
  <c r="G62" i="91"/>
  <c r="G61" i="91"/>
  <c r="G59" i="91"/>
  <c r="G58" i="91"/>
  <c r="G57" i="91"/>
  <c r="G55" i="91"/>
  <c r="G51" i="91"/>
  <c r="G50" i="91"/>
  <c r="G48" i="91"/>
  <c r="G46" i="91"/>
  <c r="G44" i="91"/>
  <c r="G42" i="91"/>
  <c r="G38" i="91"/>
  <c r="G37" i="91"/>
  <c r="G31" i="91"/>
  <c r="G29" i="91"/>
  <c r="G28" i="91"/>
  <c r="G26" i="91"/>
  <c r="G63" i="93"/>
  <c r="G62" i="93"/>
  <c r="G61" i="93"/>
  <c r="G60" i="93"/>
  <c r="G59" i="93"/>
  <c r="G58" i="93"/>
  <c r="G57" i="93"/>
  <c r="G55" i="93"/>
  <c r="G54" i="93"/>
  <c r="G51" i="93"/>
  <c r="G49" i="93"/>
  <c r="G48" i="93"/>
  <c r="G46" i="93"/>
  <c r="G44" i="93"/>
  <c r="G42" i="93"/>
  <c r="G40" i="93"/>
  <c r="G34" i="93"/>
  <c r="G31" i="93"/>
  <c r="G29" i="93"/>
  <c r="G28" i="93"/>
  <c r="G26" i="93"/>
  <c r="G64" i="94"/>
  <c r="G63" i="94"/>
  <c r="G62" i="94"/>
  <c r="G61" i="94"/>
  <c r="G59" i="94"/>
  <c r="G57" i="94"/>
  <c r="G55" i="94"/>
  <c r="G51" i="94"/>
  <c r="G50" i="94"/>
  <c r="G48" i="94"/>
  <c r="G46" i="94"/>
  <c r="G44" i="94"/>
  <c r="G42" i="94"/>
  <c r="G40" i="94"/>
  <c r="G34" i="94"/>
  <c r="G31" i="94"/>
  <c r="G29" i="94"/>
  <c r="G28" i="94"/>
  <c r="G63" i="97"/>
  <c r="G62" i="97"/>
  <c r="G61" i="97"/>
  <c r="G60" i="97"/>
  <c r="G59" i="97"/>
  <c r="G58" i="97"/>
  <c r="G57" i="97"/>
  <c r="G56" i="97"/>
  <c r="G55" i="97"/>
  <c r="G54" i="97"/>
  <c r="G51" i="97"/>
  <c r="G50" i="97"/>
  <c r="G48" i="97"/>
  <c r="G46" i="97"/>
  <c r="G44" i="97"/>
  <c r="G42" i="97"/>
  <c r="G40" i="97"/>
  <c r="G34" i="97"/>
  <c r="G31" i="97"/>
  <c r="G29" i="97"/>
  <c r="G28" i="97"/>
  <c r="G26" i="97"/>
  <c r="G63" i="131"/>
  <c r="G62" i="131"/>
  <c r="G61" i="131"/>
  <c r="G59" i="131"/>
  <c r="G58" i="131"/>
  <c r="G57" i="131"/>
  <c r="G56" i="131"/>
  <c r="G55" i="131"/>
  <c r="G51" i="131"/>
  <c r="G50" i="131"/>
  <c r="G46" i="131"/>
  <c r="G42" i="131"/>
  <c r="G40" i="131"/>
  <c r="G34" i="131"/>
  <c r="G31" i="131"/>
  <c r="G29" i="131"/>
  <c r="G28" i="131"/>
  <c r="G26" i="131"/>
  <c r="G63" i="132"/>
  <c r="G62" i="132"/>
  <c r="G61" i="132"/>
  <c r="G60" i="132"/>
  <c r="G59" i="132"/>
  <c r="G58" i="132"/>
  <c r="G57" i="132"/>
  <c r="G55" i="132"/>
  <c r="G51" i="132"/>
  <c r="G50" i="132"/>
  <c r="G48" i="132"/>
  <c r="G46" i="132"/>
  <c r="G42" i="132"/>
  <c r="G40" i="132"/>
  <c r="G37" i="132"/>
  <c r="G34" i="132"/>
  <c r="G31" i="132"/>
  <c r="G29" i="132"/>
  <c r="G28" i="132"/>
  <c r="G63" i="81"/>
  <c r="G62" i="81"/>
  <c r="G61" i="81"/>
  <c r="G60" i="81"/>
  <c r="G59" i="81"/>
  <c r="G58" i="81"/>
  <c r="G57" i="81"/>
  <c r="G55" i="81"/>
  <c r="G51" i="81"/>
  <c r="G50" i="81"/>
  <c r="G48" i="81"/>
  <c r="G47" i="81"/>
  <c r="G46" i="81"/>
  <c r="G44" i="81"/>
  <c r="G42" i="81"/>
  <c r="G35" i="81"/>
  <c r="G34" i="81"/>
  <c r="G31" i="81"/>
  <c r="G29" i="81"/>
  <c r="G28" i="81"/>
  <c r="G26" i="81"/>
  <c r="G64" i="82"/>
  <c r="G63" i="82"/>
  <c r="G62" i="82"/>
  <c r="G61" i="82"/>
  <c r="G59" i="82"/>
  <c r="G58" i="82"/>
  <c r="G55" i="82"/>
  <c r="G51" i="82"/>
  <c r="G50" i="82"/>
  <c r="G48" i="82"/>
  <c r="G46" i="82"/>
  <c r="G44" i="82"/>
  <c r="G42" i="82"/>
  <c r="G40" i="82"/>
  <c r="G37" i="82"/>
  <c r="G35" i="82"/>
  <c r="G34" i="82"/>
  <c r="G31" i="82"/>
  <c r="G29" i="82"/>
  <c r="G28" i="82"/>
  <c r="G26" i="82"/>
  <c r="G64" i="83"/>
  <c r="G63" i="83"/>
  <c r="G62" i="83"/>
  <c r="G61" i="83"/>
  <c r="G59" i="83"/>
  <c r="G58" i="83"/>
  <c r="G57" i="83"/>
  <c r="G56" i="83"/>
  <c r="G55" i="83"/>
  <c r="G54" i="83"/>
  <c r="G51" i="83"/>
  <c r="G50" i="83"/>
  <c r="G49" i="83"/>
  <c r="G48" i="83"/>
  <c r="G46" i="83"/>
  <c r="G44" i="83"/>
  <c r="G42" i="83"/>
  <c r="G41" i="83"/>
  <c r="G40" i="83"/>
  <c r="G37" i="83"/>
  <c r="G34" i="83"/>
  <c r="G31" i="83"/>
  <c r="G30" i="83"/>
  <c r="G29" i="83"/>
  <c r="G28" i="83"/>
  <c r="G26" i="83"/>
  <c r="G63" i="84"/>
  <c r="G62" i="84"/>
  <c r="G61" i="84"/>
  <c r="G60" i="84"/>
  <c r="G59" i="84"/>
  <c r="G58" i="84"/>
  <c r="G57" i="84"/>
  <c r="G55" i="84"/>
  <c r="G51" i="84"/>
  <c r="G48" i="84"/>
  <c r="G46" i="84"/>
  <c r="G44" i="84"/>
  <c r="G42" i="84"/>
  <c r="G40" i="84"/>
  <c r="G35" i="84"/>
  <c r="G34" i="84"/>
  <c r="G31" i="84"/>
  <c r="G30" i="84"/>
  <c r="G29" i="84"/>
  <c r="G28" i="84"/>
  <c r="G26" i="84"/>
  <c r="G64" i="85"/>
  <c r="G63" i="85"/>
  <c r="G62" i="85"/>
  <c r="G61" i="85"/>
  <c r="G60" i="85"/>
  <c r="G59" i="85"/>
  <c r="G58" i="85"/>
  <c r="G57" i="85"/>
  <c r="G56" i="85"/>
  <c r="G55" i="85"/>
  <c r="G54" i="85"/>
  <c r="G51" i="85"/>
  <c r="G50" i="85"/>
  <c r="G49" i="85"/>
  <c r="G48" i="85"/>
  <c r="G47" i="85"/>
  <c r="G46" i="85"/>
  <c r="G45" i="85"/>
  <c r="G44" i="85"/>
  <c r="G43" i="85"/>
  <c r="G42" i="85"/>
  <c r="G41" i="85"/>
  <c r="G40" i="85"/>
  <c r="G39" i="85"/>
  <c r="G38" i="85"/>
  <c r="G37" i="85"/>
  <c r="G36" i="85"/>
  <c r="G35" i="85"/>
  <c r="G34" i="85"/>
  <c r="G31" i="85"/>
  <c r="G30" i="85"/>
  <c r="G29" i="85"/>
  <c r="G28" i="85"/>
  <c r="G27" i="85"/>
  <c r="G26" i="85"/>
  <c r="G25" i="85"/>
  <c r="G18" i="85"/>
  <c r="G17" i="85"/>
  <c r="G16" i="85"/>
  <c r="G15" i="85"/>
  <c r="G64" i="120"/>
  <c r="G63" i="120"/>
  <c r="G62" i="120"/>
  <c r="G61" i="120"/>
  <c r="G60" i="120"/>
  <c r="G59" i="120"/>
  <c r="G58" i="120"/>
  <c r="G57" i="120"/>
  <c r="G56" i="120"/>
  <c r="G55" i="120"/>
  <c r="G54" i="120"/>
  <c r="G51" i="120"/>
  <c r="G50" i="120"/>
  <c r="G49" i="120"/>
  <c r="G48" i="120"/>
  <c r="G47" i="120"/>
  <c r="G46" i="120"/>
  <c r="G45" i="120"/>
  <c r="G44" i="120"/>
  <c r="G43" i="120"/>
  <c r="G42" i="120"/>
  <c r="G41" i="120"/>
  <c r="G40" i="120"/>
  <c r="G39" i="120"/>
  <c r="G38" i="120"/>
  <c r="G37" i="120"/>
  <c r="G36" i="120"/>
  <c r="G35" i="120"/>
  <c r="G34" i="120"/>
  <c r="G31" i="120"/>
  <c r="G30" i="120"/>
  <c r="G29" i="120"/>
  <c r="G28" i="120"/>
  <c r="G27" i="120"/>
  <c r="G26" i="120"/>
  <c r="G25" i="120"/>
  <c r="G18" i="120"/>
  <c r="G17" i="120"/>
  <c r="G16" i="120"/>
  <c r="G15" i="120"/>
  <c r="G64" i="121"/>
  <c r="G62" i="121"/>
  <c r="G61" i="121"/>
  <c r="G60" i="121"/>
  <c r="G59" i="121"/>
  <c r="G58" i="121"/>
  <c r="G57" i="121"/>
  <c r="G56" i="121"/>
  <c r="G55" i="121"/>
  <c r="G54" i="121"/>
  <c r="G51" i="121"/>
  <c r="G50" i="121"/>
  <c r="G48" i="121"/>
  <c r="G46" i="121"/>
  <c r="G43" i="121"/>
  <c r="G42" i="121"/>
  <c r="G40" i="121"/>
  <c r="G38" i="121"/>
  <c r="G34" i="121"/>
  <c r="G31" i="121"/>
  <c r="G29" i="121"/>
  <c r="G28" i="121"/>
  <c r="G64" i="122"/>
  <c r="G63" i="122"/>
  <c r="G62" i="122"/>
  <c r="G61" i="122"/>
  <c r="G59" i="122"/>
  <c r="G58" i="122"/>
  <c r="G57" i="122"/>
  <c r="G56" i="122"/>
  <c r="G55" i="122"/>
  <c r="G54" i="122"/>
  <c r="G51" i="122"/>
  <c r="G50" i="122"/>
  <c r="G48" i="122"/>
  <c r="G47" i="122"/>
  <c r="G46" i="122"/>
  <c r="G44" i="122"/>
  <c r="G43" i="122"/>
  <c r="G42" i="122"/>
  <c r="G40" i="122"/>
  <c r="G38" i="122"/>
  <c r="G37" i="122"/>
  <c r="G35" i="122"/>
  <c r="G34" i="122"/>
  <c r="G31" i="122"/>
  <c r="G30" i="122"/>
  <c r="G29" i="122"/>
  <c r="G28" i="122"/>
  <c r="G26" i="122"/>
  <c r="G64" i="133"/>
  <c r="G63" i="133"/>
  <c r="G62" i="133"/>
  <c r="G61" i="133"/>
  <c r="G60" i="133"/>
  <c r="G59" i="133"/>
  <c r="G58" i="133"/>
  <c r="G57" i="133"/>
  <c r="G56" i="133"/>
  <c r="G55" i="133"/>
  <c r="G51" i="133"/>
  <c r="G50" i="133"/>
  <c r="G48" i="133"/>
  <c r="G47" i="133"/>
  <c r="G46" i="133"/>
  <c r="G44" i="133"/>
  <c r="G42" i="133"/>
  <c r="G41" i="133"/>
  <c r="G40" i="133"/>
  <c r="G38" i="133"/>
  <c r="G37" i="133"/>
  <c r="G35" i="133"/>
  <c r="G34" i="133"/>
  <c r="G31" i="133"/>
  <c r="G29" i="133"/>
  <c r="G28" i="133"/>
  <c r="G26" i="133"/>
  <c r="G63" i="86"/>
  <c r="G62" i="86"/>
  <c r="G61" i="86"/>
  <c r="G59" i="86"/>
  <c r="G58" i="86"/>
  <c r="G57" i="86"/>
  <c r="G55" i="86"/>
  <c r="G51" i="86"/>
  <c r="G50" i="86"/>
  <c r="G48" i="86"/>
  <c r="G46" i="86"/>
  <c r="G44" i="86"/>
  <c r="G40" i="86"/>
  <c r="G34" i="86"/>
  <c r="G31" i="86"/>
  <c r="G30" i="86"/>
  <c r="G29" i="86"/>
  <c r="G28" i="86"/>
  <c r="G26" i="86"/>
  <c r="G64" i="123"/>
  <c r="G63" i="123"/>
  <c r="G62" i="123"/>
  <c r="G61" i="123"/>
  <c r="G59" i="123"/>
  <c r="G58" i="123"/>
  <c r="G57" i="123"/>
  <c r="G56" i="123"/>
  <c r="G55" i="123"/>
  <c r="G54" i="123"/>
  <c r="G51" i="123"/>
  <c r="G50" i="123"/>
  <c r="G48" i="123"/>
  <c r="G47" i="123"/>
  <c r="G46" i="123"/>
  <c r="G44" i="123"/>
  <c r="G43" i="123"/>
  <c r="G42" i="123"/>
  <c r="G40" i="123"/>
  <c r="G37" i="123"/>
  <c r="G34" i="123"/>
  <c r="G31" i="123"/>
  <c r="G30" i="123"/>
  <c r="G29" i="123"/>
  <c r="G28" i="123"/>
  <c r="G26" i="123"/>
  <c r="G63" i="141"/>
  <c r="G62" i="141"/>
  <c r="G61" i="141"/>
  <c r="G59" i="141"/>
  <c r="G58" i="141"/>
  <c r="G55" i="141"/>
  <c r="G51" i="141"/>
  <c r="G50" i="141"/>
  <c r="G43" i="141"/>
  <c r="G42" i="141"/>
  <c r="G40" i="141"/>
  <c r="G37" i="141"/>
  <c r="G29" i="141"/>
  <c r="G28" i="141"/>
  <c r="G64" i="178"/>
  <c r="G63" i="178"/>
  <c r="G62" i="178"/>
  <c r="G59" i="178"/>
  <c r="G58" i="178"/>
  <c r="G57" i="178"/>
  <c r="G55" i="178"/>
  <c r="G51" i="178"/>
  <c r="G48" i="178"/>
  <c r="G46" i="178"/>
  <c r="G44" i="178"/>
  <c r="G42" i="178"/>
  <c r="G40" i="178"/>
  <c r="G37" i="178"/>
  <c r="G34" i="178"/>
  <c r="G31" i="178"/>
  <c r="G30" i="178"/>
  <c r="G29" i="178"/>
  <c r="G28" i="178"/>
  <c r="G26" i="178"/>
  <c r="G63" i="179"/>
  <c r="G62" i="179"/>
  <c r="G61" i="179"/>
  <c r="G59" i="179"/>
  <c r="G57" i="179"/>
  <c r="G55" i="179"/>
  <c r="G51" i="179"/>
  <c r="G50" i="179"/>
  <c r="G49" i="179"/>
  <c r="G46" i="179"/>
  <c r="G44" i="179"/>
  <c r="G42" i="179"/>
  <c r="G41" i="179"/>
  <c r="G37" i="179"/>
  <c r="G35" i="179"/>
  <c r="G34" i="179"/>
  <c r="G31" i="179"/>
  <c r="G29" i="179"/>
  <c r="G28" i="179"/>
  <c r="G26" i="179"/>
  <c r="G63" i="180"/>
  <c r="G62" i="180"/>
  <c r="G61" i="180"/>
  <c r="G59" i="180"/>
  <c r="G58" i="180"/>
  <c r="G57" i="180"/>
  <c r="G55" i="180"/>
  <c r="G51" i="180"/>
  <c r="G49" i="180"/>
  <c r="G48" i="180"/>
  <c r="G47" i="180"/>
  <c r="G46" i="180"/>
  <c r="G42" i="180"/>
  <c r="G38" i="180"/>
  <c r="G37" i="180"/>
  <c r="G34" i="180"/>
  <c r="G31" i="180"/>
  <c r="G30" i="180"/>
  <c r="G29" i="180"/>
  <c r="G28" i="180"/>
  <c r="G26" i="180"/>
  <c r="G64" i="181"/>
  <c r="G63" i="181"/>
  <c r="G62" i="181"/>
  <c r="G61" i="181"/>
  <c r="G60" i="181"/>
  <c r="G59" i="181"/>
  <c r="G58" i="181"/>
  <c r="G57" i="181"/>
  <c r="G56" i="181"/>
  <c r="G55" i="181"/>
  <c r="G54" i="181"/>
  <c r="G51" i="181"/>
  <c r="G50" i="181"/>
  <c r="G49" i="181"/>
  <c r="G48" i="181"/>
  <c r="G47" i="181"/>
  <c r="G46" i="181"/>
  <c r="G45" i="181"/>
  <c r="G44" i="181"/>
  <c r="G43" i="181"/>
  <c r="G42" i="181"/>
  <c r="G41" i="181"/>
  <c r="G40" i="181"/>
  <c r="G39" i="181"/>
  <c r="G38" i="181"/>
  <c r="G37" i="181"/>
  <c r="G36" i="181"/>
  <c r="G35" i="181"/>
  <c r="G34" i="181"/>
  <c r="G31" i="181"/>
  <c r="G30" i="181"/>
  <c r="G29" i="181"/>
  <c r="G28" i="181"/>
  <c r="G27" i="181"/>
  <c r="G26" i="181"/>
  <c r="G25" i="181"/>
  <c r="G18" i="181"/>
  <c r="G17" i="181"/>
  <c r="G16" i="181"/>
  <c r="G15" i="181"/>
  <c r="G64" i="182"/>
  <c r="G63" i="182"/>
  <c r="G62" i="182"/>
  <c r="G61" i="182"/>
  <c r="G60" i="182"/>
  <c r="G59" i="182"/>
  <c r="G58" i="182"/>
  <c r="G57" i="182"/>
  <c r="G56" i="182"/>
  <c r="G55" i="182"/>
  <c r="G54" i="182"/>
  <c r="G51" i="182"/>
  <c r="G50" i="182"/>
  <c r="G49" i="182"/>
  <c r="G48" i="182"/>
  <c r="G47" i="182"/>
  <c r="G46" i="182"/>
  <c r="G45" i="182"/>
  <c r="G44" i="182"/>
  <c r="G43" i="182"/>
  <c r="G42" i="182"/>
  <c r="G41" i="182"/>
  <c r="G40" i="182"/>
  <c r="G39" i="182"/>
  <c r="G38" i="182"/>
  <c r="G37" i="182"/>
  <c r="G36" i="182"/>
  <c r="G35" i="182"/>
  <c r="G34" i="182"/>
  <c r="G31" i="182"/>
  <c r="G30" i="182"/>
  <c r="G29" i="182"/>
  <c r="G28" i="182"/>
  <c r="G27" i="182"/>
  <c r="G26" i="182"/>
  <c r="G25" i="182"/>
  <c r="G18" i="182"/>
  <c r="G17" i="182"/>
  <c r="G16" i="182"/>
  <c r="G15" i="182"/>
  <c r="G63" i="183"/>
  <c r="G62" i="183"/>
  <c r="G59" i="183"/>
  <c r="G58" i="183"/>
  <c r="G57" i="183"/>
  <c r="G55" i="183"/>
  <c r="G51" i="183"/>
  <c r="G50" i="183"/>
  <c r="G48" i="183"/>
  <c r="G46" i="183"/>
  <c r="G44" i="183"/>
  <c r="G42" i="183"/>
  <c r="G40" i="183"/>
  <c r="G34" i="183"/>
  <c r="G31" i="183"/>
  <c r="G29" i="183"/>
  <c r="G28" i="183"/>
  <c r="G26" i="183"/>
  <c r="G64" i="184"/>
  <c r="G63" i="184"/>
  <c r="G62" i="184"/>
  <c r="G61" i="184"/>
  <c r="G60" i="184"/>
  <c r="G59" i="184"/>
  <c r="G58" i="184"/>
  <c r="G57" i="184"/>
  <c r="G56" i="184"/>
  <c r="G55" i="184"/>
  <c r="G54" i="184"/>
  <c r="G51" i="184"/>
  <c r="G50" i="184"/>
  <c r="G49" i="184"/>
  <c r="G48" i="184"/>
  <c r="G47" i="184"/>
  <c r="G46" i="184"/>
  <c r="G45" i="184"/>
  <c r="G44" i="184"/>
  <c r="G43" i="184"/>
  <c r="G42" i="184"/>
  <c r="G41" i="184"/>
  <c r="G40" i="184"/>
  <c r="G39" i="184"/>
  <c r="G38" i="184"/>
  <c r="G37" i="184"/>
  <c r="G36" i="184"/>
  <c r="G35" i="184"/>
  <c r="G34" i="184"/>
  <c r="G31" i="184"/>
  <c r="G30" i="184"/>
  <c r="G29" i="184"/>
  <c r="G28" i="184"/>
  <c r="G27" i="184"/>
  <c r="G26" i="184"/>
  <c r="G25" i="184"/>
  <c r="G18" i="184"/>
  <c r="G17" i="184"/>
  <c r="G16" i="184"/>
  <c r="G15" i="184"/>
  <c r="G63" i="185"/>
  <c r="G62" i="185"/>
  <c r="G60" i="185"/>
  <c r="G59" i="185"/>
  <c r="G58" i="185"/>
  <c r="G57" i="185"/>
  <c r="G55" i="185"/>
  <c r="G51" i="185"/>
  <c r="G50" i="185"/>
  <c r="G48" i="185"/>
  <c r="G46" i="185"/>
  <c r="G44" i="185"/>
  <c r="G42" i="185"/>
  <c r="G40" i="185"/>
  <c r="G37" i="185"/>
  <c r="G36" i="185"/>
  <c r="G34" i="185"/>
  <c r="G31" i="185"/>
  <c r="G29" i="185"/>
  <c r="G28" i="185"/>
  <c r="G26" i="185"/>
  <c r="G25" i="185"/>
  <c r="G64" i="186"/>
  <c r="G63" i="186"/>
  <c r="G62" i="186"/>
  <c r="G61" i="186"/>
  <c r="G60" i="186"/>
  <c r="G59" i="186"/>
  <c r="G57" i="186"/>
  <c r="G55" i="186"/>
  <c r="G51" i="186"/>
  <c r="G50" i="186"/>
  <c r="G49" i="186"/>
  <c r="G48" i="186"/>
  <c r="G47" i="186"/>
  <c r="G46" i="186"/>
  <c r="G44" i="186"/>
  <c r="G42" i="186"/>
  <c r="G40" i="186"/>
  <c r="G38" i="186"/>
  <c r="G34" i="186"/>
  <c r="G31" i="186"/>
  <c r="G29" i="186"/>
  <c r="G28" i="186"/>
  <c r="G64" i="187"/>
  <c r="G63" i="187"/>
  <c r="G62" i="187"/>
  <c r="G61" i="187"/>
  <c r="G60" i="187"/>
  <c r="G59" i="187"/>
  <c r="G58" i="187"/>
  <c r="G57" i="187"/>
  <c r="G56" i="187"/>
  <c r="G55" i="187"/>
  <c r="G54" i="187"/>
  <c r="G51" i="187"/>
  <c r="G50" i="187"/>
  <c r="G49" i="187"/>
  <c r="G48" i="187"/>
  <c r="G47" i="187"/>
  <c r="G46" i="187"/>
  <c r="G45" i="187"/>
  <c r="G44" i="187"/>
  <c r="G43" i="187"/>
  <c r="G42" i="187"/>
  <c r="G41" i="187"/>
  <c r="G40" i="187"/>
  <c r="G39" i="187"/>
  <c r="G38" i="187"/>
  <c r="G37" i="187"/>
  <c r="G36" i="187"/>
  <c r="G35" i="187"/>
  <c r="G34" i="187"/>
  <c r="G31" i="187"/>
  <c r="G30" i="187"/>
  <c r="G29" i="187"/>
  <c r="G28" i="187"/>
  <c r="G27" i="187"/>
  <c r="G26" i="187"/>
  <c r="G25" i="187"/>
  <c r="G18" i="187"/>
  <c r="G17" i="187"/>
  <c r="G16" i="187"/>
  <c r="G15" i="187"/>
  <c r="G64" i="188"/>
  <c r="G63" i="188"/>
  <c r="G62" i="188"/>
  <c r="G61" i="188"/>
  <c r="G60" i="188"/>
  <c r="G59" i="188"/>
  <c r="G58" i="188"/>
  <c r="G57" i="188"/>
  <c r="G56" i="188"/>
  <c r="G55" i="188"/>
  <c r="G54" i="188"/>
  <c r="G51" i="188"/>
  <c r="G50" i="188"/>
  <c r="G49" i="188"/>
  <c r="G48" i="188"/>
  <c r="G47" i="188"/>
  <c r="G46" i="188"/>
  <c r="G45" i="188"/>
  <c r="G44" i="188"/>
  <c r="G43" i="188"/>
  <c r="G42" i="188"/>
  <c r="G41" i="188"/>
  <c r="G40" i="188"/>
  <c r="G39" i="188"/>
  <c r="G38" i="188"/>
  <c r="G37" i="188"/>
  <c r="G36" i="188"/>
  <c r="G35" i="188"/>
  <c r="G34" i="188"/>
  <c r="G31" i="188"/>
  <c r="G30" i="188"/>
  <c r="G29" i="188"/>
  <c r="G28" i="188"/>
  <c r="G27" i="188"/>
  <c r="G26" i="188"/>
  <c r="G25" i="188"/>
  <c r="G18" i="188"/>
  <c r="G17" i="188"/>
  <c r="G16" i="188"/>
  <c r="G15" i="188"/>
  <c r="G64" i="189"/>
  <c r="G63" i="189"/>
  <c r="G62" i="189"/>
  <c r="G61" i="189"/>
  <c r="G60" i="189"/>
  <c r="G59" i="189"/>
  <c r="G58" i="189"/>
  <c r="G57" i="189"/>
  <c r="G56" i="189"/>
  <c r="G55" i="189"/>
  <c r="G54" i="189"/>
  <c r="G51" i="189"/>
  <c r="G50" i="189"/>
  <c r="G49" i="189"/>
  <c r="G48" i="189"/>
  <c r="G47" i="189"/>
  <c r="G46" i="189"/>
  <c r="G45" i="189"/>
  <c r="G44" i="189"/>
  <c r="G43" i="189"/>
  <c r="G42" i="189"/>
  <c r="G41" i="189"/>
  <c r="G40" i="189"/>
  <c r="G39" i="189"/>
  <c r="G38" i="189"/>
  <c r="G37" i="189"/>
  <c r="G36" i="189"/>
  <c r="G35" i="189"/>
  <c r="G34" i="189"/>
  <c r="G31" i="189"/>
  <c r="G30" i="189"/>
  <c r="G29" i="189"/>
  <c r="G28" i="189"/>
  <c r="G27" i="189"/>
  <c r="G26" i="189"/>
  <c r="G25" i="189"/>
  <c r="G18" i="189"/>
  <c r="G17" i="189"/>
  <c r="G16" i="189"/>
  <c r="G15" i="189"/>
  <c r="G64" i="190"/>
  <c r="G63" i="190"/>
  <c r="G62" i="190"/>
  <c r="G61" i="190"/>
  <c r="G60" i="190"/>
  <c r="G59" i="190"/>
  <c r="G58" i="190"/>
  <c r="G57" i="190"/>
  <c r="G56" i="190"/>
  <c r="G55" i="190"/>
  <c r="G54" i="190"/>
  <c r="G51" i="190"/>
  <c r="G50" i="190"/>
  <c r="G49" i="190"/>
  <c r="G48" i="190"/>
  <c r="G46" i="190"/>
  <c r="G44" i="190"/>
  <c r="G42" i="190"/>
  <c r="G40" i="190"/>
  <c r="G37" i="190"/>
  <c r="G34" i="190"/>
  <c r="G31" i="190"/>
  <c r="G30" i="190"/>
  <c r="G29" i="190"/>
  <c r="G28" i="190"/>
  <c r="G26" i="190"/>
  <c r="G63" i="191"/>
  <c r="G62" i="191"/>
  <c r="G61" i="191"/>
  <c r="G59" i="191"/>
  <c r="G58" i="191"/>
  <c r="G57" i="191"/>
  <c r="G55" i="191"/>
  <c r="G51" i="191"/>
  <c r="G50" i="191"/>
  <c r="G49" i="191"/>
  <c r="G48" i="191"/>
  <c r="G46" i="191"/>
  <c r="G44" i="191"/>
  <c r="G42" i="191"/>
  <c r="G40" i="191"/>
  <c r="G35" i="191"/>
  <c r="G34" i="191"/>
  <c r="G31" i="191"/>
  <c r="G30" i="191"/>
  <c r="G29" i="191"/>
  <c r="G28" i="191"/>
  <c r="G26" i="191"/>
  <c r="G63" i="192"/>
  <c r="G62" i="192"/>
  <c r="G61" i="192"/>
  <c r="G60" i="192"/>
  <c r="G59" i="192"/>
  <c r="G58" i="192"/>
  <c r="G57" i="192"/>
  <c r="G55" i="192"/>
  <c r="G51" i="192"/>
  <c r="G50" i="192"/>
  <c r="G49" i="192"/>
  <c r="G48" i="192"/>
  <c r="G46" i="192"/>
  <c r="G44" i="192"/>
  <c r="G43" i="192"/>
  <c r="G42" i="192"/>
  <c r="G40" i="192"/>
  <c r="G34" i="192"/>
  <c r="G31" i="192"/>
  <c r="G29" i="192"/>
  <c r="G28" i="192"/>
  <c r="G26" i="192"/>
  <c r="G64" i="193"/>
  <c r="G63" i="193"/>
  <c r="G62" i="193"/>
  <c r="G61" i="193"/>
  <c r="G60" i="193"/>
  <c r="G59" i="193"/>
  <c r="G58" i="193"/>
  <c r="G57" i="193"/>
  <c r="G56" i="193"/>
  <c r="G55" i="193"/>
  <c r="G54" i="193"/>
  <c r="G51" i="193"/>
  <c r="G49" i="193"/>
  <c r="G48" i="193"/>
  <c r="G46" i="193"/>
  <c r="G44" i="193"/>
  <c r="G43" i="193"/>
  <c r="G42" i="193"/>
  <c r="G40" i="193"/>
  <c r="G37" i="193"/>
  <c r="G36" i="193"/>
  <c r="G35" i="193"/>
  <c r="G34" i="193"/>
  <c r="G31" i="193"/>
  <c r="G30" i="193"/>
  <c r="G29" i="193"/>
  <c r="G28" i="193"/>
  <c r="G26" i="193"/>
  <c r="G64" i="194"/>
  <c r="G63" i="194"/>
  <c r="G62" i="194"/>
  <c r="G61" i="194"/>
  <c r="G60" i="194"/>
  <c r="G59" i="194"/>
  <c r="G58" i="194"/>
  <c r="G57" i="194"/>
  <c r="G56" i="194"/>
  <c r="G55" i="194"/>
  <c r="G54" i="194"/>
  <c r="G51" i="194"/>
  <c r="G50" i="194"/>
  <c r="G49" i="194"/>
  <c r="G48" i="194"/>
  <c r="G47" i="194"/>
  <c r="G46" i="194"/>
  <c r="G44" i="194"/>
  <c r="G42" i="194"/>
  <c r="G40" i="194"/>
  <c r="G38" i="194"/>
  <c r="G35" i="194"/>
  <c r="G34" i="194"/>
  <c r="G31" i="194"/>
  <c r="G30" i="194"/>
  <c r="G29" i="194"/>
  <c r="G28" i="194"/>
  <c r="G26" i="194"/>
  <c r="G25" i="194"/>
  <c r="G64" i="195"/>
  <c r="G63" i="195"/>
  <c r="G62" i="195"/>
  <c r="G61" i="195"/>
  <c r="G60" i="195"/>
  <c r="G59" i="195"/>
  <c r="G58" i="195"/>
  <c r="G57" i="195"/>
  <c r="G56" i="195"/>
  <c r="G55" i="195"/>
  <c r="G51" i="195"/>
  <c r="G50" i="195"/>
  <c r="G46" i="195"/>
  <c r="G44" i="195"/>
  <c r="G42" i="195"/>
  <c r="G40" i="195"/>
  <c r="G38" i="195"/>
  <c r="G37" i="195"/>
  <c r="G35" i="195"/>
  <c r="G34" i="195"/>
  <c r="G31" i="195"/>
  <c r="G30" i="195"/>
  <c r="G29" i="195"/>
  <c r="G28" i="195"/>
  <c r="G26" i="195"/>
  <c r="G25" i="195"/>
  <c r="G64" i="196"/>
  <c r="G63" i="196"/>
  <c r="G62" i="196"/>
  <c r="G61" i="196"/>
  <c r="G60" i="196"/>
  <c r="G59" i="196"/>
  <c r="G57" i="196"/>
  <c r="G56" i="196"/>
  <c r="G55" i="196"/>
  <c r="G54" i="196"/>
  <c r="G51" i="196"/>
  <c r="G50" i="196"/>
  <c r="G49" i="196"/>
  <c r="G48" i="196"/>
  <c r="G46" i="196"/>
  <c r="G44" i="196"/>
  <c r="G43" i="196"/>
  <c r="G42" i="196"/>
  <c r="G41" i="196"/>
  <c r="G40" i="196"/>
  <c r="G38" i="196"/>
  <c r="G37" i="196"/>
  <c r="G34" i="196"/>
  <c r="G31" i="196"/>
  <c r="G30" i="196"/>
  <c r="G29" i="196"/>
  <c r="G28" i="196"/>
  <c r="G26" i="196"/>
  <c r="G64" i="197"/>
  <c r="G63" i="197"/>
  <c r="G62" i="197"/>
  <c r="G61" i="197"/>
  <c r="G60" i="197"/>
  <c r="G59" i="197"/>
  <c r="G57" i="197"/>
  <c r="G55" i="197"/>
  <c r="G51" i="197"/>
  <c r="G50" i="197"/>
  <c r="G49" i="197"/>
  <c r="G48" i="197"/>
  <c r="G46" i="197"/>
  <c r="G44" i="197"/>
  <c r="G43" i="197"/>
  <c r="G42" i="197"/>
  <c r="G41" i="197"/>
  <c r="G40" i="197"/>
  <c r="G38" i="197"/>
  <c r="G37" i="197"/>
  <c r="G34" i="197"/>
  <c r="G31" i="197"/>
  <c r="G30" i="197"/>
  <c r="G29" i="197"/>
  <c r="G28" i="197"/>
  <c r="G26" i="197"/>
  <c r="G64" i="198"/>
  <c r="G63" i="198"/>
  <c r="G62" i="198"/>
  <c r="G61" i="198"/>
  <c r="G60" i="198"/>
  <c r="G59" i="198"/>
  <c r="G57" i="198"/>
  <c r="G56" i="198"/>
  <c r="G55" i="198"/>
  <c r="G54" i="198"/>
  <c r="G51" i="198"/>
  <c r="G50" i="198"/>
  <c r="G49" i="198"/>
  <c r="G48" i="198"/>
  <c r="G46" i="198"/>
  <c r="G44" i="198"/>
  <c r="G42" i="198"/>
  <c r="G35" i="198"/>
  <c r="G34" i="198"/>
  <c r="G31" i="198"/>
  <c r="G29" i="198"/>
  <c r="G28" i="198"/>
  <c r="G26" i="198"/>
  <c r="G63" i="200"/>
  <c r="G62" i="200"/>
  <c r="G61" i="200"/>
  <c r="G60" i="200"/>
  <c r="G59" i="200"/>
  <c r="G57" i="200"/>
  <c r="G55" i="200"/>
  <c r="G51" i="200"/>
  <c r="G49" i="200"/>
  <c r="G48" i="200"/>
  <c r="G46" i="200"/>
  <c r="G44" i="200"/>
  <c r="G43" i="200"/>
  <c r="G42" i="200"/>
  <c r="G40" i="200"/>
  <c r="G38" i="200"/>
  <c r="G37" i="200"/>
  <c r="G35" i="200"/>
  <c r="G34" i="200"/>
  <c r="G31" i="200"/>
  <c r="G30" i="200"/>
  <c r="G29" i="200"/>
  <c r="G28" i="200"/>
  <c r="G26" i="200"/>
  <c r="G64" i="65"/>
  <c r="G63" i="65"/>
  <c r="G62" i="65"/>
  <c r="G61" i="65"/>
  <c r="G60" i="65"/>
  <c r="G59" i="65"/>
  <c r="G58" i="65"/>
  <c r="G57" i="65"/>
  <c r="G56" i="65"/>
  <c r="G55" i="65"/>
  <c r="G54" i="65"/>
  <c r="G51" i="65"/>
  <c r="G50" i="65"/>
  <c r="G49" i="65"/>
  <c r="G48" i="65"/>
  <c r="G47" i="65"/>
  <c r="G46" i="65"/>
  <c r="G45" i="65"/>
  <c r="G44" i="65"/>
  <c r="G43" i="65"/>
  <c r="G42" i="65"/>
  <c r="G41" i="65"/>
  <c r="G40" i="65"/>
  <c r="G39" i="65"/>
  <c r="G38" i="65"/>
  <c r="G37" i="65"/>
  <c r="G36" i="65"/>
  <c r="G35" i="65"/>
  <c r="G34" i="65"/>
  <c r="G31" i="65"/>
  <c r="G30" i="65"/>
  <c r="G29" i="65"/>
  <c r="G28" i="65"/>
  <c r="G27" i="65"/>
  <c r="G26" i="65"/>
  <c r="G25" i="65"/>
  <c r="G18" i="65"/>
  <c r="G17" i="65"/>
  <c r="G16" i="65"/>
  <c r="G15" i="65"/>
  <c r="G64" i="108"/>
  <c r="G63" i="108"/>
  <c r="G62" i="108"/>
  <c r="G61" i="108"/>
  <c r="G60" i="108"/>
  <c r="G59" i="108"/>
  <c r="G58" i="108"/>
  <c r="G57" i="108"/>
  <c r="G55" i="108"/>
  <c r="G54" i="108"/>
  <c r="G51" i="108"/>
  <c r="G48" i="108"/>
  <c r="G47" i="108"/>
  <c r="G46" i="108"/>
  <c r="G44" i="108"/>
  <c r="G43" i="108"/>
  <c r="G42" i="108"/>
  <c r="G40" i="108"/>
  <c r="G34" i="108"/>
  <c r="G31" i="108"/>
  <c r="G29" i="108"/>
  <c r="G28" i="108"/>
  <c r="G64" i="109"/>
  <c r="G63" i="109"/>
  <c r="G62" i="109"/>
  <c r="G61" i="109"/>
  <c r="G60" i="109"/>
  <c r="G59" i="109"/>
  <c r="G58" i="109"/>
  <c r="G57" i="109"/>
  <c r="G55" i="109"/>
  <c r="G54" i="109"/>
  <c r="G51" i="109"/>
  <c r="G50" i="109"/>
  <c r="G49" i="109"/>
  <c r="G48" i="109"/>
  <c r="G46" i="109"/>
  <c r="G44" i="109"/>
  <c r="G42" i="109"/>
  <c r="G40" i="109"/>
  <c r="G37" i="109"/>
  <c r="G34" i="109"/>
  <c r="G31" i="109"/>
  <c r="G29" i="109"/>
  <c r="G28" i="109"/>
  <c r="G26" i="109"/>
  <c r="F64" i="109"/>
  <c r="F63" i="109"/>
  <c r="F62" i="109"/>
  <c r="F61" i="109"/>
  <c r="F60" i="109"/>
  <c r="F59" i="109"/>
  <c r="F58" i="109"/>
  <c r="F57" i="109"/>
  <c r="F56" i="109"/>
  <c r="F55" i="109"/>
  <c r="F54" i="109"/>
  <c r="F51" i="109"/>
  <c r="F50" i="109"/>
  <c r="F49" i="109"/>
  <c r="F48" i="109"/>
  <c r="F47" i="109"/>
  <c r="F46" i="109"/>
  <c r="F44" i="109"/>
  <c r="F42" i="109"/>
  <c r="F41" i="109"/>
  <c r="F40" i="109"/>
  <c r="F37" i="109"/>
  <c r="F35" i="109"/>
  <c r="F34" i="109"/>
  <c r="F31" i="109"/>
  <c r="F29" i="109"/>
  <c r="F28" i="109"/>
  <c r="F26" i="109"/>
  <c r="F63" i="110"/>
  <c r="F62" i="110"/>
  <c r="F61" i="110"/>
  <c r="F60" i="110"/>
  <c r="F58" i="110"/>
  <c r="F57" i="110"/>
  <c r="F56" i="110"/>
  <c r="F55" i="110"/>
  <c r="F51" i="110"/>
  <c r="F50" i="110"/>
  <c r="F48" i="110"/>
  <c r="F46" i="110"/>
  <c r="F44" i="110"/>
  <c r="F42" i="110"/>
  <c r="F40" i="110"/>
  <c r="F38" i="110"/>
  <c r="F36" i="110"/>
  <c r="F34" i="110"/>
  <c r="F31" i="110"/>
  <c r="F29" i="110"/>
  <c r="F28" i="110"/>
  <c r="F26" i="110"/>
  <c r="F63" i="111"/>
  <c r="F62" i="111"/>
  <c r="F61" i="111"/>
  <c r="F60" i="111"/>
  <c r="F59" i="111"/>
  <c r="F58" i="111"/>
  <c r="F57" i="111"/>
  <c r="F55" i="111"/>
  <c r="F51" i="111"/>
  <c r="F50" i="111"/>
  <c r="F48" i="111"/>
  <c r="F46" i="111"/>
  <c r="F44" i="111"/>
  <c r="F42" i="111"/>
  <c r="F40" i="111"/>
  <c r="F35" i="111"/>
  <c r="F31" i="111"/>
  <c r="F30" i="111"/>
  <c r="F29" i="111"/>
  <c r="F28" i="111"/>
  <c r="F63" i="91"/>
  <c r="F62" i="91"/>
  <c r="F61" i="91"/>
  <c r="F60" i="91"/>
  <c r="F59" i="91"/>
  <c r="F58" i="91"/>
  <c r="F57" i="91"/>
  <c r="F55" i="91"/>
  <c r="F51" i="91"/>
  <c r="F50" i="91"/>
  <c r="F49" i="91"/>
  <c r="F48" i="91"/>
  <c r="F46" i="91"/>
  <c r="F44" i="91"/>
  <c r="F42" i="91"/>
  <c r="F40" i="91"/>
  <c r="F38" i="91"/>
  <c r="F37" i="91"/>
  <c r="F34" i="91"/>
  <c r="F31" i="91"/>
  <c r="F29" i="91"/>
  <c r="F28" i="91"/>
  <c r="F63" i="93"/>
  <c r="F62" i="93"/>
  <c r="F61" i="93"/>
  <c r="F59" i="93"/>
  <c r="F57" i="93"/>
  <c r="F55" i="93"/>
  <c r="F51" i="93"/>
  <c r="F50" i="93"/>
  <c r="F49" i="93"/>
  <c r="F48" i="93"/>
  <c r="F46" i="93"/>
  <c r="F44" i="93"/>
  <c r="F43" i="93"/>
  <c r="F42" i="93"/>
  <c r="F40" i="93"/>
  <c r="F37" i="93"/>
  <c r="F35" i="93"/>
  <c r="F34" i="93"/>
  <c r="F31" i="93"/>
  <c r="F30" i="93"/>
  <c r="F29" i="93"/>
  <c r="F28" i="93"/>
  <c r="F26" i="93"/>
  <c r="F62" i="94"/>
  <c r="F61" i="94"/>
  <c r="F60" i="94"/>
  <c r="F59" i="94"/>
  <c r="F58" i="94"/>
  <c r="F57" i="94"/>
  <c r="F56" i="94"/>
  <c r="F55" i="94"/>
  <c r="F51" i="94"/>
  <c r="F50" i="94"/>
  <c r="F48" i="94"/>
  <c r="F46" i="94"/>
  <c r="F42" i="94"/>
  <c r="F40" i="94"/>
  <c r="F37" i="94"/>
  <c r="F34" i="94"/>
  <c r="F31" i="94"/>
  <c r="F29" i="94"/>
  <c r="F28" i="94"/>
  <c r="F63" i="97"/>
  <c r="F62" i="97"/>
  <c r="F61" i="97"/>
  <c r="F60" i="97"/>
  <c r="F59" i="97"/>
  <c r="F58" i="97"/>
  <c r="F57" i="97"/>
  <c r="F55" i="97"/>
  <c r="F51" i="97"/>
  <c r="F50" i="97"/>
  <c r="F49" i="97"/>
  <c r="F48" i="97"/>
  <c r="F46" i="97"/>
  <c r="F44" i="97"/>
  <c r="F42" i="97"/>
  <c r="F40" i="97"/>
  <c r="F34" i="97"/>
  <c r="F31" i="97"/>
  <c r="F29" i="97"/>
  <c r="F28" i="97"/>
  <c r="F63" i="131"/>
  <c r="F62" i="131"/>
  <c r="F61" i="131"/>
  <c r="F59" i="131"/>
  <c r="F58" i="131"/>
  <c r="F57" i="131"/>
  <c r="F55" i="131"/>
  <c r="F51" i="131"/>
  <c r="F50" i="131"/>
  <c r="F48" i="131"/>
  <c r="F44" i="131"/>
  <c r="F42" i="131"/>
  <c r="F34" i="131"/>
  <c r="F31" i="131"/>
  <c r="F30" i="131"/>
  <c r="F29" i="131"/>
  <c r="F28" i="131"/>
  <c r="F26" i="131"/>
  <c r="F63" i="132"/>
  <c r="F62" i="132"/>
  <c r="F61" i="132"/>
  <c r="F59" i="132"/>
  <c r="F58" i="132"/>
  <c r="F57" i="132"/>
  <c r="F55" i="132"/>
  <c r="F51" i="132"/>
  <c r="F50" i="132"/>
  <c r="F48" i="132"/>
  <c r="F46" i="132"/>
  <c r="F42" i="132"/>
  <c r="F40" i="132"/>
  <c r="F34" i="132"/>
  <c r="F31" i="132"/>
  <c r="F29" i="132"/>
  <c r="F28" i="132"/>
  <c r="F63" i="81"/>
  <c r="F62" i="81"/>
  <c r="F61" i="81"/>
  <c r="F59" i="81"/>
  <c r="F58" i="81"/>
  <c r="F57" i="81"/>
  <c r="F55" i="81"/>
  <c r="F51" i="81"/>
  <c r="F50" i="81"/>
  <c r="F48" i="81"/>
  <c r="F46" i="81"/>
  <c r="F44" i="81"/>
  <c r="F42" i="81"/>
  <c r="F40" i="81"/>
  <c r="F34" i="81"/>
  <c r="F31" i="81"/>
  <c r="F29" i="81"/>
  <c r="F28" i="81"/>
  <c r="F26" i="81"/>
  <c r="F63" i="82"/>
  <c r="F62" i="82"/>
  <c r="F61" i="82"/>
  <c r="F59" i="82"/>
  <c r="F58" i="82"/>
  <c r="F57" i="82"/>
  <c r="F55" i="82"/>
  <c r="F54" i="82"/>
  <c r="F51" i="82"/>
  <c r="F50" i="82"/>
  <c r="F48" i="82"/>
  <c r="F46" i="82"/>
  <c r="F40" i="82"/>
  <c r="F34" i="82"/>
  <c r="F31" i="82"/>
  <c r="F30" i="82"/>
  <c r="F29" i="82"/>
  <c r="F28" i="82"/>
  <c r="F26" i="82"/>
  <c r="F64" i="83"/>
  <c r="F63" i="83"/>
  <c r="F62" i="83"/>
  <c r="F61" i="83"/>
  <c r="F59" i="83"/>
  <c r="F58" i="83"/>
  <c r="F57" i="83"/>
  <c r="F55" i="83"/>
  <c r="F51" i="83"/>
  <c r="F50" i="83"/>
  <c r="F49" i="83"/>
  <c r="F47" i="83"/>
  <c r="F46" i="83"/>
  <c r="F44" i="83"/>
  <c r="F43" i="83"/>
  <c r="F42" i="83"/>
  <c r="F40" i="83"/>
  <c r="F37" i="83"/>
  <c r="F35" i="83"/>
  <c r="F34" i="83"/>
  <c r="F31" i="83"/>
  <c r="F30" i="83"/>
  <c r="F29" i="83"/>
  <c r="F28" i="83"/>
  <c r="F26" i="83"/>
  <c r="F63" i="84"/>
  <c r="F62" i="84"/>
  <c r="F61" i="84"/>
  <c r="F59" i="84"/>
  <c r="F58" i="84"/>
  <c r="F57" i="84"/>
  <c r="F55" i="84"/>
  <c r="F51" i="84"/>
  <c r="F48" i="84"/>
  <c r="F46" i="84"/>
  <c r="F44" i="84"/>
  <c r="F42" i="84"/>
  <c r="F40" i="84"/>
  <c r="F37" i="84"/>
  <c r="F31" i="84"/>
  <c r="F30" i="84"/>
  <c r="F29" i="84"/>
  <c r="F28" i="84"/>
  <c r="F26" i="84"/>
  <c r="F64" i="85"/>
  <c r="F63" i="85"/>
  <c r="F62" i="85"/>
  <c r="F61" i="85"/>
  <c r="F60" i="85"/>
  <c r="F59" i="85"/>
  <c r="F58" i="85"/>
  <c r="F57" i="85"/>
  <c r="F56" i="85"/>
  <c r="F55" i="85"/>
  <c r="F54" i="85"/>
  <c r="F51" i="85"/>
  <c r="F50" i="85"/>
  <c r="F49" i="85"/>
  <c r="F48" i="85"/>
  <c r="F47" i="85"/>
  <c r="F46" i="85"/>
  <c r="F45" i="85"/>
  <c r="F44" i="85"/>
  <c r="F43" i="85"/>
  <c r="F42" i="85"/>
  <c r="F41" i="85"/>
  <c r="F40" i="85"/>
  <c r="F39" i="85"/>
  <c r="F38" i="85"/>
  <c r="F37" i="85"/>
  <c r="F36" i="85"/>
  <c r="F35" i="85"/>
  <c r="F34" i="85"/>
  <c r="F31" i="85"/>
  <c r="F30" i="85"/>
  <c r="F29" i="85"/>
  <c r="F28" i="85"/>
  <c r="F27" i="85"/>
  <c r="F26" i="85"/>
  <c r="F25" i="85"/>
  <c r="F18" i="85"/>
  <c r="F17" i="85"/>
  <c r="F16" i="85"/>
  <c r="F15" i="85"/>
  <c r="F64" i="120"/>
  <c r="F63" i="120"/>
  <c r="F62" i="120"/>
  <c r="F61" i="120"/>
  <c r="F60" i="120"/>
  <c r="F59" i="120"/>
  <c r="F58" i="120"/>
  <c r="F57" i="120"/>
  <c r="F56" i="120"/>
  <c r="F55" i="120"/>
  <c r="F54" i="120"/>
  <c r="F51" i="120"/>
  <c r="F50" i="120"/>
  <c r="F49" i="120"/>
  <c r="F48" i="120"/>
  <c r="F47" i="120"/>
  <c r="F46" i="120"/>
  <c r="F45" i="120"/>
  <c r="F44" i="120"/>
  <c r="F43" i="120"/>
  <c r="F42" i="120"/>
  <c r="F41" i="120"/>
  <c r="F40" i="120"/>
  <c r="F39" i="120"/>
  <c r="F38" i="120"/>
  <c r="F37" i="120"/>
  <c r="F36" i="120"/>
  <c r="F35" i="120"/>
  <c r="F34" i="120"/>
  <c r="F31" i="120"/>
  <c r="F30" i="120"/>
  <c r="F29" i="120"/>
  <c r="F28" i="120"/>
  <c r="F27" i="120"/>
  <c r="F26" i="120"/>
  <c r="F25" i="120"/>
  <c r="F18" i="120"/>
  <c r="F17" i="120"/>
  <c r="F16" i="120"/>
  <c r="F15" i="120"/>
  <c r="F64" i="121"/>
  <c r="F63" i="121"/>
  <c r="F62" i="121"/>
  <c r="F61" i="121"/>
  <c r="F59" i="121"/>
  <c r="F58" i="121"/>
  <c r="F57" i="121"/>
  <c r="F56" i="121"/>
  <c r="F55" i="121"/>
  <c r="F51" i="121"/>
  <c r="F50" i="121"/>
  <c r="F48" i="121"/>
  <c r="F47" i="121"/>
  <c r="F46" i="121"/>
  <c r="F44" i="121"/>
  <c r="F43" i="121"/>
  <c r="F42" i="121"/>
  <c r="F40" i="121"/>
  <c r="F38" i="121"/>
  <c r="F34" i="121"/>
  <c r="F31" i="121"/>
  <c r="F29" i="121"/>
  <c r="F28" i="121"/>
  <c r="F26" i="121"/>
  <c r="F64" i="122"/>
  <c r="F63" i="122"/>
  <c r="F62" i="122"/>
  <c r="F61" i="122"/>
  <c r="F59" i="122"/>
  <c r="F58" i="122"/>
  <c r="F57" i="122"/>
  <c r="F56" i="122"/>
  <c r="F55" i="122"/>
  <c r="F54" i="122"/>
  <c r="F51" i="122"/>
  <c r="F50" i="122"/>
  <c r="F49" i="122"/>
  <c r="F48" i="122"/>
  <c r="F47" i="122"/>
  <c r="F46" i="122"/>
  <c r="F44" i="122"/>
  <c r="F43" i="122"/>
  <c r="F42" i="122"/>
  <c r="F41" i="122"/>
  <c r="F40" i="122"/>
  <c r="F37" i="122"/>
  <c r="F36" i="122"/>
  <c r="F35" i="122"/>
  <c r="F34" i="122"/>
  <c r="F31" i="122"/>
  <c r="F30" i="122"/>
  <c r="F29" i="122"/>
  <c r="F28" i="122"/>
  <c r="F26" i="122"/>
  <c r="F64" i="133"/>
  <c r="F63" i="133"/>
  <c r="F62" i="133"/>
  <c r="F61" i="133"/>
  <c r="F60" i="133"/>
  <c r="F59" i="133"/>
  <c r="F58" i="133"/>
  <c r="F57" i="133"/>
  <c r="F55" i="133"/>
  <c r="F54" i="133"/>
  <c r="F51" i="133"/>
  <c r="F50" i="133"/>
  <c r="F48" i="133"/>
  <c r="F46" i="133"/>
  <c r="F44" i="133"/>
  <c r="F42" i="133"/>
  <c r="F41" i="133"/>
  <c r="F40" i="133"/>
  <c r="F38" i="133"/>
  <c r="F34" i="133"/>
  <c r="F31" i="133"/>
  <c r="F30" i="133"/>
  <c r="F29" i="133"/>
  <c r="F28" i="133"/>
  <c r="F64" i="86"/>
  <c r="F63" i="86"/>
  <c r="F61" i="86"/>
  <c r="F59" i="86"/>
  <c r="F58" i="86"/>
  <c r="F57" i="86"/>
  <c r="F56" i="86"/>
  <c r="F55" i="86"/>
  <c r="F51" i="86"/>
  <c r="F50" i="86"/>
  <c r="F48" i="86"/>
  <c r="F46" i="86"/>
  <c r="F44" i="86"/>
  <c r="F43" i="86"/>
  <c r="F42" i="86"/>
  <c r="F40" i="86"/>
  <c r="F35" i="86"/>
  <c r="F34" i="86"/>
  <c r="F31" i="86"/>
  <c r="F30" i="86"/>
  <c r="F29" i="86"/>
  <c r="F28" i="86"/>
  <c r="F64" i="123"/>
  <c r="F63" i="123"/>
  <c r="F62" i="123"/>
  <c r="F61" i="123"/>
  <c r="F59" i="123"/>
  <c r="F58" i="123"/>
  <c r="F57" i="123"/>
  <c r="F55" i="123"/>
  <c r="F54" i="123"/>
  <c r="F51" i="123"/>
  <c r="F50" i="123"/>
  <c r="F49" i="123"/>
  <c r="F48" i="123"/>
  <c r="F47" i="123"/>
  <c r="F46" i="123"/>
  <c r="F44" i="123"/>
  <c r="F43" i="123"/>
  <c r="F42" i="123"/>
  <c r="F40" i="123"/>
  <c r="F39" i="123"/>
  <c r="F37" i="123"/>
  <c r="F36" i="123"/>
  <c r="F35" i="123"/>
  <c r="F34" i="123"/>
  <c r="F31" i="123"/>
  <c r="F30" i="123"/>
  <c r="F29" i="123"/>
  <c r="F28" i="123"/>
  <c r="F63" i="141"/>
  <c r="F62" i="141"/>
  <c r="F61" i="141"/>
  <c r="F60" i="141"/>
  <c r="F59" i="141"/>
  <c r="F58" i="141"/>
  <c r="F55" i="141"/>
  <c r="F51" i="141"/>
  <c r="F50" i="141"/>
  <c r="F48" i="141"/>
  <c r="F46" i="141"/>
  <c r="F44" i="141"/>
  <c r="F43" i="141"/>
  <c r="F42" i="141"/>
  <c r="F40" i="141"/>
  <c r="F37" i="141"/>
  <c r="F34" i="141"/>
  <c r="F31" i="141"/>
  <c r="F29" i="141"/>
  <c r="F28" i="141"/>
  <c r="F26" i="141"/>
  <c r="F63" i="178"/>
  <c r="F62" i="178"/>
  <c r="F61" i="178"/>
  <c r="F59" i="178"/>
  <c r="F58" i="178"/>
  <c r="F57" i="178"/>
  <c r="F55" i="178"/>
  <c r="F51" i="178"/>
  <c r="F50" i="178"/>
  <c r="F48" i="178"/>
  <c r="F46" i="178"/>
  <c r="F44" i="178"/>
  <c r="F42" i="178"/>
  <c r="F40" i="178"/>
  <c r="F37" i="178"/>
  <c r="F34" i="178"/>
  <c r="F31" i="178"/>
  <c r="F29" i="178"/>
  <c r="F28" i="178"/>
  <c r="F26" i="178"/>
  <c r="F63" i="179"/>
  <c r="F62" i="179"/>
  <c r="F61" i="179"/>
  <c r="F59" i="179"/>
  <c r="F58" i="179"/>
  <c r="F57" i="179"/>
  <c r="F55" i="179"/>
  <c r="F54" i="179"/>
  <c r="F51" i="179"/>
  <c r="F50" i="179"/>
  <c r="F49" i="179"/>
  <c r="F48" i="179"/>
  <c r="F46" i="179"/>
  <c r="F44" i="179"/>
  <c r="F42" i="179"/>
  <c r="F41" i="179"/>
  <c r="F40" i="179"/>
  <c r="F38" i="179"/>
  <c r="F37" i="179"/>
  <c r="F34" i="179"/>
  <c r="F31" i="179"/>
  <c r="F30" i="179"/>
  <c r="F29" i="179"/>
  <c r="F28" i="179"/>
  <c r="F63" i="180"/>
  <c r="F62" i="180"/>
  <c r="F61" i="180"/>
  <c r="F59" i="180"/>
  <c r="F58" i="180"/>
  <c r="F57" i="180"/>
  <c r="F55" i="180"/>
  <c r="F51" i="180"/>
  <c r="F50" i="180"/>
  <c r="F46" i="180"/>
  <c r="F44" i="180"/>
  <c r="F42" i="180"/>
  <c r="F40" i="180"/>
  <c r="F34" i="180"/>
  <c r="F31" i="180"/>
  <c r="F30" i="180"/>
  <c r="F29" i="180"/>
  <c r="F28" i="180"/>
  <c r="F26" i="180"/>
  <c r="F64" i="181"/>
  <c r="F63" i="181"/>
  <c r="F62" i="181"/>
  <c r="F61" i="181"/>
  <c r="F60" i="181"/>
  <c r="F59" i="181"/>
  <c r="F58" i="181"/>
  <c r="F57" i="181"/>
  <c r="F56" i="181"/>
  <c r="F55" i="181"/>
  <c r="F54" i="181"/>
  <c r="F51" i="181"/>
  <c r="F50" i="181"/>
  <c r="F49" i="181"/>
  <c r="F48" i="181"/>
  <c r="F47" i="181"/>
  <c r="F46" i="181"/>
  <c r="F45" i="181"/>
  <c r="F44" i="181"/>
  <c r="F43" i="181"/>
  <c r="F42" i="181"/>
  <c r="F41" i="181"/>
  <c r="F40" i="181"/>
  <c r="F39" i="181"/>
  <c r="F38" i="181"/>
  <c r="F37" i="181"/>
  <c r="F36" i="181"/>
  <c r="F35" i="181"/>
  <c r="F34" i="181"/>
  <c r="F31" i="181"/>
  <c r="F30" i="181"/>
  <c r="F29" i="181"/>
  <c r="F28" i="181"/>
  <c r="F27" i="181"/>
  <c r="F26" i="181"/>
  <c r="F25" i="181"/>
  <c r="F18" i="181"/>
  <c r="F17" i="181"/>
  <c r="F16" i="181"/>
  <c r="F15" i="181"/>
  <c r="F64" i="182"/>
  <c r="F63" i="182"/>
  <c r="F62" i="182"/>
  <c r="F61" i="182"/>
  <c r="F60" i="182"/>
  <c r="F59" i="182"/>
  <c r="F58" i="182"/>
  <c r="F57" i="182"/>
  <c r="F56" i="182"/>
  <c r="F55" i="182"/>
  <c r="F54" i="182"/>
  <c r="F51" i="182"/>
  <c r="F50" i="182"/>
  <c r="F49" i="182"/>
  <c r="F48" i="182"/>
  <c r="F47" i="182"/>
  <c r="F46" i="182"/>
  <c r="F45" i="182"/>
  <c r="F44" i="182"/>
  <c r="F43" i="182"/>
  <c r="F42" i="182"/>
  <c r="F41" i="182"/>
  <c r="F40" i="182"/>
  <c r="F39" i="182"/>
  <c r="F38" i="182"/>
  <c r="F37" i="182"/>
  <c r="F36" i="182"/>
  <c r="F35" i="182"/>
  <c r="F34" i="182"/>
  <c r="F31" i="182"/>
  <c r="F30" i="182"/>
  <c r="F29" i="182"/>
  <c r="F28" i="182"/>
  <c r="F27" i="182"/>
  <c r="F26" i="182"/>
  <c r="F25" i="182"/>
  <c r="F18" i="182"/>
  <c r="F17" i="182"/>
  <c r="F16" i="182"/>
  <c r="F15" i="182"/>
  <c r="F63" i="183"/>
  <c r="F62" i="183"/>
  <c r="F61" i="183"/>
  <c r="F60" i="183"/>
  <c r="F59" i="183"/>
  <c r="F58" i="183"/>
  <c r="F57" i="183"/>
  <c r="F55" i="183"/>
  <c r="F51" i="183"/>
  <c r="F50" i="183"/>
  <c r="F48" i="183"/>
  <c r="F46" i="183"/>
  <c r="F44" i="183"/>
  <c r="F42" i="183"/>
  <c r="F40" i="183"/>
  <c r="F38" i="183"/>
  <c r="F31" i="183"/>
  <c r="F29" i="183"/>
  <c r="F28" i="183"/>
  <c r="F26" i="183"/>
  <c r="F64" i="184"/>
  <c r="F63" i="184"/>
  <c r="F62" i="184"/>
  <c r="F61" i="184"/>
  <c r="F60" i="184"/>
  <c r="F59" i="184"/>
  <c r="F58" i="184"/>
  <c r="F57" i="184"/>
  <c r="F56" i="184"/>
  <c r="F55" i="184"/>
  <c r="F54" i="184"/>
  <c r="F51" i="184"/>
  <c r="F50" i="184"/>
  <c r="F49" i="184"/>
  <c r="F48" i="184"/>
  <c r="F47" i="184"/>
  <c r="F46" i="184"/>
  <c r="F45" i="184"/>
  <c r="F44" i="184"/>
  <c r="F43" i="184"/>
  <c r="F42" i="184"/>
  <c r="F41" i="184"/>
  <c r="F40" i="184"/>
  <c r="F39" i="184"/>
  <c r="F38" i="184"/>
  <c r="F37" i="184"/>
  <c r="F36" i="184"/>
  <c r="F35" i="184"/>
  <c r="F34" i="184"/>
  <c r="F31" i="184"/>
  <c r="F30" i="184"/>
  <c r="F29" i="184"/>
  <c r="F28" i="184"/>
  <c r="F27" i="184"/>
  <c r="F26" i="184"/>
  <c r="F25" i="184"/>
  <c r="F18" i="184"/>
  <c r="F17" i="184"/>
  <c r="F16" i="184"/>
  <c r="F15" i="184"/>
  <c r="F64" i="185"/>
  <c r="F62" i="185"/>
  <c r="F60" i="185"/>
  <c r="F59" i="185"/>
  <c r="F58" i="185"/>
  <c r="F57" i="185"/>
  <c r="F55" i="185"/>
  <c r="F54" i="185"/>
  <c r="F51" i="185"/>
  <c r="F50" i="185"/>
  <c r="F49" i="185"/>
  <c r="F48" i="185"/>
  <c r="F47" i="185"/>
  <c r="F46" i="185"/>
  <c r="F44" i="185"/>
  <c r="F42" i="185"/>
  <c r="F40" i="185"/>
  <c r="F37" i="185"/>
  <c r="F34" i="185"/>
  <c r="F31" i="185"/>
  <c r="F29" i="185"/>
  <c r="F28" i="185"/>
  <c r="F26" i="185"/>
  <c r="F63" i="186"/>
  <c r="F62" i="186"/>
  <c r="F61" i="186"/>
  <c r="F59" i="186"/>
  <c r="F58" i="186"/>
  <c r="F57" i="186"/>
  <c r="F55" i="186"/>
  <c r="F54" i="186"/>
  <c r="F51" i="186"/>
  <c r="F50" i="186"/>
  <c r="F49" i="186"/>
  <c r="F48" i="186"/>
  <c r="F46" i="186"/>
  <c r="F44" i="186"/>
  <c r="F42" i="186"/>
  <c r="F39" i="186"/>
  <c r="F37" i="186"/>
  <c r="F34" i="186"/>
  <c r="F31" i="186"/>
  <c r="F29" i="186"/>
  <c r="F28" i="186"/>
  <c r="F64" i="187"/>
  <c r="F63" i="187"/>
  <c r="F62" i="187"/>
  <c r="F61" i="187"/>
  <c r="F60" i="187"/>
  <c r="F59" i="187"/>
  <c r="F58" i="187"/>
  <c r="F57" i="187"/>
  <c r="F56" i="187"/>
  <c r="F55" i="187"/>
  <c r="F54" i="187"/>
  <c r="F51" i="187"/>
  <c r="F50" i="187"/>
  <c r="F49" i="187"/>
  <c r="F48" i="187"/>
  <c r="F47" i="187"/>
  <c r="F46" i="187"/>
  <c r="F45" i="187"/>
  <c r="F44" i="187"/>
  <c r="F43" i="187"/>
  <c r="F42" i="187"/>
  <c r="F41" i="187"/>
  <c r="F40" i="187"/>
  <c r="F39" i="187"/>
  <c r="F38" i="187"/>
  <c r="F37" i="187"/>
  <c r="F36" i="187"/>
  <c r="F35" i="187"/>
  <c r="F34" i="187"/>
  <c r="F31" i="187"/>
  <c r="F30" i="187"/>
  <c r="F29" i="187"/>
  <c r="F28" i="187"/>
  <c r="F27" i="187"/>
  <c r="F26" i="187"/>
  <c r="F25" i="187"/>
  <c r="F18" i="187"/>
  <c r="F17" i="187"/>
  <c r="F16" i="187"/>
  <c r="F15" i="187"/>
  <c r="F64" i="188"/>
  <c r="F63" i="188"/>
  <c r="F62" i="188"/>
  <c r="F61" i="188"/>
  <c r="F60" i="188"/>
  <c r="F59" i="188"/>
  <c r="F58" i="188"/>
  <c r="F57" i="188"/>
  <c r="F56" i="188"/>
  <c r="F55" i="188"/>
  <c r="F54" i="188"/>
  <c r="F51" i="188"/>
  <c r="F50" i="188"/>
  <c r="F49" i="188"/>
  <c r="F48" i="188"/>
  <c r="F47" i="188"/>
  <c r="F46" i="188"/>
  <c r="F45" i="188"/>
  <c r="F44" i="188"/>
  <c r="F43" i="188"/>
  <c r="F42" i="188"/>
  <c r="F41" i="188"/>
  <c r="F40" i="188"/>
  <c r="F39" i="188"/>
  <c r="F38" i="188"/>
  <c r="F37" i="188"/>
  <c r="F36" i="188"/>
  <c r="F35" i="188"/>
  <c r="F34" i="188"/>
  <c r="F31" i="188"/>
  <c r="F30" i="188"/>
  <c r="F29" i="188"/>
  <c r="F28" i="188"/>
  <c r="F27" i="188"/>
  <c r="F26" i="188"/>
  <c r="F25" i="188"/>
  <c r="F18" i="188"/>
  <c r="F17" i="188"/>
  <c r="F16" i="188"/>
  <c r="F15" i="188"/>
  <c r="F64" i="189"/>
  <c r="F63" i="189"/>
  <c r="F62" i="189"/>
  <c r="F61" i="189"/>
  <c r="F60" i="189"/>
  <c r="F59" i="189"/>
  <c r="F58" i="189"/>
  <c r="F57" i="189"/>
  <c r="F56" i="189"/>
  <c r="F55" i="189"/>
  <c r="F54" i="189"/>
  <c r="F51" i="189"/>
  <c r="F50" i="189"/>
  <c r="F49" i="189"/>
  <c r="F48" i="189"/>
  <c r="F47" i="189"/>
  <c r="F46" i="189"/>
  <c r="F45" i="189"/>
  <c r="F44" i="189"/>
  <c r="F43" i="189"/>
  <c r="F42" i="189"/>
  <c r="F41" i="189"/>
  <c r="F40" i="189"/>
  <c r="F39" i="189"/>
  <c r="F38" i="189"/>
  <c r="F37" i="189"/>
  <c r="F36" i="189"/>
  <c r="F35" i="189"/>
  <c r="F34" i="189"/>
  <c r="F31" i="189"/>
  <c r="F30" i="189"/>
  <c r="F29" i="189"/>
  <c r="F28" i="189"/>
  <c r="F27" i="189"/>
  <c r="F26" i="189"/>
  <c r="F25" i="189"/>
  <c r="F18" i="189"/>
  <c r="F17" i="189"/>
  <c r="F16" i="189"/>
  <c r="F15" i="189"/>
  <c r="F64" i="190"/>
  <c r="F63" i="190"/>
  <c r="F62" i="190"/>
  <c r="F61" i="190"/>
  <c r="F60" i="190"/>
  <c r="F59" i="190"/>
  <c r="F58" i="190"/>
  <c r="F57" i="190"/>
  <c r="F55" i="190"/>
  <c r="F54" i="190"/>
  <c r="F51" i="190"/>
  <c r="F50" i="190"/>
  <c r="F49" i="190"/>
  <c r="F46" i="190"/>
  <c r="F44" i="190"/>
  <c r="F42" i="190"/>
  <c r="F40" i="190"/>
  <c r="F38" i="190"/>
  <c r="F37" i="190"/>
  <c r="F36" i="190"/>
  <c r="F34" i="190"/>
  <c r="F31" i="190"/>
  <c r="F30" i="190"/>
  <c r="F29" i="190"/>
  <c r="F28" i="190"/>
  <c r="F26" i="190"/>
  <c r="F63" i="191"/>
  <c r="F62" i="191"/>
  <c r="F61" i="191"/>
  <c r="F59" i="191"/>
  <c r="F58" i="191"/>
  <c r="F57" i="191"/>
  <c r="F56" i="191"/>
  <c r="F55" i="191"/>
  <c r="F51" i="191"/>
  <c r="F49" i="191"/>
  <c r="F48" i="191"/>
  <c r="F46" i="191"/>
  <c r="F44" i="191"/>
  <c r="F42" i="191"/>
  <c r="F40" i="191"/>
  <c r="F35" i="191"/>
  <c r="F34" i="191"/>
  <c r="F31" i="191"/>
  <c r="F29" i="191"/>
  <c r="F28" i="191"/>
  <c r="F26" i="191"/>
  <c r="F63" i="192"/>
  <c r="F62" i="192"/>
  <c r="F61" i="192"/>
  <c r="F59" i="192"/>
  <c r="F58" i="192"/>
  <c r="F57" i="192"/>
  <c r="F55" i="192"/>
  <c r="F51" i="192"/>
  <c r="F50" i="192"/>
  <c r="F49" i="192"/>
  <c r="F48" i="192"/>
  <c r="F46" i="192"/>
  <c r="F44" i="192"/>
  <c r="F42" i="192"/>
  <c r="F40" i="192"/>
  <c r="F37" i="192"/>
  <c r="F34" i="192"/>
  <c r="F31" i="192"/>
  <c r="F30" i="192"/>
  <c r="F29" i="192"/>
  <c r="F28" i="192"/>
  <c r="F26" i="192"/>
  <c r="F25" i="192"/>
  <c r="F63" i="193"/>
  <c r="F62" i="193"/>
  <c r="F61" i="193"/>
  <c r="F59" i="193"/>
  <c r="F58" i="193"/>
  <c r="F57" i="193"/>
  <c r="F56" i="193"/>
  <c r="F55" i="193"/>
  <c r="F51" i="193"/>
  <c r="F49" i="193"/>
  <c r="F48" i="193"/>
  <c r="F46" i="193"/>
  <c r="F44" i="193"/>
  <c r="F43" i="193"/>
  <c r="F42" i="193"/>
  <c r="F41" i="193"/>
  <c r="F40" i="193"/>
  <c r="F39" i="193"/>
  <c r="F38" i="193"/>
  <c r="F37" i="193"/>
  <c r="F36" i="193"/>
  <c r="F35" i="193"/>
  <c r="F34" i="193"/>
  <c r="F31" i="193"/>
  <c r="F30" i="193"/>
  <c r="F29" i="193"/>
  <c r="F28" i="193"/>
  <c r="F26" i="193"/>
  <c r="F25" i="193"/>
  <c r="F63" i="194"/>
  <c r="F62" i="194"/>
  <c r="F61" i="194"/>
  <c r="F59" i="194"/>
  <c r="F58" i="194"/>
  <c r="F57" i="194"/>
  <c r="F56" i="194"/>
  <c r="F55" i="194"/>
  <c r="F54" i="194"/>
  <c r="F51" i="194"/>
  <c r="F50" i="194"/>
  <c r="F49" i="194"/>
  <c r="F48" i="194"/>
  <c r="F47" i="194"/>
  <c r="F46" i="194"/>
  <c r="F44" i="194"/>
  <c r="F42" i="194"/>
  <c r="F40" i="194"/>
  <c r="F34" i="194"/>
  <c r="F31" i="194"/>
  <c r="F30" i="194"/>
  <c r="F29" i="194"/>
  <c r="F28" i="194"/>
  <c r="F26" i="194"/>
  <c r="F25" i="194"/>
  <c r="F64" i="195"/>
  <c r="F63" i="195"/>
  <c r="F62" i="195"/>
  <c r="F61" i="195"/>
  <c r="F60" i="195"/>
  <c r="F59" i="195"/>
  <c r="F58" i="195"/>
  <c r="F57" i="195"/>
  <c r="F56" i="195"/>
  <c r="F55" i="195"/>
  <c r="F54" i="195"/>
  <c r="F51" i="195"/>
  <c r="F50" i="195"/>
  <c r="F49" i="195"/>
  <c r="F48" i="195"/>
  <c r="F46" i="195"/>
  <c r="F44" i="195"/>
  <c r="F43" i="195"/>
  <c r="F42" i="195"/>
  <c r="F40" i="195"/>
  <c r="F38" i="195"/>
  <c r="F35" i="195"/>
  <c r="F34" i="195"/>
  <c r="F31" i="195"/>
  <c r="F29" i="195"/>
  <c r="F28" i="195"/>
  <c r="F25" i="195"/>
  <c r="F64" i="196"/>
  <c r="F63" i="196"/>
  <c r="F62" i="196"/>
  <c r="F61" i="196"/>
  <c r="F60" i="196"/>
  <c r="F59" i="196"/>
  <c r="F57" i="196"/>
  <c r="F56" i="196"/>
  <c r="F55" i="196"/>
  <c r="F54" i="196"/>
  <c r="F51" i="196"/>
  <c r="F50" i="196"/>
  <c r="F49" i="196"/>
  <c r="F48" i="196"/>
  <c r="F46" i="196"/>
  <c r="F44" i="196"/>
  <c r="F43" i="196"/>
  <c r="F42" i="196"/>
  <c r="F41" i="196"/>
  <c r="F40" i="196"/>
  <c r="F38" i="196"/>
  <c r="F37" i="196"/>
  <c r="F35" i="196"/>
  <c r="F34" i="196"/>
  <c r="F31" i="196"/>
  <c r="F30" i="196"/>
  <c r="F29" i="196"/>
  <c r="F28" i="196"/>
  <c r="F26" i="196"/>
  <c r="F64" i="197"/>
  <c r="F63" i="197"/>
  <c r="F62" i="197"/>
  <c r="F61" i="197"/>
  <c r="F60" i="197"/>
  <c r="F59" i="197"/>
  <c r="F57" i="197"/>
  <c r="F55" i="197"/>
  <c r="F51" i="197"/>
  <c r="F49" i="197"/>
  <c r="F48" i="197"/>
  <c r="F46" i="197"/>
  <c r="F44" i="197"/>
  <c r="F43" i="197"/>
  <c r="F42" i="197"/>
  <c r="F41" i="197"/>
  <c r="F40" i="197"/>
  <c r="F38" i="197"/>
  <c r="F37" i="197"/>
  <c r="F35" i="197"/>
  <c r="F34" i="197"/>
  <c r="F31" i="197"/>
  <c r="F30" i="197"/>
  <c r="F29" i="197"/>
  <c r="F28" i="197"/>
  <c r="F26" i="197"/>
  <c r="F64" i="198"/>
  <c r="F63" i="198"/>
  <c r="F62" i="198"/>
  <c r="F61" i="198"/>
  <c r="F60" i="198"/>
  <c r="F59" i="198"/>
  <c r="F57" i="198"/>
  <c r="F55" i="198"/>
  <c r="F51" i="198"/>
  <c r="F50" i="198"/>
  <c r="F49" i="198"/>
  <c r="F48" i="198"/>
  <c r="F46" i="198"/>
  <c r="F44" i="198"/>
  <c r="F43" i="198"/>
  <c r="F42" i="198"/>
  <c r="F41" i="198"/>
  <c r="F40" i="198"/>
  <c r="F38" i="198"/>
  <c r="F37" i="198"/>
  <c r="F34" i="198"/>
  <c r="F31" i="198"/>
  <c r="F29" i="198"/>
  <c r="F28" i="198"/>
  <c r="F26" i="198"/>
  <c r="F63" i="200"/>
  <c r="F62" i="200"/>
  <c r="F61" i="200"/>
  <c r="F60" i="200"/>
  <c r="F59" i="200"/>
  <c r="F57" i="200"/>
  <c r="F55" i="200"/>
  <c r="F51" i="200"/>
  <c r="F49" i="200"/>
  <c r="F48" i="200"/>
  <c r="F46" i="200"/>
  <c r="F43" i="200"/>
  <c r="F42" i="200"/>
  <c r="F40" i="200"/>
  <c r="F37" i="200"/>
  <c r="F34" i="200"/>
  <c r="F31" i="200"/>
  <c r="F30" i="200"/>
  <c r="F29" i="200"/>
  <c r="F28" i="200"/>
  <c r="F26" i="200"/>
  <c r="F64" i="65"/>
  <c r="F64" i="232" s="1"/>
  <c r="F63" i="65"/>
  <c r="F62" i="65"/>
  <c r="F61" i="65"/>
  <c r="F60" i="65"/>
  <c r="F59" i="65"/>
  <c r="F58" i="65"/>
  <c r="F57" i="65"/>
  <c r="F56" i="65"/>
  <c r="F55" i="65"/>
  <c r="F54" i="65"/>
  <c r="F51" i="65"/>
  <c r="F50" i="65"/>
  <c r="F49" i="65"/>
  <c r="F48" i="65"/>
  <c r="F47" i="65"/>
  <c r="F46" i="65"/>
  <c r="F45" i="65"/>
  <c r="F44" i="65"/>
  <c r="F43" i="65"/>
  <c r="F42" i="65"/>
  <c r="F41" i="65"/>
  <c r="F40" i="65"/>
  <c r="F39" i="65"/>
  <c r="F38" i="65"/>
  <c r="F37" i="65"/>
  <c r="F36" i="65"/>
  <c r="F35" i="65"/>
  <c r="F34" i="65"/>
  <c r="F31" i="65"/>
  <c r="F30" i="65"/>
  <c r="F29" i="65"/>
  <c r="F28" i="65"/>
  <c r="F27" i="65"/>
  <c r="F26" i="65"/>
  <c r="F25" i="65"/>
  <c r="F18" i="65"/>
  <c r="F17" i="65"/>
  <c r="F16" i="65"/>
  <c r="F15" i="65"/>
  <c r="F63" i="108"/>
  <c r="F62" i="108"/>
  <c r="F61" i="108"/>
  <c r="F59" i="108"/>
  <c r="F58" i="108"/>
  <c r="F57" i="108"/>
  <c r="F55" i="108"/>
  <c r="F51" i="108"/>
  <c r="F50" i="108"/>
  <c r="F48" i="108"/>
  <c r="F46" i="108"/>
  <c r="F44" i="108"/>
  <c r="F42" i="108"/>
  <c r="F40" i="108"/>
  <c r="F34" i="108"/>
  <c r="F31" i="108"/>
  <c r="F29" i="108"/>
  <c r="F28" i="108"/>
  <c r="F26" i="108"/>
  <c r="F25" i="108"/>
  <c r="E64" i="108"/>
  <c r="E63" i="108"/>
  <c r="E62" i="108"/>
  <c r="E61" i="108"/>
  <c r="E60" i="108"/>
  <c r="E59" i="108"/>
  <c r="E58" i="108"/>
  <c r="E57" i="108"/>
  <c r="E55" i="108"/>
  <c r="E51" i="108"/>
  <c r="E50" i="108"/>
  <c r="E49" i="108"/>
  <c r="E48" i="108"/>
  <c r="E46" i="108"/>
  <c r="E44" i="108"/>
  <c r="E42" i="108"/>
  <c r="E40" i="108"/>
  <c r="E38" i="108"/>
  <c r="E37" i="108"/>
  <c r="E34" i="108"/>
  <c r="E31" i="108"/>
  <c r="E29" i="108"/>
  <c r="E28" i="108"/>
  <c r="E26" i="108"/>
  <c r="E64" i="109"/>
  <c r="E63" i="109"/>
  <c r="E62" i="109"/>
  <c r="E60" i="109"/>
  <c r="E59" i="109"/>
  <c r="E58" i="109"/>
  <c r="E56" i="109"/>
  <c r="E55" i="109"/>
  <c r="E54" i="109"/>
  <c r="E51" i="109"/>
  <c r="E48" i="109"/>
  <c r="E46" i="109"/>
  <c r="E44" i="109"/>
  <c r="E42" i="109"/>
  <c r="E41" i="109"/>
  <c r="E40" i="109"/>
  <c r="E37" i="109"/>
  <c r="E34" i="109"/>
  <c r="E31" i="109"/>
  <c r="E30" i="109"/>
  <c r="E29" i="109"/>
  <c r="E28" i="109"/>
  <c r="E26" i="109"/>
  <c r="E64" i="110"/>
  <c r="E63" i="110"/>
  <c r="E62" i="110"/>
  <c r="E61" i="110"/>
  <c r="E60" i="110"/>
  <c r="E59" i="110"/>
  <c r="E58" i="110"/>
  <c r="E57" i="110"/>
  <c r="E56" i="110"/>
  <c r="E55" i="110"/>
  <c r="E51" i="110"/>
  <c r="E50" i="110"/>
  <c r="E48" i="110"/>
  <c r="E46" i="110"/>
  <c r="E44" i="110"/>
  <c r="E42" i="110"/>
  <c r="E40" i="110"/>
  <c r="E38" i="110"/>
  <c r="E35" i="110"/>
  <c r="E34" i="110"/>
  <c r="E31" i="110"/>
  <c r="E29" i="110"/>
  <c r="E28" i="110"/>
  <c r="E26" i="110"/>
  <c r="E63" i="111"/>
  <c r="E62" i="111"/>
  <c r="E61" i="111"/>
  <c r="E60" i="111"/>
  <c r="E59" i="111"/>
  <c r="E58" i="111"/>
  <c r="E57" i="111"/>
  <c r="E55" i="111"/>
  <c r="E51" i="111"/>
  <c r="E49" i="111"/>
  <c r="E48" i="111"/>
  <c r="E46" i="111"/>
  <c r="E44" i="111"/>
  <c r="E42" i="111"/>
  <c r="E40" i="111"/>
  <c r="E35" i="111"/>
  <c r="E34" i="111"/>
  <c r="E31" i="111"/>
  <c r="E30" i="111"/>
  <c r="E29" i="111"/>
  <c r="E28" i="111"/>
  <c r="E26" i="111"/>
  <c r="E63" i="91"/>
  <c r="E62" i="91"/>
  <c r="E61" i="91"/>
  <c r="E60" i="91"/>
  <c r="E59" i="91"/>
  <c r="E58" i="91"/>
  <c r="E57" i="91"/>
  <c r="E55" i="91"/>
  <c r="E51" i="91"/>
  <c r="E50" i="91"/>
  <c r="E48" i="91"/>
  <c r="E47" i="91"/>
  <c r="E46" i="91"/>
  <c r="E44" i="91"/>
  <c r="E42" i="91"/>
  <c r="E40" i="91"/>
  <c r="E38" i="91"/>
  <c r="E37" i="91"/>
  <c r="E34" i="91"/>
  <c r="E31" i="91"/>
  <c r="E29" i="91"/>
  <c r="E28" i="91"/>
  <c r="E26" i="91"/>
  <c r="E63" i="93"/>
  <c r="E62" i="93"/>
  <c r="E61" i="93"/>
  <c r="E59" i="93"/>
  <c r="E57" i="93"/>
  <c r="E55" i="93"/>
  <c r="E51" i="93"/>
  <c r="E50" i="93"/>
  <c r="E49" i="93"/>
  <c r="E48" i="93"/>
  <c r="E47" i="93"/>
  <c r="E45" i="93"/>
  <c r="E43" i="93"/>
  <c r="E42" i="93"/>
  <c r="E40" i="93"/>
  <c r="E37" i="93"/>
  <c r="E35" i="93"/>
  <c r="E34" i="93"/>
  <c r="E31" i="93"/>
  <c r="E30" i="93"/>
  <c r="E29" i="93"/>
  <c r="E28" i="93"/>
  <c r="E26" i="93"/>
  <c r="E63" i="94"/>
  <c r="E62" i="94"/>
  <c r="E61" i="94"/>
  <c r="E59" i="94"/>
  <c r="E58" i="94"/>
  <c r="E57" i="94"/>
  <c r="E55" i="94"/>
  <c r="E51" i="94"/>
  <c r="E50" i="94"/>
  <c r="E48" i="94"/>
  <c r="E46" i="94"/>
  <c r="E44" i="94"/>
  <c r="E42" i="94"/>
  <c r="E40" i="94"/>
  <c r="E37" i="94"/>
  <c r="E34" i="94"/>
  <c r="E31" i="94"/>
  <c r="E30" i="94"/>
  <c r="E29" i="94"/>
  <c r="E28" i="94"/>
  <c r="E63" i="97"/>
  <c r="E62" i="97"/>
  <c r="E61" i="97"/>
  <c r="E59" i="97"/>
  <c r="E58" i="97"/>
  <c r="E57" i="97"/>
  <c r="E55" i="97"/>
  <c r="E51" i="97"/>
  <c r="E50" i="97"/>
  <c r="E46" i="97"/>
  <c r="E44" i="97"/>
  <c r="E40" i="97"/>
  <c r="E31" i="97"/>
  <c r="E29" i="97"/>
  <c r="E28" i="97"/>
  <c r="E26" i="97"/>
  <c r="E63" i="131"/>
  <c r="E62" i="131"/>
  <c r="E61" i="131"/>
  <c r="E60" i="131"/>
  <c r="E59" i="131"/>
  <c r="E58" i="131"/>
  <c r="E57" i="131"/>
  <c r="E55" i="131"/>
  <c r="E51" i="131"/>
  <c r="E48" i="131"/>
  <c r="E46" i="131"/>
  <c r="E44" i="131"/>
  <c r="E42" i="131"/>
  <c r="E40" i="131"/>
  <c r="E38" i="131"/>
  <c r="E34" i="131"/>
  <c r="E31" i="131"/>
  <c r="E29" i="131"/>
  <c r="E28" i="131"/>
  <c r="E26" i="131"/>
  <c r="E63" i="132"/>
  <c r="E62" i="132"/>
  <c r="E61" i="132"/>
  <c r="E60" i="132"/>
  <c r="E59" i="132"/>
  <c r="E58" i="132"/>
  <c r="E57" i="132"/>
  <c r="E55" i="132"/>
  <c r="E51" i="132"/>
  <c r="E50" i="132"/>
  <c r="E48" i="132"/>
  <c r="E46" i="132"/>
  <c r="E44" i="132"/>
  <c r="E42" i="132"/>
  <c r="E40" i="132"/>
  <c r="E39" i="132"/>
  <c r="E38" i="132"/>
  <c r="E34" i="132"/>
  <c r="E31" i="132"/>
  <c r="E30" i="132"/>
  <c r="E29" i="132"/>
  <c r="E28" i="132"/>
  <c r="E26" i="132"/>
  <c r="E63" i="81"/>
  <c r="E62" i="81"/>
  <c r="E61" i="81"/>
  <c r="E60" i="81"/>
  <c r="E59" i="81"/>
  <c r="E58" i="81"/>
  <c r="E57" i="81"/>
  <c r="E55" i="81"/>
  <c r="E51" i="81"/>
  <c r="E50" i="81"/>
  <c r="E46" i="81"/>
  <c r="E44" i="81"/>
  <c r="E42" i="81"/>
  <c r="E34" i="81"/>
  <c r="E31" i="81"/>
  <c r="E29" i="81"/>
  <c r="E28" i="81"/>
  <c r="E26" i="81"/>
  <c r="E63" i="82"/>
  <c r="E62" i="82"/>
  <c r="E61" i="82"/>
  <c r="E59" i="82"/>
  <c r="E58" i="82"/>
  <c r="E55" i="82"/>
  <c r="E51" i="82"/>
  <c r="E50" i="82"/>
  <c r="E48" i="82"/>
  <c r="E46" i="82"/>
  <c r="E44" i="82"/>
  <c r="E42" i="82"/>
  <c r="E40" i="82"/>
  <c r="E34" i="82"/>
  <c r="E31" i="82"/>
  <c r="E30" i="82"/>
  <c r="E29" i="82"/>
  <c r="E28" i="82"/>
  <c r="E26" i="82"/>
  <c r="E63" i="83"/>
  <c r="E62" i="83"/>
  <c r="E61" i="83"/>
  <c r="E60" i="83"/>
  <c r="E59" i="83"/>
  <c r="E58" i="83"/>
  <c r="E57" i="83"/>
  <c r="E56" i="83"/>
  <c r="E55" i="83"/>
  <c r="E51" i="83"/>
  <c r="E50" i="83"/>
  <c r="E48" i="83"/>
  <c r="E47" i="83"/>
  <c r="E46" i="83"/>
  <c r="E44" i="83"/>
  <c r="E42" i="83"/>
  <c r="E40" i="83"/>
  <c r="E37" i="83"/>
  <c r="E34" i="83"/>
  <c r="E31" i="83"/>
  <c r="E30" i="83"/>
  <c r="E29" i="83"/>
  <c r="E28" i="83"/>
  <c r="E26" i="83"/>
  <c r="E63" i="84"/>
  <c r="E62" i="84"/>
  <c r="E61" i="84"/>
  <c r="E60" i="84"/>
  <c r="E59" i="84"/>
  <c r="E58" i="84"/>
  <c r="E57" i="84"/>
  <c r="E55" i="84"/>
  <c r="E51" i="84"/>
  <c r="E50" i="84"/>
  <c r="E48" i="84"/>
  <c r="E46" i="84"/>
  <c r="E44" i="84"/>
  <c r="E42" i="84"/>
  <c r="E40" i="84"/>
  <c r="E34" i="84"/>
  <c r="E31" i="84"/>
  <c r="E30" i="84"/>
  <c r="E29" i="84"/>
  <c r="E64" i="85"/>
  <c r="E63" i="85"/>
  <c r="E62" i="85"/>
  <c r="E61" i="85"/>
  <c r="E60" i="85"/>
  <c r="E59" i="85"/>
  <c r="E58" i="85"/>
  <c r="E57" i="85"/>
  <c r="E56" i="85"/>
  <c r="E55" i="85"/>
  <c r="E54" i="85"/>
  <c r="E51" i="85"/>
  <c r="E50" i="85"/>
  <c r="E49" i="85"/>
  <c r="E48" i="85"/>
  <c r="E47" i="85"/>
  <c r="E46" i="85"/>
  <c r="E45" i="85"/>
  <c r="E44" i="85"/>
  <c r="E43" i="85"/>
  <c r="E42" i="85"/>
  <c r="E41" i="85"/>
  <c r="E40" i="85"/>
  <c r="E39" i="85"/>
  <c r="E38" i="85"/>
  <c r="E37" i="85"/>
  <c r="E36" i="85"/>
  <c r="E35" i="85"/>
  <c r="E34" i="85"/>
  <c r="E31" i="85"/>
  <c r="E30" i="85"/>
  <c r="E29" i="85"/>
  <c r="E28" i="85"/>
  <c r="E27" i="85"/>
  <c r="E26" i="85"/>
  <c r="E25" i="85"/>
  <c r="E18" i="85"/>
  <c r="E17" i="85"/>
  <c r="E16" i="85"/>
  <c r="E15" i="85"/>
  <c r="E64" i="120"/>
  <c r="E63" i="120"/>
  <c r="E62" i="120"/>
  <c r="E61" i="120"/>
  <c r="E60" i="120"/>
  <c r="E59" i="120"/>
  <c r="E58" i="120"/>
  <c r="E57" i="120"/>
  <c r="E56" i="120"/>
  <c r="E55" i="120"/>
  <c r="E54" i="120"/>
  <c r="E51" i="120"/>
  <c r="E50" i="120"/>
  <c r="E49" i="120"/>
  <c r="E48" i="120"/>
  <c r="E47" i="120"/>
  <c r="E46" i="120"/>
  <c r="E45" i="120"/>
  <c r="E44" i="120"/>
  <c r="E43" i="120"/>
  <c r="E42" i="120"/>
  <c r="E41" i="120"/>
  <c r="E40" i="120"/>
  <c r="E39" i="120"/>
  <c r="E38" i="120"/>
  <c r="E37" i="120"/>
  <c r="E36" i="120"/>
  <c r="E35" i="120"/>
  <c r="E34" i="120"/>
  <c r="E31" i="120"/>
  <c r="E30" i="120"/>
  <c r="E29" i="120"/>
  <c r="E28" i="120"/>
  <c r="E27" i="120"/>
  <c r="E26" i="120"/>
  <c r="E25" i="120"/>
  <c r="E18" i="120"/>
  <c r="E17" i="120"/>
  <c r="E16" i="120"/>
  <c r="E15" i="120"/>
  <c r="E63" i="121"/>
  <c r="E62" i="121"/>
  <c r="E61" i="121"/>
  <c r="E60" i="121"/>
  <c r="E59" i="121"/>
  <c r="E58" i="121"/>
  <c r="E57" i="121"/>
  <c r="E55" i="121"/>
  <c r="E51" i="121"/>
  <c r="E50" i="121"/>
  <c r="E49" i="121"/>
  <c r="E48" i="121"/>
  <c r="E47" i="121"/>
  <c r="E46" i="121"/>
  <c r="E44" i="121"/>
  <c r="E43" i="121"/>
  <c r="E42" i="121"/>
  <c r="E40" i="121"/>
  <c r="E38" i="121"/>
  <c r="E37" i="121"/>
  <c r="E35" i="121"/>
  <c r="E34" i="121"/>
  <c r="E31" i="121"/>
  <c r="E30" i="121"/>
  <c r="E29" i="121"/>
  <c r="E28" i="121"/>
  <c r="E26" i="121"/>
  <c r="E63" i="122"/>
  <c r="E62" i="122"/>
  <c r="E61" i="122"/>
  <c r="E60" i="122"/>
  <c r="E59" i="122"/>
  <c r="E58" i="122"/>
  <c r="E57" i="122"/>
  <c r="E56" i="122"/>
  <c r="E55" i="122"/>
  <c r="E54" i="122"/>
  <c r="E51" i="122"/>
  <c r="E50" i="122"/>
  <c r="E49" i="122"/>
  <c r="E48" i="122"/>
  <c r="E46" i="122"/>
  <c r="E44" i="122"/>
  <c r="E43" i="122"/>
  <c r="E42" i="122"/>
  <c r="E41" i="122"/>
  <c r="E40" i="122"/>
  <c r="E39" i="122"/>
  <c r="E38" i="122"/>
  <c r="E37" i="122"/>
  <c r="E36" i="122"/>
  <c r="E34" i="122"/>
  <c r="E31" i="122"/>
  <c r="E30" i="122"/>
  <c r="E29" i="122"/>
  <c r="E28" i="122"/>
  <c r="E26" i="122"/>
  <c r="E64" i="133"/>
  <c r="E63" i="133"/>
  <c r="E62" i="133"/>
  <c r="E61" i="133"/>
  <c r="E60" i="133"/>
  <c r="E59" i="133"/>
  <c r="E58" i="133"/>
  <c r="E57" i="133"/>
  <c r="E55" i="133"/>
  <c r="E51" i="133"/>
  <c r="E50" i="133"/>
  <c r="E49" i="133"/>
  <c r="E48" i="133"/>
  <c r="E46" i="133"/>
  <c r="E44" i="133"/>
  <c r="E43" i="133"/>
  <c r="E42" i="133"/>
  <c r="E35" i="133"/>
  <c r="E34" i="133"/>
  <c r="E31" i="133"/>
  <c r="E30" i="133"/>
  <c r="E29" i="133"/>
  <c r="E28" i="133"/>
  <c r="E26" i="133"/>
  <c r="E64" i="86"/>
  <c r="E63" i="86"/>
  <c r="E62" i="86"/>
  <c r="E61" i="86"/>
  <c r="E60" i="86"/>
  <c r="E59" i="86"/>
  <c r="E58" i="86"/>
  <c r="E57" i="86"/>
  <c r="E56" i="86"/>
  <c r="E55" i="86"/>
  <c r="E54" i="86"/>
  <c r="E51" i="86"/>
  <c r="E50" i="86"/>
  <c r="E48" i="86"/>
  <c r="E47" i="86"/>
  <c r="E46" i="86"/>
  <c r="E44" i="86"/>
  <c r="E42" i="86"/>
  <c r="E41" i="86"/>
  <c r="E40" i="86"/>
  <c r="E35" i="86"/>
  <c r="E31" i="86"/>
  <c r="E30" i="86"/>
  <c r="E29" i="86"/>
  <c r="E28" i="86"/>
  <c r="E64" i="123"/>
  <c r="E63" i="123"/>
  <c r="E62" i="123"/>
  <c r="E61" i="123"/>
  <c r="E59" i="123"/>
  <c r="E58" i="123"/>
  <c r="E57" i="123"/>
  <c r="E56" i="123"/>
  <c r="E55" i="123"/>
  <c r="E54" i="123"/>
  <c r="E51" i="123"/>
  <c r="E50" i="123"/>
  <c r="E49" i="123"/>
  <c r="E48" i="123"/>
  <c r="E47" i="123"/>
  <c r="E46" i="123"/>
  <c r="E45" i="123"/>
  <c r="E44" i="123"/>
  <c r="E43" i="123"/>
  <c r="E42" i="123"/>
  <c r="E41" i="123"/>
  <c r="E40" i="123"/>
  <c r="E38" i="123"/>
  <c r="E37" i="123"/>
  <c r="E35" i="123"/>
  <c r="E34" i="123"/>
  <c r="E31" i="123"/>
  <c r="E30" i="123"/>
  <c r="E29" i="123"/>
  <c r="E28" i="123"/>
  <c r="E26" i="123"/>
  <c r="E63" i="141"/>
  <c r="E62" i="141"/>
  <c r="E61" i="141"/>
  <c r="E60" i="141"/>
  <c r="E59" i="141"/>
  <c r="E58" i="141"/>
  <c r="E57" i="141"/>
  <c r="E55" i="141"/>
  <c r="E51" i="141"/>
  <c r="E50" i="141"/>
  <c r="E48" i="141"/>
  <c r="E47" i="141"/>
  <c r="E46" i="141"/>
  <c r="E44" i="141"/>
  <c r="E43" i="141"/>
  <c r="E42" i="141"/>
  <c r="E37" i="141"/>
  <c r="E34" i="141"/>
  <c r="E31" i="141"/>
  <c r="E30" i="141"/>
  <c r="E29" i="141"/>
  <c r="E28" i="141"/>
  <c r="E63" i="178"/>
  <c r="E62" i="178"/>
  <c r="E61" i="178"/>
  <c r="E60" i="178"/>
  <c r="E59" i="178"/>
  <c r="E58" i="178"/>
  <c r="E57" i="178"/>
  <c r="E55" i="178"/>
  <c r="E51" i="178"/>
  <c r="E50" i="178"/>
  <c r="E48" i="178"/>
  <c r="E46" i="178"/>
  <c r="E44" i="178"/>
  <c r="E42" i="178"/>
  <c r="E41" i="178"/>
  <c r="E40" i="178"/>
  <c r="E37" i="178"/>
  <c r="E34" i="178"/>
  <c r="E31" i="178"/>
  <c r="E30" i="178"/>
  <c r="E29" i="178"/>
  <c r="E28" i="178"/>
  <c r="E26" i="178"/>
  <c r="E63" i="179"/>
  <c r="E62" i="179"/>
  <c r="E61" i="179"/>
  <c r="E60" i="179"/>
  <c r="E59" i="179"/>
  <c r="E58" i="179"/>
  <c r="E57" i="179"/>
  <c r="E55" i="179"/>
  <c r="E54" i="179"/>
  <c r="E51" i="179"/>
  <c r="E50" i="179"/>
  <c r="E48" i="179"/>
  <c r="E46" i="179"/>
  <c r="E44" i="179"/>
  <c r="E42" i="179"/>
  <c r="E40" i="179"/>
  <c r="E38" i="179"/>
  <c r="E37" i="179"/>
  <c r="E31" i="179"/>
  <c r="E30" i="179"/>
  <c r="E29" i="179"/>
  <c r="E28" i="179"/>
  <c r="E63" i="180"/>
  <c r="E62" i="180"/>
  <c r="E61" i="180"/>
  <c r="E59" i="180"/>
  <c r="E58" i="180"/>
  <c r="E57" i="180"/>
  <c r="E55" i="180"/>
  <c r="E51" i="180"/>
  <c r="E50" i="180"/>
  <c r="E48" i="180"/>
  <c r="E47" i="180"/>
  <c r="E46" i="180"/>
  <c r="E44" i="180"/>
  <c r="E42" i="180"/>
  <c r="E40" i="180"/>
  <c r="E38" i="180"/>
  <c r="E34" i="180"/>
  <c r="E31" i="180"/>
  <c r="E30" i="180"/>
  <c r="E29" i="180"/>
  <c r="E28" i="180"/>
  <c r="E26" i="180"/>
  <c r="E64" i="181"/>
  <c r="E63" i="181"/>
  <c r="E62" i="181"/>
  <c r="E61" i="181"/>
  <c r="E60" i="181"/>
  <c r="E59" i="181"/>
  <c r="E58" i="181"/>
  <c r="E57" i="181"/>
  <c r="E56" i="181"/>
  <c r="E55" i="181"/>
  <c r="E54" i="181"/>
  <c r="E51" i="181"/>
  <c r="E50" i="181"/>
  <c r="E49" i="181"/>
  <c r="E48" i="181"/>
  <c r="E47" i="181"/>
  <c r="E46" i="181"/>
  <c r="E45" i="181"/>
  <c r="E44" i="181"/>
  <c r="E43" i="181"/>
  <c r="E42" i="181"/>
  <c r="E41" i="181"/>
  <c r="E40" i="181"/>
  <c r="E39" i="181"/>
  <c r="E38" i="181"/>
  <c r="E37" i="181"/>
  <c r="E36" i="181"/>
  <c r="E35" i="181"/>
  <c r="E34" i="181"/>
  <c r="E31" i="181"/>
  <c r="E30" i="181"/>
  <c r="E29" i="181"/>
  <c r="E28" i="181"/>
  <c r="E27" i="181"/>
  <c r="E26" i="181"/>
  <c r="E25" i="181"/>
  <c r="E18" i="181"/>
  <c r="E17" i="181"/>
  <c r="E16" i="181"/>
  <c r="E15" i="181"/>
  <c r="E64" i="182"/>
  <c r="E63" i="182"/>
  <c r="E62" i="182"/>
  <c r="E61" i="182"/>
  <c r="E60" i="182"/>
  <c r="E59" i="182"/>
  <c r="E58" i="182"/>
  <c r="E57" i="182"/>
  <c r="E56" i="182"/>
  <c r="E55" i="182"/>
  <c r="E54" i="182"/>
  <c r="E51" i="182"/>
  <c r="E50" i="182"/>
  <c r="E49" i="182"/>
  <c r="E48" i="182"/>
  <c r="E47" i="182"/>
  <c r="E46" i="182"/>
  <c r="E45" i="182"/>
  <c r="E44" i="182"/>
  <c r="E43" i="182"/>
  <c r="E42" i="182"/>
  <c r="E41" i="182"/>
  <c r="E40" i="182"/>
  <c r="E39" i="182"/>
  <c r="E38" i="182"/>
  <c r="E37" i="182"/>
  <c r="E36" i="182"/>
  <c r="E35" i="182"/>
  <c r="E34" i="182"/>
  <c r="E31" i="182"/>
  <c r="E30" i="182"/>
  <c r="E29" i="182"/>
  <c r="E28" i="182"/>
  <c r="E27" i="182"/>
  <c r="E26" i="182"/>
  <c r="E25" i="182"/>
  <c r="E18" i="182"/>
  <c r="E17" i="182"/>
  <c r="E16" i="182"/>
  <c r="E15" i="182"/>
  <c r="E63" i="183"/>
  <c r="E62" i="183"/>
  <c r="E61" i="183"/>
  <c r="E60" i="183"/>
  <c r="E59" i="183"/>
  <c r="E58" i="183"/>
  <c r="E57" i="183"/>
  <c r="E55" i="183"/>
  <c r="E51" i="183"/>
  <c r="E50" i="183"/>
  <c r="E48" i="183"/>
  <c r="E46" i="183"/>
  <c r="E42" i="183"/>
  <c r="E38" i="183"/>
  <c r="E31" i="183"/>
  <c r="E29" i="183"/>
  <c r="E28" i="183"/>
  <c r="E26" i="183"/>
  <c r="E64" i="184"/>
  <c r="E63" i="184"/>
  <c r="E62" i="184"/>
  <c r="E61" i="184"/>
  <c r="E60" i="184"/>
  <c r="E59" i="184"/>
  <c r="E58" i="184"/>
  <c r="E57" i="184"/>
  <c r="E56" i="184"/>
  <c r="E55" i="184"/>
  <c r="E54" i="184"/>
  <c r="E51" i="184"/>
  <c r="E50" i="184"/>
  <c r="E49" i="184"/>
  <c r="E48" i="184"/>
  <c r="E47" i="184"/>
  <c r="E46" i="184"/>
  <c r="E45" i="184"/>
  <c r="E44" i="184"/>
  <c r="E43" i="184"/>
  <c r="E42" i="184"/>
  <c r="E41" i="184"/>
  <c r="E40" i="184"/>
  <c r="E39" i="184"/>
  <c r="E38" i="184"/>
  <c r="E37" i="184"/>
  <c r="E36" i="184"/>
  <c r="E35" i="184"/>
  <c r="E34" i="184"/>
  <c r="E31" i="184"/>
  <c r="E30" i="184"/>
  <c r="E29" i="184"/>
  <c r="E28" i="184"/>
  <c r="E27" i="184"/>
  <c r="E26" i="184"/>
  <c r="E25" i="184"/>
  <c r="E18" i="184"/>
  <c r="E17" i="184"/>
  <c r="E16" i="184"/>
  <c r="E15" i="184"/>
  <c r="E63" i="185"/>
  <c r="E62" i="185"/>
  <c r="E61" i="185"/>
  <c r="E60" i="185"/>
  <c r="E59" i="185"/>
  <c r="E58" i="185"/>
  <c r="E57" i="185"/>
  <c r="E54" i="185"/>
  <c r="E51" i="185"/>
  <c r="E49" i="185"/>
  <c r="E48" i="185"/>
  <c r="E47" i="185"/>
  <c r="E46" i="185"/>
  <c r="E44" i="185"/>
  <c r="E42" i="185"/>
  <c r="E41" i="185"/>
  <c r="E37" i="185"/>
  <c r="E34" i="185"/>
  <c r="E31" i="185"/>
  <c r="E29" i="185"/>
  <c r="E28" i="185"/>
  <c r="E26" i="185"/>
  <c r="E63" i="186"/>
  <c r="E62" i="186"/>
  <c r="E61" i="186"/>
  <c r="E59" i="186"/>
  <c r="E58" i="186"/>
  <c r="E57" i="186"/>
  <c r="E55" i="186"/>
  <c r="E54" i="186"/>
  <c r="E51" i="186"/>
  <c r="E48" i="186"/>
  <c r="E47" i="186"/>
  <c r="E46" i="186"/>
  <c r="E44" i="186"/>
  <c r="E42" i="186"/>
  <c r="E40" i="186"/>
  <c r="E38" i="186"/>
  <c r="E34" i="186"/>
  <c r="E31" i="186"/>
  <c r="E30" i="186"/>
  <c r="E29" i="186"/>
  <c r="E28" i="186"/>
  <c r="E64" i="187"/>
  <c r="E63" i="187"/>
  <c r="E62" i="187"/>
  <c r="E61" i="187"/>
  <c r="E60" i="187"/>
  <c r="E59" i="187"/>
  <c r="E58" i="187"/>
  <c r="E57" i="187"/>
  <c r="E56" i="187"/>
  <c r="E55" i="187"/>
  <c r="E54" i="187"/>
  <c r="E51" i="187"/>
  <c r="E50" i="187"/>
  <c r="E49" i="187"/>
  <c r="E48" i="187"/>
  <c r="E47" i="187"/>
  <c r="E46" i="187"/>
  <c r="E45" i="187"/>
  <c r="E44" i="187"/>
  <c r="E43" i="187"/>
  <c r="E42" i="187"/>
  <c r="E41" i="187"/>
  <c r="E40" i="187"/>
  <c r="E39" i="187"/>
  <c r="E38" i="187"/>
  <c r="E37" i="187"/>
  <c r="E36" i="187"/>
  <c r="E35" i="187"/>
  <c r="E34" i="187"/>
  <c r="E31" i="187"/>
  <c r="E30" i="187"/>
  <c r="E29" i="187"/>
  <c r="E28" i="187"/>
  <c r="E27" i="187"/>
  <c r="E26" i="187"/>
  <c r="E25" i="187"/>
  <c r="E18" i="187"/>
  <c r="E17" i="187"/>
  <c r="E16" i="187"/>
  <c r="E15" i="187"/>
  <c r="E64" i="188"/>
  <c r="E63" i="188"/>
  <c r="E62" i="188"/>
  <c r="E61" i="188"/>
  <c r="E60" i="188"/>
  <c r="E59" i="188"/>
  <c r="E58" i="188"/>
  <c r="E57" i="188"/>
  <c r="E56" i="188"/>
  <c r="E55" i="188"/>
  <c r="E54" i="188"/>
  <c r="E51" i="188"/>
  <c r="E50" i="188"/>
  <c r="E49" i="188"/>
  <c r="E48" i="188"/>
  <c r="E47" i="188"/>
  <c r="E46" i="188"/>
  <c r="E45" i="188"/>
  <c r="E44" i="188"/>
  <c r="E43" i="188"/>
  <c r="E42" i="188"/>
  <c r="E41" i="188"/>
  <c r="E40" i="188"/>
  <c r="E39" i="188"/>
  <c r="E38" i="188"/>
  <c r="E37" i="188"/>
  <c r="E36" i="188"/>
  <c r="E35" i="188"/>
  <c r="E34" i="188"/>
  <c r="E31" i="188"/>
  <c r="E30" i="188"/>
  <c r="E29" i="188"/>
  <c r="E28" i="188"/>
  <c r="E27" i="188"/>
  <c r="E26" i="188"/>
  <c r="E25" i="188"/>
  <c r="E18" i="188"/>
  <c r="E17" i="188"/>
  <c r="E16" i="188"/>
  <c r="E15" i="188"/>
  <c r="E64" i="189"/>
  <c r="E63" i="189"/>
  <c r="E62" i="189"/>
  <c r="E61" i="189"/>
  <c r="E60" i="189"/>
  <c r="E59" i="189"/>
  <c r="E58" i="189"/>
  <c r="E57" i="189"/>
  <c r="E56" i="189"/>
  <c r="E55" i="189"/>
  <c r="E54" i="189"/>
  <c r="E51" i="189"/>
  <c r="E50" i="189"/>
  <c r="E49" i="189"/>
  <c r="E48" i="189"/>
  <c r="E47" i="189"/>
  <c r="E46" i="189"/>
  <c r="E45" i="189"/>
  <c r="E44" i="189"/>
  <c r="E43" i="189"/>
  <c r="E42" i="189"/>
  <c r="E41" i="189"/>
  <c r="E40" i="189"/>
  <c r="E39" i="189"/>
  <c r="E38" i="189"/>
  <c r="E37" i="189"/>
  <c r="E36" i="189"/>
  <c r="E35" i="189"/>
  <c r="E34" i="189"/>
  <c r="E31" i="189"/>
  <c r="E30" i="189"/>
  <c r="E29" i="189"/>
  <c r="E28" i="189"/>
  <c r="E27" i="189"/>
  <c r="E26" i="189"/>
  <c r="E25" i="189"/>
  <c r="E18" i="189"/>
  <c r="E17" i="189"/>
  <c r="E16" i="189"/>
  <c r="E15" i="189"/>
  <c r="E64" i="190"/>
  <c r="E63" i="190"/>
  <c r="E62" i="190"/>
  <c r="E61" i="190"/>
  <c r="E59" i="190"/>
  <c r="E58" i="190"/>
  <c r="E57" i="190"/>
  <c r="E56" i="190"/>
  <c r="E55" i="190"/>
  <c r="E51" i="190"/>
  <c r="E50" i="190"/>
  <c r="E48" i="190"/>
  <c r="E46" i="190"/>
  <c r="E44" i="190"/>
  <c r="E42" i="190"/>
  <c r="E41" i="190"/>
  <c r="E40" i="190"/>
  <c r="E37" i="190"/>
  <c r="E34" i="190"/>
  <c r="E31" i="190"/>
  <c r="E30" i="190"/>
  <c r="E29" i="190"/>
  <c r="E28" i="190"/>
  <c r="E26" i="190"/>
  <c r="E63" i="191"/>
  <c r="E62" i="191"/>
  <c r="E61" i="191"/>
  <c r="E60" i="191"/>
  <c r="E59" i="191"/>
  <c r="E58" i="191"/>
  <c r="E57" i="191"/>
  <c r="E56" i="191"/>
  <c r="E55" i="191"/>
  <c r="E51" i="191"/>
  <c r="E50" i="191"/>
  <c r="E49" i="191"/>
  <c r="E48" i="191"/>
  <c r="E46" i="191"/>
  <c r="E44" i="191"/>
  <c r="E42" i="191"/>
  <c r="E40" i="191"/>
  <c r="E37" i="191"/>
  <c r="E35" i="191"/>
  <c r="E34" i="191"/>
  <c r="E31" i="191"/>
  <c r="E30" i="191"/>
  <c r="E29" i="191"/>
  <c r="E28" i="191"/>
  <c r="E26" i="191"/>
  <c r="E63" i="192"/>
  <c r="E62" i="192"/>
  <c r="E61" i="192"/>
  <c r="E59" i="192"/>
  <c r="E58" i="192"/>
  <c r="E57" i="192"/>
  <c r="E55" i="192"/>
  <c r="E51" i="192"/>
  <c r="E50" i="192"/>
  <c r="E46" i="192"/>
  <c r="E44" i="192"/>
  <c r="E43" i="192"/>
  <c r="E42" i="192"/>
  <c r="E40" i="192"/>
  <c r="E37" i="192"/>
  <c r="E34" i="192"/>
  <c r="E31" i="192"/>
  <c r="E30" i="192"/>
  <c r="E29" i="192"/>
  <c r="E28" i="192"/>
  <c r="E26" i="192"/>
  <c r="E25" i="192"/>
  <c r="E64" i="193"/>
  <c r="E63" i="193"/>
  <c r="E62" i="193"/>
  <c r="E61" i="193"/>
  <c r="E59" i="193"/>
  <c r="E58" i="193"/>
  <c r="E57" i="193"/>
  <c r="E56" i="193"/>
  <c r="E55" i="193"/>
  <c r="E54" i="193"/>
  <c r="E51" i="193"/>
  <c r="E50" i="193"/>
  <c r="E49" i="193"/>
  <c r="E48" i="193"/>
  <c r="E47" i="193"/>
  <c r="E46" i="193"/>
  <c r="E45" i="193"/>
  <c r="E44" i="193"/>
  <c r="E43" i="193"/>
  <c r="E42" i="193"/>
  <c r="E41" i="193"/>
  <c r="E40" i="193"/>
  <c r="E39" i="193"/>
  <c r="E38" i="193"/>
  <c r="E37" i="193"/>
  <c r="E35" i="193"/>
  <c r="E34" i="193"/>
  <c r="E31" i="193"/>
  <c r="E30" i="193"/>
  <c r="E29" i="193"/>
  <c r="E28" i="193"/>
  <c r="E26" i="193"/>
  <c r="E63" i="194"/>
  <c r="E62" i="194"/>
  <c r="E61" i="194"/>
  <c r="E59" i="194"/>
  <c r="E58" i="194"/>
  <c r="E57" i="194"/>
  <c r="E56" i="194"/>
  <c r="E55" i="194"/>
  <c r="E54" i="194"/>
  <c r="E51" i="194"/>
  <c r="E49" i="194"/>
  <c r="E48" i="194"/>
  <c r="E46" i="194"/>
  <c r="E44" i="194"/>
  <c r="E42" i="194"/>
  <c r="E41" i="194"/>
  <c r="E40" i="194"/>
  <c r="E38" i="194"/>
  <c r="E37" i="194"/>
  <c r="E35" i="194"/>
  <c r="E34" i="194"/>
  <c r="E31" i="194"/>
  <c r="E30" i="194"/>
  <c r="E29" i="194"/>
  <c r="E28" i="194"/>
  <c r="E26" i="194"/>
  <c r="E64" i="195"/>
  <c r="E63" i="195"/>
  <c r="E62" i="195"/>
  <c r="E61" i="195"/>
  <c r="E59" i="195"/>
  <c r="E58" i="195"/>
  <c r="E57" i="195"/>
  <c r="E56" i="195"/>
  <c r="E55" i="195"/>
  <c r="E54" i="195"/>
  <c r="E51" i="195"/>
  <c r="E50" i="195"/>
  <c r="E49" i="195"/>
  <c r="E48" i="195"/>
  <c r="E47" i="195"/>
  <c r="E46" i="195"/>
  <c r="E44" i="195"/>
  <c r="E43" i="195"/>
  <c r="E42" i="195"/>
  <c r="E40" i="195"/>
  <c r="E38" i="195"/>
  <c r="E37" i="195"/>
  <c r="E34" i="195"/>
  <c r="E31" i="195"/>
  <c r="E29" i="195"/>
  <c r="E28" i="195"/>
  <c r="E26" i="195"/>
  <c r="E25" i="195"/>
  <c r="E64" i="196"/>
  <c r="E63" i="196"/>
  <c r="E62" i="196"/>
  <c r="E61" i="196"/>
  <c r="E60" i="196"/>
  <c r="E59" i="196"/>
  <c r="E57" i="196"/>
  <c r="E56" i="196"/>
  <c r="E55" i="196"/>
  <c r="E54" i="196"/>
  <c r="E51" i="196"/>
  <c r="E50" i="196"/>
  <c r="E49" i="196"/>
  <c r="E48" i="196"/>
  <c r="E46" i="196"/>
  <c r="E44" i="196"/>
  <c r="E43" i="196"/>
  <c r="E42" i="196"/>
  <c r="E41" i="196"/>
  <c r="E40" i="196"/>
  <c r="E38" i="196"/>
  <c r="E37" i="196"/>
  <c r="E35" i="196"/>
  <c r="E34" i="196"/>
  <c r="E31" i="196"/>
  <c r="E30" i="196"/>
  <c r="E28" i="196"/>
  <c r="E26" i="196"/>
  <c r="E63" i="197"/>
  <c r="E62" i="197"/>
  <c r="E61" i="197"/>
  <c r="E60" i="197"/>
  <c r="E59" i="197"/>
  <c r="E57" i="197"/>
  <c r="E55" i="197"/>
  <c r="E54" i="197"/>
  <c r="E51" i="197"/>
  <c r="E49" i="197"/>
  <c r="E48" i="197"/>
  <c r="E46" i="197"/>
  <c r="E44" i="197"/>
  <c r="E43" i="197"/>
  <c r="E42" i="197"/>
  <c r="E40" i="197"/>
  <c r="E38" i="197"/>
  <c r="E37" i="197"/>
  <c r="E35" i="197"/>
  <c r="E34" i="197"/>
  <c r="E31" i="197"/>
  <c r="E30" i="197"/>
  <c r="E29" i="197"/>
  <c r="E28" i="197"/>
  <c r="E26" i="197"/>
  <c r="E64" i="198"/>
  <c r="E63" i="198"/>
  <c r="E62" i="198"/>
  <c r="E61" i="198"/>
  <c r="E60" i="198"/>
  <c r="E59" i="198"/>
  <c r="E57" i="198"/>
  <c r="E56" i="198"/>
  <c r="E55" i="198"/>
  <c r="E54" i="198"/>
  <c r="E51" i="198"/>
  <c r="E50" i="198"/>
  <c r="E49" i="198"/>
  <c r="E48" i="198"/>
  <c r="E46" i="198"/>
  <c r="E44" i="198"/>
  <c r="E43" i="198"/>
  <c r="E42" i="198"/>
  <c r="E41" i="198"/>
  <c r="E40" i="198"/>
  <c r="E38" i="198"/>
  <c r="E34" i="198"/>
  <c r="E31" i="198"/>
  <c r="E29" i="198"/>
  <c r="E28" i="198"/>
  <c r="E26" i="198"/>
  <c r="E64" i="200"/>
  <c r="E63" i="200"/>
  <c r="E62" i="200"/>
  <c r="E61" i="200"/>
  <c r="E60" i="200"/>
  <c r="E59" i="200"/>
  <c r="E57" i="200"/>
  <c r="E56" i="200"/>
  <c r="E55" i="200"/>
  <c r="E54" i="200"/>
  <c r="E51" i="200"/>
  <c r="E49" i="200"/>
  <c r="E48" i="200"/>
  <c r="E46" i="200"/>
  <c r="E44" i="200"/>
  <c r="E43" i="200"/>
  <c r="E42" i="200"/>
  <c r="E41" i="200"/>
  <c r="E40" i="200"/>
  <c r="E38" i="200"/>
  <c r="E37" i="200"/>
  <c r="E34" i="200"/>
  <c r="E31" i="200"/>
  <c r="E30" i="200"/>
  <c r="E29" i="200"/>
  <c r="E28" i="200"/>
  <c r="E64" i="65"/>
  <c r="E63" i="65"/>
  <c r="E62" i="65"/>
  <c r="E61" i="65"/>
  <c r="E60" i="65"/>
  <c r="E59" i="65"/>
  <c r="E58" i="65"/>
  <c r="E57" i="65"/>
  <c r="E56" i="65"/>
  <c r="E55" i="65"/>
  <c r="E54" i="65"/>
  <c r="E51" i="65"/>
  <c r="E50" i="65"/>
  <c r="E49" i="65"/>
  <c r="E48" i="65"/>
  <c r="E47" i="65"/>
  <c r="E46" i="65"/>
  <c r="E45" i="65"/>
  <c r="E44" i="65"/>
  <c r="E43" i="65"/>
  <c r="E42" i="65"/>
  <c r="E41" i="65"/>
  <c r="E40" i="65"/>
  <c r="E39" i="65"/>
  <c r="E38" i="65"/>
  <c r="E37" i="65"/>
  <c r="E36" i="65"/>
  <c r="E35" i="65"/>
  <c r="E34" i="65"/>
  <c r="E31" i="65"/>
  <c r="E30" i="65"/>
  <c r="E29" i="65"/>
  <c r="E28" i="65"/>
  <c r="E27" i="65"/>
  <c r="E26" i="65"/>
  <c r="E25" i="65"/>
  <c r="E18" i="65"/>
  <c r="E17" i="65"/>
  <c r="E16" i="65"/>
  <c r="E15" i="65"/>
  <c r="D63" i="108"/>
  <c r="D62" i="108"/>
  <c r="D61" i="108"/>
  <c r="D60" i="108"/>
  <c r="D59" i="108"/>
  <c r="D58" i="108"/>
  <c r="D57" i="108"/>
  <c r="D55" i="108"/>
  <c r="D51" i="108"/>
  <c r="D50" i="108"/>
  <c r="D49" i="108"/>
  <c r="D48" i="108"/>
  <c r="D46" i="108"/>
  <c r="D42" i="108"/>
  <c r="D39" i="108"/>
  <c r="D34" i="108"/>
  <c r="D31" i="108"/>
  <c r="D29" i="108"/>
  <c r="D28" i="108"/>
  <c r="D64" i="109"/>
  <c r="D63" i="109"/>
  <c r="D62" i="109"/>
  <c r="D61" i="109"/>
  <c r="D60" i="109"/>
  <c r="D59" i="109"/>
  <c r="D58" i="109"/>
  <c r="D57" i="109"/>
  <c r="D55" i="109"/>
  <c r="D54" i="109"/>
  <c r="D51" i="109"/>
  <c r="D50" i="109"/>
  <c r="D48" i="109"/>
  <c r="D47" i="109"/>
  <c r="D46" i="109"/>
  <c r="D44" i="109"/>
  <c r="D42" i="109"/>
  <c r="D41" i="109"/>
  <c r="D40" i="109"/>
  <c r="D37" i="109"/>
  <c r="D31" i="109"/>
  <c r="D29" i="109"/>
  <c r="D28" i="109"/>
  <c r="D26" i="109"/>
  <c r="D63" i="110"/>
  <c r="D62" i="110"/>
  <c r="D61" i="110"/>
  <c r="D59" i="110"/>
  <c r="D58" i="110"/>
  <c r="D57" i="110"/>
  <c r="D55" i="110"/>
  <c r="D54" i="110"/>
  <c r="D51" i="110"/>
  <c r="D50" i="110"/>
  <c r="D49" i="110"/>
  <c r="D48" i="110"/>
  <c r="D46" i="110"/>
  <c r="D44" i="110"/>
  <c r="D42" i="110"/>
  <c r="D40" i="110"/>
  <c r="D38" i="110"/>
  <c r="D37" i="110"/>
  <c r="D34" i="110"/>
  <c r="D31" i="110"/>
  <c r="D30" i="110"/>
  <c r="D29" i="110"/>
  <c r="D28" i="110"/>
  <c r="D26" i="110"/>
  <c r="D63" i="111"/>
  <c r="D62" i="111"/>
  <c r="D61" i="111"/>
  <c r="D60" i="111"/>
  <c r="D59" i="111"/>
  <c r="D58" i="111"/>
  <c r="D57" i="111"/>
  <c r="D55" i="111"/>
  <c r="D51" i="111"/>
  <c r="D49" i="111"/>
  <c r="D48" i="111"/>
  <c r="D47" i="111"/>
  <c r="D46" i="111"/>
  <c r="D44" i="111"/>
  <c r="D43" i="111"/>
  <c r="D42" i="111"/>
  <c r="D40" i="111"/>
  <c r="D35" i="111"/>
  <c r="D34" i="111"/>
  <c r="D31" i="111"/>
  <c r="D30" i="111"/>
  <c r="D29" i="111"/>
  <c r="D28" i="111"/>
  <c r="D26" i="111"/>
  <c r="D63" i="91"/>
  <c r="D62" i="91"/>
  <c r="D61" i="91"/>
  <c r="D59" i="91"/>
  <c r="D58" i="91"/>
  <c r="D57" i="91"/>
  <c r="D55" i="91"/>
  <c r="D51" i="91"/>
  <c r="D50" i="91"/>
  <c r="D48" i="91"/>
  <c r="D47" i="91"/>
  <c r="D46" i="91"/>
  <c r="D44" i="91"/>
  <c r="D42" i="91"/>
  <c r="D40" i="91"/>
  <c r="D38" i="91"/>
  <c r="D37" i="91"/>
  <c r="D35" i="91"/>
  <c r="D34" i="91"/>
  <c r="D31" i="91"/>
  <c r="D30" i="91"/>
  <c r="D29" i="91"/>
  <c r="D28" i="91"/>
  <c r="D26" i="91"/>
  <c r="D63" i="93"/>
  <c r="D62" i="93"/>
  <c r="D61" i="93"/>
  <c r="D60" i="93"/>
  <c r="D59" i="93"/>
  <c r="D57" i="93"/>
  <c r="D55" i="93"/>
  <c r="D51" i="93"/>
  <c r="D50" i="93"/>
  <c r="D49" i="93"/>
  <c r="D48" i="93"/>
  <c r="D47" i="93"/>
  <c r="D46" i="93"/>
  <c r="D44" i="93"/>
  <c r="D42" i="93"/>
  <c r="D40" i="93"/>
  <c r="D37" i="93"/>
  <c r="D35" i="93"/>
  <c r="D34" i="93"/>
  <c r="D31" i="93"/>
  <c r="D30" i="93"/>
  <c r="D29" i="93"/>
  <c r="D28" i="93"/>
  <c r="D63" i="94"/>
  <c r="D62" i="94"/>
  <c r="D61" i="94"/>
  <c r="D60" i="94"/>
  <c r="D59" i="94"/>
  <c r="D58" i="94"/>
  <c r="D57" i="94"/>
  <c r="D55" i="94"/>
  <c r="D54" i="94"/>
  <c r="D51" i="94"/>
  <c r="D50" i="94"/>
  <c r="D48" i="94"/>
  <c r="D46" i="94"/>
  <c r="D44" i="94"/>
  <c r="D37" i="94"/>
  <c r="D35" i="94"/>
  <c r="D34" i="94"/>
  <c r="D31" i="94"/>
  <c r="D30" i="94"/>
  <c r="D29" i="94"/>
  <c r="D28" i="94"/>
  <c r="D63" i="97"/>
  <c r="D62" i="97"/>
  <c r="D61" i="97"/>
  <c r="D60" i="97"/>
  <c r="D59" i="97"/>
  <c r="D58" i="97"/>
  <c r="D57" i="97"/>
  <c r="D55" i="97"/>
  <c r="D51" i="97"/>
  <c r="D46" i="97"/>
  <c r="D44" i="97"/>
  <c r="D42" i="97"/>
  <c r="D40" i="97"/>
  <c r="D34" i="97"/>
  <c r="D31" i="97"/>
  <c r="D29" i="97"/>
  <c r="D28" i="97"/>
  <c r="D26" i="97"/>
  <c r="D63" i="131"/>
  <c r="D62" i="131"/>
  <c r="D61" i="131"/>
  <c r="D60" i="131"/>
  <c r="D59" i="131"/>
  <c r="D58" i="131"/>
  <c r="D57" i="131"/>
  <c r="D55" i="131"/>
  <c r="D51" i="131"/>
  <c r="D42" i="131"/>
  <c r="D40" i="131"/>
  <c r="D31" i="131"/>
  <c r="D29" i="131"/>
  <c r="D28" i="131"/>
  <c r="D63" i="132"/>
  <c r="D62" i="132"/>
  <c r="D61" i="132"/>
  <c r="D59" i="132"/>
  <c r="D58" i="132"/>
  <c r="D57" i="132"/>
  <c r="D55" i="132"/>
  <c r="D48" i="132"/>
  <c r="D46" i="132"/>
  <c r="D44" i="132"/>
  <c r="D43" i="132"/>
  <c r="D42" i="132"/>
  <c r="D40" i="132"/>
  <c r="D37" i="132"/>
  <c r="D35" i="132"/>
  <c r="D34" i="132"/>
  <c r="D31" i="132"/>
  <c r="D29" i="132"/>
  <c r="D28" i="132"/>
  <c r="D63" i="81"/>
  <c r="D62" i="81"/>
  <c r="D61" i="81"/>
  <c r="D60" i="81"/>
  <c r="D59" i="81"/>
  <c r="D58" i="81"/>
  <c r="D57" i="81"/>
  <c r="D55" i="81"/>
  <c r="D51" i="81"/>
  <c r="D48" i="81"/>
  <c r="D46" i="81"/>
  <c r="D44" i="81"/>
  <c r="D42" i="81"/>
  <c r="D40" i="81"/>
  <c r="D34" i="81"/>
  <c r="D31" i="81"/>
  <c r="D29" i="81"/>
  <c r="D26" i="81"/>
  <c r="D63" i="82"/>
  <c r="D62" i="82"/>
  <c r="D61" i="82"/>
  <c r="D59" i="82"/>
  <c r="D58" i="82"/>
  <c r="D57" i="82"/>
  <c r="D56" i="82"/>
  <c r="D55" i="82"/>
  <c r="D51" i="82"/>
  <c r="D50" i="82"/>
  <c r="D48" i="82"/>
  <c r="D46" i="82"/>
  <c r="D44" i="82"/>
  <c r="D42" i="82"/>
  <c r="D40" i="82"/>
  <c r="D35" i="82"/>
  <c r="D34" i="82"/>
  <c r="D31" i="82"/>
  <c r="D30" i="82"/>
  <c r="D29" i="82"/>
  <c r="D28" i="82"/>
  <c r="D26" i="82"/>
  <c r="D64" i="83"/>
  <c r="D63" i="83"/>
  <c r="D62" i="83"/>
  <c r="D60" i="83"/>
  <c r="D59" i="83"/>
  <c r="D58" i="83"/>
  <c r="D57" i="83"/>
  <c r="D56" i="83"/>
  <c r="D55" i="83"/>
  <c r="D51" i="83"/>
  <c r="D49" i="83"/>
  <c r="D48" i="83"/>
  <c r="D47" i="83"/>
  <c r="D46" i="83"/>
  <c r="D44" i="83"/>
  <c r="D42" i="83"/>
  <c r="D41" i="83"/>
  <c r="D40" i="83"/>
  <c r="D37" i="83"/>
  <c r="D35" i="83"/>
  <c r="D34" i="83"/>
  <c r="D31" i="83"/>
  <c r="D30" i="83"/>
  <c r="D29" i="83"/>
  <c r="D28" i="83"/>
  <c r="D26" i="83"/>
  <c r="D63" i="84"/>
  <c r="D62" i="84"/>
  <c r="D61" i="84"/>
  <c r="D60" i="84"/>
  <c r="D59" i="84"/>
  <c r="D58" i="84"/>
  <c r="D57" i="84"/>
  <c r="D51" i="84"/>
  <c r="D50" i="84"/>
  <c r="D48" i="84"/>
  <c r="D46" i="84"/>
  <c r="D44" i="84"/>
  <c r="D42" i="84"/>
  <c r="D40" i="84"/>
  <c r="D34" i="84"/>
  <c r="D31" i="84"/>
  <c r="D29" i="84"/>
  <c r="D28" i="84"/>
  <c r="D26" i="84"/>
  <c r="D64" i="85"/>
  <c r="D63" i="85"/>
  <c r="D62" i="85"/>
  <c r="D61" i="85"/>
  <c r="D60" i="85"/>
  <c r="D59" i="85"/>
  <c r="D58" i="85"/>
  <c r="D57" i="85"/>
  <c r="D56" i="85"/>
  <c r="D55" i="85"/>
  <c r="D54" i="85"/>
  <c r="D51" i="85"/>
  <c r="D50" i="85"/>
  <c r="D49" i="85"/>
  <c r="D48" i="85"/>
  <c r="D47" i="85"/>
  <c r="D46" i="85"/>
  <c r="D45" i="85"/>
  <c r="D44" i="85"/>
  <c r="D43" i="85"/>
  <c r="D42" i="85"/>
  <c r="D41" i="85"/>
  <c r="D40" i="85"/>
  <c r="D39" i="85"/>
  <c r="D38" i="85"/>
  <c r="D37" i="85"/>
  <c r="D36" i="85"/>
  <c r="D35" i="85"/>
  <c r="D34" i="85"/>
  <c r="D31" i="85"/>
  <c r="D30" i="85"/>
  <c r="D29" i="85"/>
  <c r="D28" i="85"/>
  <c r="D27" i="85"/>
  <c r="D26" i="85"/>
  <c r="D25" i="85"/>
  <c r="D18" i="85"/>
  <c r="D17" i="85"/>
  <c r="D16" i="85"/>
  <c r="D15" i="85"/>
  <c r="D64" i="120"/>
  <c r="D63" i="120"/>
  <c r="D62" i="120"/>
  <c r="D61" i="120"/>
  <c r="D60" i="120"/>
  <c r="D59" i="120"/>
  <c r="D58" i="120"/>
  <c r="D57" i="120"/>
  <c r="D56" i="120"/>
  <c r="D55" i="120"/>
  <c r="D54" i="120"/>
  <c r="D51" i="120"/>
  <c r="D50" i="120"/>
  <c r="D49" i="120"/>
  <c r="D48" i="120"/>
  <c r="D47" i="120"/>
  <c r="D46" i="120"/>
  <c r="D45" i="120"/>
  <c r="D44" i="120"/>
  <c r="D43" i="120"/>
  <c r="D42" i="120"/>
  <c r="D41" i="120"/>
  <c r="D40" i="120"/>
  <c r="D39" i="120"/>
  <c r="D38" i="120"/>
  <c r="D37" i="120"/>
  <c r="D36" i="120"/>
  <c r="D35" i="120"/>
  <c r="D34" i="120"/>
  <c r="D31" i="120"/>
  <c r="D30" i="120"/>
  <c r="D29" i="120"/>
  <c r="D28" i="120"/>
  <c r="D27" i="120"/>
  <c r="D26" i="120"/>
  <c r="D25" i="120"/>
  <c r="D18" i="120"/>
  <c r="D17" i="120"/>
  <c r="D16" i="120"/>
  <c r="D15" i="120"/>
  <c r="D64" i="121"/>
  <c r="D63" i="121"/>
  <c r="D62" i="121"/>
  <c r="D61" i="121"/>
  <c r="D60" i="121"/>
  <c r="D59" i="121"/>
  <c r="D58" i="121"/>
  <c r="D57" i="121"/>
  <c r="D56" i="121"/>
  <c r="D51" i="121"/>
  <c r="D50" i="121"/>
  <c r="D48" i="121"/>
  <c r="D46" i="121"/>
  <c r="D44" i="121"/>
  <c r="D43" i="121"/>
  <c r="D42" i="121"/>
  <c r="D40" i="121"/>
  <c r="D38" i="121"/>
  <c r="D37" i="121"/>
  <c r="D34" i="121"/>
  <c r="D31" i="121"/>
  <c r="D29" i="121"/>
  <c r="D26" i="121"/>
  <c r="D63" i="122"/>
  <c r="D62" i="122"/>
  <c r="D61" i="122"/>
  <c r="D59" i="122"/>
  <c r="D58" i="122"/>
  <c r="D57" i="122"/>
  <c r="D55" i="122"/>
  <c r="D54" i="122"/>
  <c r="D51" i="122"/>
  <c r="D50" i="122"/>
  <c r="D49" i="122"/>
  <c r="D48" i="122"/>
  <c r="D47" i="122"/>
  <c r="D46" i="122"/>
  <c r="D44" i="122"/>
  <c r="D43" i="122"/>
  <c r="D42" i="122"/>
  <c r="D40" i="122"/>
  <c r="D37" i="122"/>
  <c r="D34" i="122"/>
  <c r="D31" i="122"/>
  <c r="D30" i="122"/>
  <c r="D29" i="122"/>
  <c r="D28" i="122"/>
  <c r="D26" i="122"/>
  <c r="D63" i="133"/>
  <c r="D62" i="133"/>
  <c r="D61" i="133"/>
  <c r="D60" i="133"/>
  <c r="D59" i="133"/>
  <c r="D58" i="133"/>
  <c r="D57" i="133"/>
  <c r="D56" i="133"/>
  <c r="D55" i="133"/>
  <c r="D54" i="133"/>
  <c r="D51" i="133"/>
  <c r="D50" i="133"/>
  <c r="D49" i="133"/>
  <c r="D48" i="133"/>
  <c r="D46" i="133"/>
  <c r="D44" i="133"/>
  <c r="D42" i="133"/>
  <c r="D40" i="133"/>
  <c r="D38" i="133"/>
  <c r="D31" i="133"/>
  <c r="D29" i="133"/>
  <c r="D28" i="133"/>
  <c r="D63" i="86"/>
  <c r="D61" i="86"/>
  <c r="D60" i="86"/>
  <c r="D59" i="86"/>
  <c r="D58" i="86"/>
  <c r="D57" i="86"/>
  <c r="D56" i="86"/>
  <c r="D55" i="86"/>
  <c r="D54" i="86"/>
  <c r="D51" i="86"/>
  <c r="D48" i="86"/>
  <c r="D46" i="86"/>
  <c r="D44" i="86"/>
  <c r="D43" i="86"/>
  <c r="D42" i="86"/>
  <c r="D41" i="86"/>
  <c r="D40" i="86"/>
  <c r="D31" i="86"/>
  <c r="D29" i="86"/>
  <c r="D28" i="86"/>
  <c r="D26" i="86"/>
  <c r="D63" i="123"/>
  <c r="D62" i="123"/>
  <c r="D61" i="123"/>
  <c r="D60" i="123"/>
  <c r="D59" i="123"/>
  <c r="D58" i="123"/>
  <c r="D57" i="123"/>
  <c r="D55" i="123"/>
  <c r="D51" i="123"/>
  <c r="D50" i="123"/>
  <c r="D49" i="123"/>
  <c r="D48" i="123"/>
  <c r="D46" i="123"/>
  <c r="D44" i="123"/>
  <c r="D42" i="123"/>
  <c r="D40" i="123"/>
  <c r="D37" i="123"/>
  <c r="D34" i="123"/>
  <c r="D31" i="123"/>
  <c r="D30" i="123"/>
  <c r="D29" i="123"/>
  <c r="D28" i="123"/>
  <c r="D26" i="123"/>
  <c r="D63" i="141"/>
  <c r="D62" i="141"/>
  <c r="D61" i="141"/>
  <c r="D60" i="141"/>
  <c r="D59" i="141"/>
  <c r="D58" i="141"/>
  <c r="D57" i="141"/>
  <c r="D55" i="141"/>
  <c r="D51" i="141"/>
  <c r="D50" i="141"/>
  <c r="D49" i="141"/>
  <c r="D48" i="141"/>
  <c r="D47" i="141"/>
  <c r="D46" i="141"/>
  <c r="D44" i="141"/>
  <c r="D43" i="141"/>
  <c r="D42" i="141"/>
  <c r="D40" i="141"/>
  <c r="D31" i="141"/>
  <c r="D30" i="141"/>
  <c r="D29" i="141"/>
  <c r="D28" i="141"/>
  <c r="D26" i="141"/>
  <c r="D63" i="178"/>
  <c r="D62" i="178"/>
  <c r="D61" i="178"/>
  <c r="D60" i="178"/>
  <c r="D59" i="178"/>
  <c r="D58" i="178"/>
  <c r="D57" i="178"/>
  <c r="D56" i="178"/>
  <c r="D55" i="178"/>
  <c r="D51" i="178"/>
  <c r="D50" i="178"/>
  <c r="D48" i="178"/>
  <c r="D46" i="178"/>
  <c r="D44" i="178"/>
  <c r="D42" i="178"/>
  <c r="D40" i="178"/>
  <c r="D37" i="178"/>
  <c r="D31" i="178"/>
  <c r="D29" i="178"/>
  <c r="D28" i="178"/>
  <c r="D26" i="178"/>
  <c r="D63" i="179"/>
  <c r="D62" i="179"/>
  <c r="D61" i="179"/>
  <c r="D59" i="179"/>
  <c r="D58" i="179"/>
  <c r="D57" i="179"/>
  <c r="D56" i="179"/>
  <c r="D55" i="179"/>
  <c r="D54" i="179"/>
  <c r="D51" i="179"/>
  <c r="D50" i="179"/>
  <c r="D48" i="179"/>
  <c r="D47" i="179"/>
  <c r="D46" i="179"/>
  <c r="D44" i="179"/>
  <c r="D42" i="179"/>
  <c r="D40" i="179"/>
  <c r="D38" i="179"/>
  <c r="D37" i="179"/>
  <c r="D34" i="179"/>
  <c r="D31" i="179"/>
  <c r="D30" i="179"/>
  <c r="D29" i="179"/>
  <c r="D28" i="179"/>
  <c r="D26" i="179"/>
  <c r="D63" i="180"/>
  <c r="D62" i="180"/>
  <c r="D61" i="180"/>
  <c r="D60" i="180"/>
  <c r="D59" i="180"/>
  <c r="D58" i="180"/>
  <c r="D57" i="180"/>
  <c r="D55" i="180"/>
  <c r="D51" i="180"/>
  <c r="D48" i="180"/>
  <c r="D46" i="180"/>
  <c r="D44" i="180"/>
  <c r="D42" i="180"/>
  <c r="D40" i="180"/>
  <c r="D34" i="180"/>
  <c r="D31" i="180"/>
  <c r="D30" i="180"/>
  <c r="D29" i="180"/>
  <c r="D28" i="180"/>
  <c r="D26" i="180"/>
  <c r="D64" i="181"/>
  <c r="D63" i="181"/>
  <c r="D62" i="181"/>
  <c r="D61" i="181"/>
  <c r="D60" i="181"/>
  <c r="D59" i="181"/>
  <c r="D58" i="181"/>
  <c r="D57" i="181"/>
  <c r="D56" i="181"/>
  <c r="D55" i="181"/>
  <c r="D54" i="181"/>
  <c r="D51" i="181"/>
  <c r="D50" i="181"/>
  <c r="D49" i="181"/>
  <c r="D48" i="181"/>
  <c r="D47" i="181"/>
  <c r="D46" i="181"/>
  <c r="D45" i="181"/>
  <c r="D44" i="181"/>
  <c r="D43" i="181"/>
  <c r="D42" i="181"/>
  <c r="D41" i="181"/>
  <c r="D40" i="181"/>
  <c r="D39" i="181"/>
  <c r="D38" i="181"/>
  <c r="D37" i="181"/>
  <c r="D36" i="181"/>
  <c r="D35" i="181"/>
  <c r="D34" i="181"/>
  <c r="D31" i="181"/>
  <c r="D30" i="181"/>
  <c r="D29" i="181"/>
  <c r="D28" i="181"/>
  <c r="D27" i="181"/>
  <c r="D26" i="181"/>
  <c r="D25" i="181"/>
  <c r="D18" i="181"/>
  <c r="D17" i="181"/>
  <c r="D16" i="181"/>
  <c r="D15" i="181"/>
  <c r="D64" i="182"/>
  <c r="D63" i="182"/>
  <c r="D62" i="182"/>
  <c r="D61" i="182"/>
  <c r="D60" i="182"/>
  <c r="D59" i="182"/>
  <c r="D58" i="182"/>
  <c r="D57" i="182"/>
  <c r="D56" i="182"/>
  <c r="D55" i="182"/>
  <c r="D54" i="182"/>
  <c r="D51" i="182"/>
  <c r="D50" i="182"/>
  <c r="D49" i="182"/>
  <c r="D48" i="182"/>
  <c r="D47" i="182"/>
  <c r="D46" i="182"/>
  <c r="D45" i="182"/>
  <c r="D44" i="182"/>
  <c r="D43" i="182"/>
  <c r="D42" i="182"/>
  <c r="D41" i="182"/>
  <c r="D40" i="182"/>
  <c r="D39" i="182"/>
  <c r="D38" i="182"/>
  <c r="D37" i="182"/>
  <c r="D36" i="182"/>
  <c r="D35" i="182"/>
  <c r="D34" i="182"/>
  <c r="D31" i="182"/>
  <c r="D30" i="182"/>
  <c r="D29" i="182"/>
  <c r="D28" i="182"/>
  <c r="D27" i="182"/>
  <c r="D26" i="182"/>
  <c r="D25" i="182"/>
  <c r="D18" i="182"/>
  <c r="D17" i="182"/>
  <c r="D16" i="182"/>
  <c r="D15" i="182"/>
  <c r="D63" i="183"/>
  <c r="D62" i="183"/>
  <c r="D61" i="183"/>
  <c r="D60" i="183"/>
  <c r="D59" i="183"/>
  <c r="D58" i="183"/>
  <c r="D57" i="183"/>
  <c r="D55" i="183"/>
  <c r="D51" i="183"/>
  <c r="D48" i="183"/>
  <c r="D46" i="183"/>
  <c r="D44" i="183"/>
  <c r="D42" i="183"/>
  <c r="D40" i="183"/>
  <c r="D38" i="183"/>
  <c r="D31" i="183"/>
  <c r="D29" i="183"/>
  <c r="D28" i="183"/>
  <c r="D26" i="183"/>
  <c r="D64" i="184"/>
  <c r="D63" i="184"/>
  <c r="D62" i="184"/>
  <c r="D61" i="184"/>
  <c r="D60" i="184"/>
  <c r="D59" i="184"/>
  <c r="D58" i="184"/>
  <c r="D57" i="184"/>
  <c r="D56" i="184"/>
  <c r="D55" i="184"/>
  <c r="D54" i="184"/>
  <c r="D51" i="184"/>
  <c r="D50" i="184"/>
  <c r="D49" i="184"/>
  <c r="D48" i="184"/>
  <c r="D47" i="184"/>
  <c r="D46" i="184"/>
  <c r="D45" i="184"/>
  <c r="D44" i="184"/>
  <c r="D43" i="184"/>
  <c r="D42" i="184"/>
  <c r="D41" i="184"/>
  <c r="D40" i="184"/>
  <c r="D39" i="184"/>
  <c r="D38" i="184"/>
  <c r="D37" i="184"/>
  <c r="D36" i="184"/>
  <c r="D35" i="184"/>
  <c r="D34" i="184"/>
  <c r="D31" i="184"/>
  <c r="D30" i="184"/>
  <c r="D29" i="184"/>
  <c r="D28" i="184"/>
  <c r="D27" i="184"/>
  <c r="D26" i="184"/>
  <c r="D25" i="184"/>
  <c r="D18" i="184"/>
  <c r="D17" i="184"/>
  <c r="D16" i="184"/>
  <c r="D15" i="184"/>
  <c r="D63" i="185"/>
  <c r="D62" i="185"/>
  <c r="D60" i="185"/>
  <c r="D59" i="185"/>
  <c r="D58" i="185"/>
  <c r="D57" i="185"/>
  <c r="D56" i="185"/>
  <c r="D55" i="185"/>
  <c r="D54" i="185"/>
  <c r="D51" i="185"/>
  <c r="D50" i="185"/>
  <c r="D48" i="185"/>
  <c r="D47" i="185"/>
  <c r="D46" i="185"/>
  <c r="D44" i="185"/>
  <c r="D42" i="185"/>
  <c r="D40" i="185"/>
  <c r="D37" i="185"/>
  <c r="D34" i="185"/>
  <c r="D31" i="185"/>
  <c r="D30" i="185"/>
  <c r="D29" i="185"/>
  <c r="D28" i="185"/>
  <c r="D63" i="186"/>
  <c r="D62" i="186"/>
  <c r="D59" i="186"/>
  <c r="D58" i="186"/>
  <c r="D57" i="186"/>
  <c r="D56" i="186"/>
  <c r="D55" i="186"/>
  <c r="D48" i="186"/>
  <c r="D46" i="186"/>
  <c r="D44" i="186"/>
  <c r="D42" i="186"/>
  <c r="D41" i="186"/>
  <c r="D40" i="186"/>
  <c r="D38" i="186"/>
  <c r="D37" i="186"/>
  <c r="D34" i="186"/>
  <c r="D31" i="186"/>
  <c r="D29" i="186"/>
  <c r="D28" i="186"/>
  <c r="D64" i="187"/>
  <c r="D63" i="187"/>
  <c r="D62" i="187"/>
  <c r="D61" i="187"/>
  <c r="D60" i="187"/>
  <c r="D59" i="187"/>
  <c r="D58" i="187"/>
  <c r="D57" i="187"/>
  <c r="D56" i="187"/>
  <c r="D55" i="187"/>
  <c r="D54" i="187"/>
  <c r="D51" i="187"/>
  <c r="D50" i="187"/>
  <c r="D49" i="187"/>
  <c r="D48" i="187"/>
  <c r="D47" i="187"/>
  <c r="D46" i="187"/>
  <c r="D45" i="187"/>
  <c r="D44" i="187"/>
  <c r="D43" i="187"/>
  <c r="D42" i="187"/>
  <c r="D41" i="187"/>
  <c r="D40" i="187"/>
  <c r="D39" i="187"/>
  <c r="D38" i="187"/>
  <c r="D37" i="187"/>
  <c r="D36" i="187"/>
  <c r="D35" i="187"/>
  <c r="D34" i="187"/>
  <c r="D31" i="187"/>
  <c r="D30" i="187"/>
  <c r="D29" i="187"/>
  <c r="D28" i="187"/>
  <c r="D27" i="187"/>
  <c r="D26" i="187"/>
  <c r="D25" i="187"/>
  <c r="D18" i="187"/>
  <c r="D17" i="187"/>
  <c r="D16" i="187"/>
  <c r="D15" i="187"/>
  <c r="D64" i="188"/>
  <c r="D63" i="188"/>
  <c r="D62" i="188"/>
  <c r="D61" i="188"/>
  <c r="D60" i="188"/>
  <c r="D59" i="188"/>
  <c r="D58" i="188"/>
  <c r="D57" i="188"/>
  <c r="D56" i="188"/>
  <c r="D55" i="188"/>
  <c r="D54" i="188"/>
  <c r="D51" i="188"/>
  <c r="D50" i="188"/>
  <c r="D49" i="188"/>
  <c r="D48" i="188"/>
  <c r="D47" i="188"/>
  <c r="D46" i="188"/>
  <c r="D45" i="188"/>
  <c r="D44" i="188"/>
  <c r="D43" i="188"/>
  <c r="D42" i="188"/>
  <c r="D41" i="188"/>
  <c r="D40" i="188"/>
  <c r="D39" i="188"/>
  <c r="D38" i="188"/>
  <c r="D37" i="188"/>
  <c r="D36" i="188"/>
  <c r="D35" i="188"/>
  <c r="D34" i="188"/>
  <c r="D31" i="188"/>
  <c r="D30" i="188"/>
  <c r="D29" i="188"/>
  <c r="D28" i="188"/>
  <c r="D27" i="188"/>
  <c r="D26" i="188"/>
  <c r="D25" i="188"/>
  <c r="D18" i="188"/>
  <c r="D17" i="188"/>
  <c r="D16" i="188"/>
  <c r="D15" i="188"/>
  <c r="D64" i="189"/>
  <c r="D63" i="189"/>
  <c r="D62" i="189"/>
  <c r="D61" i="189"/>
  <c r="D60" i="189"/>
  <c r="D59" i="189"/>
  <c r="D58" i="189"/>
  <c r="D57" i="189"/>
  <c r="D56" i="189"/>
  <c r="D55" i="189"/>
  <c r="D54" i="189"/>
  <c r="D51" i="189"/>
  <c r="D50" i="189"/>
  <c r="D49" i="189"/>
  <c r="D48" i="189"/>
  <c r="D47" i="189"/>
  <c r="D46" i="189"/>
  <c r="D45" i="189"/>
  <c r="D44" i="189"/>
  <c r="D43" i="189"/>
  <c r="D42" i="189"/>
  <c r="D41" i="189"/>
  <c r="D40" i="189"/>
  <c r="D39" i="189"/>
  <c r="D38" i="189"/>
  <c r="D37" i="189"/>
  <c r="D36" i="189"/>
  <c r="D35" i="189"/>
  <c r="D34" i="189"/>
  <c r="D31" i="189"/>
  <c r="D30" i="189"/>
  <c r="D29" i="189"/>
  <c r="D28" i="189"/>
  <c r="D27" i="189"/>
  <c r="D26" i="189"/>
  <c r="D25" i="189"/>
  <c r="D18" i="189"/>
  <c r="D17" i="189"/>
  <c r="D16" i="189"/>
  <c r="D15" i="189"/>
  <c r="D63" i="190"/>
  <c r="D62" i="190"/>
  <c r="D61" i="190"/>
  <c r="D60" i="190"/>
  <c r="D59" i="190"/>
  <c r="D58" i="190"/>
  <c r="D57" i="190"/>
  <c r="D56" i="190"/>
  <c r="D55" i="190"/>
  <c r="D51" i="190"/>
  <c r="D50" i="190"/>
  <c r="D49" i="190"/>
  <c r="D48" i="190"/>
  <c r="D46" i="190"/>
  <c r="D44" i="190"/>
  <c r="D42" i="190"/>
  <c r="D41" i="190"/>
  <c r="D40" i="190"/>
  <c r="D39" i="190"/>
  <c r="D36" i="190"/>
  <c r="D34" i="190"/>
  <c r="D31" i="190"/>
  <c r="D30" i="190"/>
  <c r="D29" i="190"/>
  <c r="D28" i="190"/>
  <c r="D26" i="190"/>
  <c r="D63" i="191"/>
  <c r="D62" i="191"/>
  <c r="D61" i="191"/>
  <c r="D60" i="191"/>
  <c r="D59" i="191"/>
  <c r="D58" i="191"/>
  <c r="D57" i="191"/>
  <c r="D55" i="191"/>
  <c r="D51" i="191"/>
  <c r="D49" i="191"/>
  <c r="D48" i="191"/>
  <c r="D46" i="191"/>
  <c r="D44" i="191"/>
  <c r="D42" i="191"/>
  <c r="D40" i="191"/>
  <c r="D35" i="191"/>
  <c r="D34" i="191"/>
  <c r="D31" i="191"/>
  <c r="D30" i="191"/>
  <c r="D29" i="191"/>
  <c r="D28" i="191"/>
  <c r="D26" i="191"/>
  <c r="D63" i="192"/>
  <c r="D62" i="192"/>
  <c r="D61" i="192"/>
  <c r="D60" i="192"/>
  <c r="D59" i="192"/>
  <c r="D58" i="192"/>
  <c r="D57" i="192"/>
  <c r="D55" i="192"/>
  <c r="D51" i="192"/>
  <c r="D50" i="192"/>
  <c r="D49" i="192"/>
  <c r="D48" i="192"/>
  <c r="D46" i="192"/>
  <c r="D44" i="192"/>
  <c r="D42" i="192"/>
  <c r="D40" i="192"/>
  <c r="D35" i="192"/>
  <c r="D34" i="192"/>
  <c r="D31" i="192"/>
  <c r="D30" i="192"/>
  <c r="D29" i="192"/>
  <c r="D28" i="192"/>
  <c r="D26" i="192"/>
  <c r="D64" i="193"/>
  <c r="D63" i="193"/>
  <c r="D62" i="193"/>
  <c r="D61" i="193"/>
  <c r="D60" i="193"/>
  <c r="D59" i="193"/>
  <c r="D58" i="193"/>
  <c r="D57" i="193"/>
  <c r="D55" i="193"/>
  <c r="D54" i="193"/>
  <c r="D51" i="193"/>
  <c r="D50" i="193"/>
  <c r="D49" i="193"/>
  <c r="D48" i="193"/>
  <c r="D47" i="193"/>
  <c r="D46" i="193"/>
  <c r="D44" i="193"/>
  <c r="D43" i="193"/>
  <c r="D42" i="193"/>
  <c r="D40" i="193"/>
  <c r="D37" i="193"/>
  <c r="D35" i="193"/>
  <c r="D34" i="193"/>
  <c r="D31" i="193"/>
  <c r="D30" i="193"/>
  <c r="D29" i="193"/>
  <c r="D28" i="193"/>
  <c r="D26" i="193"/>
  <c r="D25" i="193"/>
  <c r="D63" i="194"/>
  <c r="D62" i="194"/>
  <c r="D61" i="194"/>
  <c r="D60" i="194"/>
  <c r="D59" i="194"/>
  <c r="D58" i="194"/>
  <c r="D57" i="194"/>
  <c r="D56" i="194"/>
  <c r="D55" i="194"/>
  <c r="D54" i="194"/>
  <c r="D51" i="194"/>
  <c r="D50" i="194"/>
  <c r="D49" i="194"/>
  <c r="D48" i="194"/>
  <c r="D46" i="194"/>
  <c r="D44" i="194"/>
  <c r="D42" i="194"/>
  <c r="D40" i="194"/>
  <c r="D38" i="194"/>
  <c r="D34" i="194"/>
  <c r="D31" i="194"/>
  <c r="D30" i="194"/>
  <c r="D29" i="194"/>
  <c r="D28" i="194"/>
  <c r="D26" i="194"/>
  <c r="D64" i="195"/>
  <c r="D63" i="195"/>
  <c r="D62" i="195"/>
  <c r="D61" i="195"/>
  <c r="D60" i="195"/>
  <c r="D59" i="195"/>
  <c r="D58" i="195"/>
  <c r="D57" i="195"/>
  <c r="D56" i="195"/>
  <c r="D55" i="195"/>
  <c r="D54" i="195"/>
  <c r="D51" i="195"/>
  <c r="D50" i="195"/>
  <c r="D49" i="195"/>
  <c r="D48" i="195"/>
  <c r="D46" i="195"/>
  <c r="D44" i="195"/>
  <c r="D42" i="195"/>
  <c r="D40" i="195"/>
  <c r="D38" i="195"/>
  <c r="D37" i="195"/>
  <c r="D35" i="195"/>
  <c r="D34" i="195"/>
  <c r="D31" i="195"/>
  <c r="D29" i="195"/>
  <c r="D28" i="195"/>
  <c r="D26" i="195"/>
  <c r="D25" i="195"/>
  <c r="D64" i="196"/>
  <c r="D63" i="196"/>
  <c r="D62" i="196"/>
  <c r="D61" i="196"/>
  <c r="D60" i="196"/>
  <c r="D59" i="196"/>
  <c r="D57" i="196"/>
  <c r="D56" i="196"/>
  <c r="D55" i="196"/>
  <c r="D54" i="196"/>
  <c r="D51" i="196"/>
  <c r="D50" i="196"/>
  <c r="D49" i="196"/>
  <c r="D48" i="196"/>
  <c r="D46" i="196"/>
  <c r="D44" i="196"/>
  <c r="D43" i="196"/>
  <c r="D42" i="196"/>
  <c r="D41" i="196"/>
  <c r="D40" i="196"/>
  <c r="D38" i="196"/>
  <c r="D37" i="196"/>
  <c r="D35" i="196"/>
  <c r="D31" i="196"/>
  <c r="D30" i="196"/>
  <c r="D29" i="196"/>
  <c r="D28" i="196"/>
  <c r="D26" i="196"/>
  <c r="D64" i="197"/>
  <c r="D63" i="197"/>
  <c r="D62" i="197"/>
  <c r="D61" i="197"/>
  <c r="D60" i="197"/>
  <c r="D59" i="197"/>
  <c r="D57" i="197"/>
  <c r="D55" i="197"/>
  <c r="D54" i="197"/>
  <c r="D51" i="197"/>
  <c r="D49" i="197"/>
  <c r="D48" i="197"/>
  <c r="D46" i="197"/>
  <c r="D45" i="197"/>
  <c r="D45" i="233" s="1"/>
  <c r="D44" i="197"/>
  <c r="D43" i="197"/>
  <c r="D42" i="197"/>
  <c r="D41" i="197"/>
  <c r="D40" i="197"/>
  <c r="D38" i="197"/>
  <c r="D37" i="197"/>
  <c r="D35" i="197"/>
  <c r="D34" i="197"/>
  <c r="D31" i="197"/>
  <c r="D30" i="197"/>
  <c r="D29" i="197"/>
  <c r="D28" i="197"/>
  <c r="D26" i="197"/>
  <c r="D64" i="198"/>
  <c r="D63" i="198"/>
  <c r="D62" i="198"/>
  <c r="D61" i="198"/>
  <c r="D60" i="198"/>
  <c r="D59" i="198"/>
  <c r="D57" i="198"/>
  <c r="D55" i="198"/>
  <c r="D54" i="198"/>
  <c r="D51" i="198"/>
  <c r="D50" i="198"/>
  <c r="D49" i="198"/>
  <c r="D48" i="198"/>
  <c r="D46" i="198"/>
  <c r="D44" i="198"/>
  <c r="D42" i="198"/>
  <c r="D41" i="198"/>
  <c r="D38" i="198"/>
  <c r="D35" i="198"/>
  <c r="D31" i="198"/>
  <c r="D30" i="198"/>
  <c r="D29" i="198"/>
  <c r="D28" i="198"/>
  <c r="D26" i="198"/>
  <c r="D64" i="200"/>
  <c r="D63" i="200"/>
  <c r="D62" i="200"/>
  <c r="D61" i="200"/>
  <c r="D59" i="200"/>
  <c r="D57" i="200"/>
  <c r="D56" i="200"/>
  <c r="D55" i="200"/>
  <c r="D54" i="200"/>
  <c r="D51" i="200"/>
  <c r="D49" i="200"/>
  <c r="D48" i="200"/>
  <c r="D46" i="200"/>
  <c r="D41" i="200"/>
  <c r="D40" i="200"/>
  <c r="D38" i="200"/>
  <c r="D37" i="200"/>
  <c r="D35" i="200"/>
  <c r="D34" i="200"/>
  <c r="D31" i="200"/>
  <c r="D30" i="200"/>
  <c r="D29" i="200"/>
  <c r="D28" i="200"/>
  <c r="D26" i="200"/>
  <c r="D64" i="65"/>
  <c r="D63" i="65"/>
  <c r="D62" i="65"/>
  <c r="D61" i="65"/>
  <c r="D60" i="65"/>
  <c r="D59" i="65"/>
  <c r="D58" i="65"/>
  <c r="D57" i="65"/>
  <c r="D56" i="65"/>
  <c r="D55" i="65"/>
  <c r="D54" i="65"/>
  <c r="D51" i="65"/>
  <c r="D50" i="65"/>
  <c r="D49" i="65"/>
  <c r="D48" i="65"/>
  <c r="D47" i="65"/>
  <c r="D46" i="65"/>
  <c r="D45" i="65"/>
  <c r="D44" i="65"/>
  <c r="D43" i="65"/>
  <c r="D42" i="65"/>
  <c r="D41" i="65"/>
  <c r="D40" i="65"/>
  <c r="D39" i="65"/>
  <c r="D38" i="65"/>
  <c r="D37" i="65"/>
  <c r="D36" i="65"/>
  <c r="D35" i="65"/>
  <c r="D34" i="65"/>
  <c r="D31" i="65"/>
  <c r="D30" i="65"/>
  <c r="D29" i="65"/>
  <c r="D28" i="65"/>
  <c r="D27" i="65"/>
  <c r="D26" i="65"/>
  <c r="D25" i="65"/>
  <c r="D18" i="65"/>
  <c r="D17" i="65"/>
  <c r="D16" i="65"/>
  <c r="D15" i="65"/>
  <c r="L64" i="219"/>
  <c r="L63" i="219"/>
  <c r="L62" i="219"/>
  <c r="L61" i="219"/>
  <c r="L60" i="219"/>
  <c r="L59" i="219"/>
  <c r="L57" i="219"/>
  <c r="L56" i="219"/>
  <c r="L55" i="219"/>
  <c r="L54" i="219"/>
  <c r="L49" i="219"/>
  <c r="L48" i="219"/>
  <c r="L45" i="219"/>
  <c r="L44" i="219"/>
  <c r="L42" i="219"/>
  <c r="L41" i="219"/>
  <c r="L40" i="219"/>
  <c r="L38" i="219"/>
  <c r="L37" i="219"/>
  <c r="L35" i="219"/>
  <c r="L31" i="219"/>
  <c r="L30" i="219"/>
  <c r="L28" i="219"/>
  <c r="K64" i="219"/>
  <c r="K63" i="219"/>
  <c r="K62" i="219"/>
  <c r="K61" i="219"/>
  <c r="K60" i="219"/>
  <c r="K59" i="219"/>
  <c r="K57" i="219"/>
  <c r="K56" i="219"/>
  <c r="K55" i="219"/>
  <c r="K54" i="219"/>
  <c r="K51" i="219"/>
  <c r="K49" i="219"/>
  <c r="K48" i="219"/>
  <c r="K44" i="219"/>
  <c r="K42" i="219"/>
  <c r="K41" i="219"/>
  <c r="K40" i="219"/>
  <c r="K38" i="219"/>
  <c r="K35" i="219"/>
  <c r="K31" i="219"/>
  <c r="K30" i="219"/>
  <c r="K28" i="219"/>
  <c r="K26" i="219"/>
  <c r="J64" i="219"/>
  <c r="J63" i="219"/>
  <c r="J62" i="219"/>
  <c r="J61" i="219"/>
  <c r="J60" i="219"/>
  <c r="J59" i="219"/>
  <c r="J57" i="219"/>
  <c r="J56" i="219"/>
  <c r="J55" i="219"/>
  <c r="J54" i="219"/>
  <c r="J51" i="219"/>
  <c r="J49" i="219"/>
  <c r="J48" i="219"/>
  <c r="J46" i="219"/>
  <c r="J44" i="219"/>
  <c r="J42" i="219"/>
  <c r="J41" i="219"/>
  <c r="J40" i="219"/>
  <c r="J38" i="219"/>
  <c r="J37" i="219"/>
  <c r="J31" i="219"/>
  <c r="J30" i="219"/>
  <c r="J28" i="219"/>
  <c r="J26" i="219"/>
  <c r="I64" i="219"/>
  <c r="I63" i="219"/>
  <c r="I62" i="219"/>
  <c r="I61" i="219"/>
  <c r="I60" i="219"/>
  <c r="I59" i="219"/>
  <c r="I57" i="219"/>
  <c r="I56" i="219"/>
  <c r="I55" i="219"/>
  <c r="I54" i="219"/>
  <c r="I51" i="219"/>
  <c r="I49" i="219"/>
  <c r="I48" i="219"/>
  <c r="I44" i="219"/>
  <c r="I42" i="219"/>
  <c r="I40" i="219"/>
  <c r="I38" i="219"/>
  <c r="I37" i="219"/>
  <c r="I35" i="219"/>
  <c r="I34" i="219"/>
  <c r="I31" i="219"/>
  <c r="I30" i="219"/>
  <c r="I28" i="219"/>
  <c r="H64" i="219"/>
  <c r="H63" i="219"/>
  <c r="H62" i="219"/>
  <c r="H61" i="219"/>
  <c r="H60" i="219"/>
  <c r="H59" i="219"/>
  <c r="H57" i="219"/>
  <c r="H56" i="219"/>
  <c r="H55" i="219"/>
  <c r="H51" i="219"/>
  <c r="H49" i="219"/>
  <c r="H48" i="219"/>
  <c r="H46" i="219"/>
  <c r="H44" i="219"/>
  <c r="H42" i="219"/>
  <c r="H38" i="219"/>
  <c r="H37" i="219"/>
  <c r="H35" i="219"/>
  <c r="H34" i="219"/>
  <c r="H31" i="219"/>
  <c r="H30" i="219"/>
  <c r="H29" i="219"/>
  <c r="H28" i="219"/>
  <c r="G64" i="219"/>
  <c r="G63" i="219"/>
  <c r="G62" i="219"/>
  <c r="G61" i="219"/>
  <c r="G60" i="219"/>
  <c r="G59" i="219"/>
  <c r="G57" i="219"/>
  <c r="G55" i="219"/>
  <c r="G54" i="219"/>
  <c r="G51" i="219"/>
  <c r="G49" i="219"/>
  <c r="G48" i="219"/>
  <c r="G46" i="219"/>
  <c r="G44" i="219"/>
  <c r="G43" i="219"/>
  <c r="G42" i="219"/>
  <c r="G38" i="219"/>
  <c r="G37" i="219"/>
  <c r="G35" i="219"/>
  <c r="G31" i="219"/>
  <c r="G30" i="219"/>
  <c r="G29" i="219"/>
  <c r="G28" i="219"/>
  <c r="G26" i="219"/>
  <c r="F64" i="219"/>
  <c r="F63" i="219"/>
  <c r="F62" i="219"/>
  <c r="F61" i="219"/>
  <c r="F60" i="219"/>
  <c r="F59" i="219"/>
  <c r="F57" i="219"/>
  <c r="F56" i="219"/>
  <c r="F55" i="219"/>
  <c r="F54" i="219"/>
  <c r="F51" i="219"/>
  <c r="F49" i="219"/>
  <c r="F48" i="219"/>
  <c r="F46" i="219"/>
  <c r="F44" i="219"/>
  <c r="F42" i="219"/>
  <c r="F40" i="219"/>
  <c r="F38" i="219"/>
  <c r="F37" i="219"/>
  <c r="F35" i="219"/>
  <c r="F34" i="219"/>
  <c r="F31" i="219"/>
  <c r="F30" i="219"/>
  <c r="F29" i="219"/>
  <c r="F28" i="219"/>
  <c r="E64" i="219"/>
  <c r="E63" i="219"/>
  <c r="E62" i="219"/>
  <c r="E61" i="219"/>
  <c r="E60" i="219"/>
  <c r="E59" i="219"/>
  <c r="E57" i="219"/>
  <c r="E56" i="219"/>
  <c r="E55" i="219"/>
  <c r="E54" i="219"/>
  <c r="E51" i="219"/>
  <c r="E49" i="219"/>
  <c r="E48" i="219"/>
  <c r="E46" i="219"/>
  <c r="E44" i="219"/>
  <c r="E42" i="219"/>
  <c r="E41" i="219"/>
  <c r="E40" i="219"/>
  <c r="E38" i="219"/>
  <c r="E37" i="219"/>
  <c r="E35" i="219"/>
  <c r="E31" i="219"/>
  <c r="E30" i="219"/>
  <c r="E29" i="219"/>
  <c r="E28" i="219"/>
  <c r="E26" i="219"/>
  <c r="D64" i="219"/>
  <c r="D63" i="219"/>
  <c r="D62" i="219"/>
  <c r="D61" i="219"/>
  <c r="D60" i="219"/>
  <c r="D59" i="219"/>
  <c r="D57" i="219"/>
  <c r="D56" i="219"/>
  <c r="D55" i="219"/>
  <c r="D51" i="219"/>
  <c r="D49" i="219"/>
  <c r="D48" i="219"/>
  <c r="D46" i="219"/>
  <c r="D44" i="219"/>
  <c r="D42" i="219"/>
  <c r="D40" i="219"/>
  <c r="D38" i="219"/>
  <c r="D37" i="219"/>
  <c r="D35" i="219"/>
  <c r="D31" i="219"/>
  <c r="D30" i="219"/>
  <c r="D29" i="219"/>
  <c r="D28" i="219"/>
  <c r="D26" i="219"/>
  <c r="C64" i="219"/>
  <c r="C63" i="219"/>
  <c r="C62" i="219"/>
  <c r="C61" i="219"/>
  <c r="C60" i="219"/>
  <c r="C59" i="219"/>
  <c r="C57" i="219"/>
  <c r="C56" i="219"/>
  <c r="C55" i="219"/>
  <c r="C54" i="219"/>
  <c r="C51" i="219"/>
  <c r="C49" i="219"/>
  <c r="C48" i="219"/>
  <c r="C46" i="219"/>
  <c r="C44" i="219"/>
  <c r="C42" i="219"/>
  <c r="C41" i="219"/>
  <c r="C40" i="219"/>
  <c r="C38" i="219"/>
  <c r="C37" i="219"/>
  <c r="C35" i="219"/>
  <c r="C34" i="219"/>
  <c r="C31" i="219"/>
  <c r="C29" i="219"/>
  <c r="C28" i="219"/>
  <c r="C26" i="219"/>
  <c r="B64" i="219"/>
  <c r="B63" i="219"/>
  <c r="B62" i="219"/>
  <c r="B61" i="219"/>
  <c r="B60" i="219"/>
  <c r="B59" i="219"/>
  <c r="B58" i="219"/>
  <c r="B57" i="219"/>
  <c r="B56" i="219"/>
  <c r="B55" i="219"/>
  <c r="B54" i="219"/>
  <c r="B51" i="219"/>
  <c r="B50" i="219"/>
  <c r="B49" i="219"/>
  <c r="B48" i="219"/>
  <c r="B47" i="219"/>
  <c r="B46" i="219"/>
  <c r="B45" i="219"/>
  <c r="B44" i="219"/>
  <c r="B43" i="219"/>
  <c r="B42" i="219"/>
  <c r="B41" i="219"/>
  <c r="B40" i="219"/>
  <c r="B39" i="219"/>
  <c r="B38" i="219"/>
  <c r="B37" i="219"/>
  <c r="B36" i="219"/>
  <c r="B35" i="219"/>
  <c r="B34" i="219"/>
  <c r="B31" i="219"/>
  <c r="B30" i="219"/>
  <c r="B29" i="219"/>
  <c r="B28" i="219"/>
  <c r="B27" i="219"/>
  <c r="B26" i="219"/>
  <c r="B25" i="219"/>
  <c r="B18" i="219"/>
  <c r="B17" i="219"/>
  <c r="B16" i="219"/>
  <c r="B15" i="219"/>
  <c r="B12" i="219"/>
  <c r="E27" i="232" l="1"/>
  <c r="F60" i="232"/>
  <c r="E49" i="232"/>
  <c r="C12" i="232"/>
  <c r="E45" i="232"/>
  <c r="L18" i="68"/>
  <c r="D28" i="232"/>
  <c r="D34" i="232"/>
  <c r="D38" i="232"/>
  <c r="D50" i="232"/>
  <c r="D56" i="232"/>
  <c r="D60" i="232"/>
  <c r="D64" i="232"/>
  <c r="D43" i="233"/>
  <c r="F39" i="232"/>
  <c r="C36" i="232"/>
  <c r="C27" i="232"/>
  <c r="C45" i="232"/>
  <c r="L17" i="68"/>
  <c r="L16" i="68"/>
  <c r="L15" i="68"/>
  <c r="K15" i="68"/>
  <c r="K17" i="68"/>
  <c r="K18" i="68"/>
  <c r="K16" i="68"/>
  <c r="J16" i="68"/>
  <c r="I46" i="68"/>
  <c r="H46" i="68"/>
  <c r="J17" i="68"/>
  <c r="J18" i="68"/>
  <c r="J15" i="68"/>
  <c r="I15" i="68"/>
  <c r="I18" i="68"/>
  <c r="I17" i="68"/>
  <c r="I16" i="68"/>
  <c r="H17" i="232"/>
  <c r="H15" i="232"/>
  <c r="H18" i="232"/>
  <c r="H16" i="232"/>
  <c r="H17" i="68"/>
  <c r="H15" i="68"/>
  <c r="H18" i="68"/>
  <c r="H16" i="68"/>
  <c r="E31" i="232"/>
  <c r="E37" i="232"/>
  <c r="E41" i="232"/>
  <c r="E55" i="232"/>
  <c r="E59" i="232"/>
  <c r="E63" i="232"/>
  <c r="F34" i="232"/>
  <c r="F38" i="232"/>
  <c r="F46" i="232"/>
  <c r="F56" i="232"/>
  <c r="F12" i="232"/>
  <c r="F21" i="232" s="1"/>
  <c r="G18" i="68"/>
  <c r="G17" i="68"/>
  <c r="G16" i="68"/>
  <c r="G15" i="68"/>
  <c r="G16" i="232"/>
  <c r="G17" i="232"/>
  <c r="G15" i="232"/>
  <c r="G18" i="232"/>
  <c r="D25" i="232"/>
  <c r="D35" i="232"/>
  <c r="D39" i="232"/>
  <c r="D43" i="232"/>
  <c r="D57" i="232"/>
  <c r="D61" i="232"/>
  <c r="D40" i="233"/>
  <c r="D50" i="233"/>
  <c r="D56" i="233"/>
  <c r="F30" i="232"/>
  <c r="F36" i="232"/>
  <c r="F40" i="232"/>
  <c r="F48" i="232"/>
  <c r="F54" i="232"/>
  <c r="F62" i="232"/>
  <c r="D42" i="232"/>
  <c r="D46" i="232"/>
  <c r="D38" i="233"/>
  <c r="D55" i="233"/>
  <c r="E28" i="232"/>
  <c r="E34" i="232"/>
  <c r="E38" i="232"/>
  <c r="E42" i="232"/>
  <c r="E46" i="232"/>
  <c r="E50" i="232"/>
  <c r="E56" i="232"/>
  <c r="E60" i="232"/>
  <c r="E64" i="232"/>
  <c r="F35" i="232"/>
  <c r="F43" i="232"/>
  <c r="F47" i="232"/>
  <c r="F57" i="232"/>
  <c r="F61" i="232"/>
  <c r="F28" i="232"/>
  <c r="F17" i="68"/>
  <c r="F17" i="232"/>
  <c r="F16" i="68"/>
  <c r="F16" i="232"/>
  <c r="F15" i="68"/>
  <c r="F15" i="232"/>
  <c r="F18" i="68"/>
  <c r="F18" i="232"/>
  <c r="D60" i="233"/>
  <c r="E30" i="233"/>
  <c r="E37" i="233"/>
  <c r="E42" i="233"/>
  <c r="E48" i="233"/>
  <c r="E54" i="233"/>
  <c r="E59" i="233"/>
  <c r="E63" i="233"/>
  <c r="F25" i="232"/>
  <c r="F29" i="232"/>
  <c r="F51" i="232"/>
  <c r="F25" i="233"/>
  <c r="F29" i="233"/>
  <c r="F35" i="233"/>
  <c r="F39" i="233"/>
  <c r="F43" i="233"/>
  <c r="F47" i="233"/>
  <c r="F51" i="233"/>
  <c r="F57" i="233"/>
  <c r="F61" i="233"/>
  <c r="G25" i="232"/>
  <c r="G29" i="232"/>
  <c r="G35" i="232"/>
  <c r="G39" i="232"/>
  <c r="G43" i="232"/>
  <c r="G47" i="232"/>
  <c r="G51" i="232"/>
  <c r="G57" i="232"/>
  <c r="G61" i="232"/>
  <c r="G25" i="233"/>
  <c r="G29" i="233"/>
  <c r="G35" i="233"/>
  <c r="G39" i="233"/>
  <c r="G43" i="233"/>
  <c r="G47" i="233"/>
  <c r="G51" i="233"/>
  <c r="G57" i="233"/>
  <c r="G61" i="233"/>
  <c r="H28" i="232"/>
  <c r="H34" i="232"/>
  <c r="H38" i="232"/>
  <c r="H42" i="232"/>
  <c r="H46" i="232"/>
  <c r="H50" i="232"/>
  <c r="H56" i="232"/>
  <c r="H60" i="232"/>
  <c r="H64" i="232"/>
  <c r="H28" i="233"/>
  <c r="H34" i="233"/>
  <c r="H38" i="233"/>
  <c r="H42" i="233"/>
  <c r="H46" i="233"/>
  <c r="H50" i="233"/>
  <c r="H56" i="233"/>
  <c r="H60" i="233"/>
  <c r="H64" i="233"/>
  <c r="I28" i="232"/>
  <c r="I34" i="232"/>
  <c r="I38" i="232"/>
  <c r="I42" i="232"/>
  <c r="I46" i="232"/>
  <c r="I50" i="232"/>
  <c r="I56" i="232"/>
  <c r="I60" i="232"/>
  <c r="I64" i="232"/>
  <c r="I28" i="233"/>
  <c r="I34" i="233"/>
  <c r="I38" i="233"/>
  <c r="I42" i="233"/>
  <c r="I46" i="233"/>
  <c r="I50" i="233"/>
  <c r="I56" i="233"/>
  <c r="I60" i="233"/>
  <c r="I64" i="233"/>
  <c r="J28" i="232"/>
  <c r="J34" i="232"/>
  <c r="J38" i="232"/>
  <c r="J42" i="232"/>
  <c r="J46" i="232"/>
  <c r="J50" i="232"/>
  <c r="J56" i="232"/>
  <c r="J60" i="232"/>
  <c r="J64" i="232"/>
  <c r="J28" i="233"/>
  <c r="J34" i="233"/>
  <c r="J38" i="233"/>
  <c r="J42" i="233"/>
  <c r="J46" i="233"/>
  <c r="J50" i="233"/>
  <c r="J56" i="233"/>
  <c r="J60" i="233"/>
  <c r="J64" i="233"/>
  <c r="K28" i="232"/>
  <c r="K34" i="232"/>
  <c r="K38" i="232"/>
  <c r="K42" i="232"/>
  <c r="K46" i="232"/>
  <c r="K50" i="232"/>
  <c r="K56" i="232"/>
  <c r="K60" i="232"/>
  <c r="K64" i="232"/>
  <c r="K28" i="233"/>
  <c r="K34" i="233"/>
  <c r="K38" i="233"/>
  <c r="K42" i="233"/>
  <c r="K46" i="233"/>
  <c r="K50" i="233"/>
  <c r="K56" i="233"/>
  <c r="K60" i="233"/>
  <c r="K64" i="233"/>
  <c r="L28" i="232"/>
  <c r="L34" i="232"/>
  <c r="L38" i="232"/>
  <c r="L42" i="232"/>
  <c r="L46" i="232"/>
  <c r="L50" i="232"/>
  <c r="L56" i="232"/>
  <c r="L60" i="232"/>
  <c r="L64" i="232"/>
  <c r="L28" i="233"/>
  <c r="L34" i="233"/>
  <c r="L38" i="233"/>
  <c r="L42" i="233"/>
  <c r="L46" i="233"/>
  <c r="L50" i="233"/>
  <c r="L56" i="233"/>
  <c r="L60" i="233"/>
  <c r="L64" i="233"/>
  <c r="C26" i="232"/>
  <c r="C30" i="232"/>
  <c r="C40" i="232"/>
  <c r="C44" i="232"/>
  <c r="C48" i="232"/>
  <c r="C54" i="232"/>
  <c r="C58" i="232"/>
  <c r="C62" i="232"/>
  <c r="C30" i="233"/>
  <c r="C37" i="233"/>
  <c r="C42" i="233"/>
  <c r="C48" i="233"/>
  <c r="C55" i="233"/>
  <c r="C60" i="233"/>
  <c r="C64" i="233"/>
  <c r="D27" i="232"/>
  <c r="D37" i="232"/>
  <c r="D45" i="232"/>
  <c r="D55" i="232"/>
  <c r="D63" i="232"/>
  <c r="D29" i="233"/>
  <c r="D42" i="233"/>
  <c r="D54" i="233"/>
  <c r="D63" i="233"/>
  <c r="E46" i="233"/>
  <c r="E57" i="233"/>
  <c r="F42" i="232"/>
  <c r="F50" i="232"/>
  <c r="F28" i="233"/>
  <c r="F34" i="233"/>
  <c r="F38" i="233"/>
  <c r="F42" i="233"/>
  <c r="F46" i="233"/>
  <c r="F50" i="233"/>
  <c r="F56" i="233"/>
  <c r="F60" i="233"/>
  <c r="F64" i="233"/>
  <c r="G28" i="232"/>
  <c r="G34" i="232"/>
  <c r="G38" i="232"/>
  <c r="G42" i="232"/>
  <c r="G46" i="232"/>
  <c r="G50" i="232"/>
  <c r="G56" i="232"/>
  <c r="G60" i="232"/>
  <c r="G64" i="232"/>
  <c r="G28" i="233"/>
  <c r="G34" i="233"/>
  <c r="G38" i="233"/>
  <c r="G42" i="233"/>
  <c r="G46" i="233"/>
  <c r="G50" i="233"/>
  <c r="G56" i="233"/>
  <c r="G60" i="233"/>
  <c r="G64" i="233"/>
  <c r="H27" i="232"/>
  <c r="H31" i="232"/>
  <c r="H37" i="232"/>
  <c r="H41" i="232"/>
  <c r="H45" i="232"/>
  <c r="H49" i="232"/>
  <c r="H55" i="232"/>
  <c r="H59" i="232"/>
  <c r="H63" i="232"/>
  <c r="H27" i="233"/>
  <c r="H31" i="233"/>
  <c r="H37" i="233"/>
  <c r="H41" i="233"/>
  <c r="H45" i="233"/>
  <c r="H49" i="233"/>
  <c r="H55" i="233"/>
  <c r="H59" i="233"/>
  <c r="H63" i="233"/>
  <c r="I27" i="232"/>
  <c r="I31" i="232"/>
  <c r="I37" i="232"/>
  <c r="I41" i="232"/>
  <c r="I45" i="232"/>
  <c r="I49" i="232"/>
  <c r="I55" i="232"/>
  <c r="I59" i="232"/>
  <c r="I63" i="232"/>
  <c r="I27" i="233"/>
  <c r="I31" i="233"/>
  <c r="I37" i="233"/>
  <c r="I41" i="233"/>
  <c r="I45" i="233"/>
  <c r="I49" i="233"/>
  <c r="I55" i="233"/>
  <c r="I59" i="233"/>
  <c r="I63" i="233"/>
  <c r="J27" i="232"/>
  <c r="J31" i="232"/>
  <c r="J37" i="232"/>
  <c r="J41" i="232"/>
  <c r="J45" i="232"/>
  <c r="J49" i="232"/>
  <c r="J55" i="232"/>
  <c r="J59" i="232"/>
  <c r="J63" i="232"/>
  <c r="J27" i="233"/>
  <c r="J31" i="233"/>
  <c r="J37" i="233"/>
  <c r="J41" i="233"/>
  <c r="J45" i="233"/>
  <c r="J49" i="233"/>
  <c r="J55" i="233"/>
  <c r="J59" i="233"/>
  <c r="J63" i="233"/>
  <c r="K27" i="232"/>
  <c r="K31" i="232"/>
  <c r="K37" i="232"/>
  <c r="K41" i="232"/>
  <c r="K45" i="232"/>
  <c r="K49" i="232"/>
  <c r="K55" i="232"/>
  <c r="K59" i="232"/>
  <c r="K63" i="232"/>
  <c r="K27" i="233"/>
  <c r="K31" i="233"/>
  <c r="K37" i="233"/>
  <c r="K41" i="233"/>
  <c r="K45" i="233"/>
  <c r="K49" i="233"/>
  <c r="K55" i="233"/>
  <c r="K59" i="233"/>
  <c r="K63" i="233"/>
  <c r="L27" i="232"/>
  <c r="L31" i="232"/>
  <c r="L37" i="232"/>
  <c r="L41" i="232"/>
  <c r="L45" i="232"/>
  <c r="L49" i="232"/>
  <c r="L55" i="232"/>
  <c r="L59" i="232"/>
  <c r="L63" i="232"/>
  <c r="L27" i="233"/>
  <c r="L31" i="233"/>
  <c r="L37" i="233"/>
  <c r="L41" i="233"/>
  <c r="L45" i="233"/>
  <c r="L49" i="233"/>
  <c r="L55" i="233"/>
  <c r="L59" i="233"/>
  <c r="L63" i="233"/>
  <c r="C29" i="232"/>
  <c r="C35" i="232"/>
  <c r="C43" i="232"/>
  <c r="C47" i="232"/>
  <c r="C51" i="232"/>
  <c r="C57" i="232"/>
  <c r="C61" i="232"/>
  <c r="C29" i="233"/>
  <c r="C35" i="233"/>
  <c r="C41" i="233"/>
  <c r="C46" i="233"/>
  <c r="C54" i="233"/>
  <c r="C59" i="233"/>
  <c r="C63" i="233"/>
  <c r="G12" i="232"/>
  <c r="G21" i="232" s="1"/>
  <c r="G12" i="233"/>
  <c r="I12" i="232"/>
  <c r="I12" i="233"/>
  <c r="K12" i="232"/>
  <c r="K12" i="233"/>
  <c r="D30" i="233"/>
  <c r="D49" i="233"/>
  <c r="D64" i="233"/>
  <c r="D31" i="232"/>
  <c r="D41" i="232"/>
  <c r="D49" i="232"/>
  <c r="D59" i="232"/>
  <c r="D37" i="233"/>
  <c r="D48" i="233"/>
  <c r="D59" i="233"/>
  <c r="E29" i="233"/>
  <c r="E28" i="233"/>
  <c r="E35" i="233"/>
  <c r="E41" i="233"/>
  <c r="E51" i="233"/>
  <c r="E62" i="233"/>
  <c r="D26" i="232"/>
  <c r="D30" i="232"/>
  <c r="D36" i="232"/>
  <c r="D40" i="232"/>
  <c r="D44" i="232"/>
  <c r="D48" i="232"/>
  <c r="D54" i="232"/>
  <c r="D58" i="232"/>
  <c r="D62" i="232"/>
  <c r="D34" i="233"/>
  <c r="D28" i="233"/>
  <c r="D35" i="233"/>
  <c r="D41" i="233"/>
  <c r="D46" i="233"/>
  <c r="D51" i="233"/>
  <c r="D57" i="233"/>
  <c r="D62" i="233"/>
  <c r="E26" i="232"/>
  <c r="E30" i="232"/>
  <c r="E36" i="232"/>
  <c r="E40" i="232"/>
  <c r="E44" i="232"/>
  <c r="E48" i="232"/>
  <c r="E54" i="232"/>
  <c r="E58" i="232"/>
  <c r="E62" i="232"/>
  <c r="E26" i="233"/>
  <c r="E34" i="233"/>
  <c r="E40" i="233"/>
  <c r="E44" i="233"/>
  <c r="E50" i="233"/>
  <c r="E56" i="233"/>
  <c r="E61" i="233"/>
  <c r="F27" i="232"/>
  <c r="F31" i="232"/>
  <c r="F37" i="232"/>
  <c r="F41" i="232"/>
  <c r="F45" i="232"/>
  <c r="F49" i="232"/>
  <c r="F55" i="232"/>
  <c r="F59" i="232"/>
  <c r="F63" i="232"/>
  <c r="F27" i="233"/>
  <c r="F31" i="233"/>
  <c r="F37" i="233"/>
  <c r="F41" i="233"/>
  <c r="F45" i="233"/>
  <c r="F49" i="233"/>
  <c r="F55" i="233"/>
  <c r="F59" i="233"/>
  <c r="F63" i="233"/>
  <c r="G27" i="232"/>
  <c r="G31" i="232"/>
  <c r="G37" i="232"/>
  <c r="G41" i="232"/>
  <c r="G45" i="232"/>
  <c r="G49" i="232"/>
  <c r="G55" i="232"/>
  <c r="G59" i="232"/>
  <c r="G63" i="232"/>
  <c r="G27" i="233"/>
  <c r="G31" i="233"/>
  <c r="G37" i="233"/>
  <c r="G41" i="233"/>
  <c r="G45" i="233"/>
  <c r="G49" i="233"/>
  <c r="G55" i="233"/>
  <c r="G59" i="233"/>
  <c r="G63" i="233"/>
  <c r="H26" i="232"/>
  <c r="H30" i="232"/>
  <c r="H36" i="232"/>
  <c r="H40" i="232"/>
  <c r="H44" i="232"/>
  <c r="H48" i="232"/>
  <c r="H54" i="232"/>
  <c r="H58" i="232"/>
  <c r="H62" i="232"/>
  <c r="H26" i="233"/>
  <c r="H30" i="233"/>
  <c r="H36" i="233"/>
  <c r="H40" i="233"/>
  <c r="H44" i="233"/>
  <c r="H48" i="233"/>
  <c r="H54" i="233"/>
  <c r="H58" i="233"/>
  <c r="H62" i="233"/>
  <c r="I26" i="232"/>
  <c r="I30" i="232"/>
  <c r="I36" i="232"/>
  <c r="I40" i="232"/>
  <c r="I44" i="232"/>
  <c r="I48" i="232"/>
  <c r="I54" i="232"/>
  <c r="I58" i="232"/>
  <c r="I62" i="232"/>
  <c r="I26" i="233"/>
  <c r="I30" i="233"/>
  <c r="I36" i="233"/>
  <c r="I40" i="233"/>
  <c r="I44" i="233"/>
  <c r="I48" i="233"/>
  <c r="I54" i="233"/>
  <c r="I58" i="233"/>
  <c r="I62" i="233"/>
  <c r="J26" i="232"/>
  <c r="J30" i="232"/>
  <c r="J36" i="232"/>
  <c r="J40" i="232"/>
  <c r="J44" i="232"/>
  <c r="J48" i="232"/>
  <c r="J54" i="232"/>
  <c r="J58" i="232"/>
  <c r="J62" i="232"/>
  <c r="J26" i="233"/>
  <c r="J30" i="233"/>
  <c r="J36" i="233"/>
  <c r="J40" i="233"/>
  <c r="J44" i="233"/>
  <c r="J48" i="233"/>
  <c r="J54" i="233"/>
  <c r="J58" i="233"/>
  <c r="J62" i="233"/>
  <c r="K26" i="232"/>
  <c r="K30" i="232"/>
  <c r="K36" i="232"/>
  <c r="K40" i="232"/>
  <c r="K44" i="232"/>
  <c r="K48" i="232"/>
  <c r="K54" i="232"/>
  <c r="K58" i="232"/>
  <c r="K62" i="232"/>
  <c r="K26" i="233"/>
  <c r="K30" i="233"/>
  <c r="K36" i="233"/>
  <c r="K40" i="233"/>
  <c r="K44" i="233"/>
  <c r="K48" i="233"/>
  <c r="K54" i="233"/>
  <c r="K58" i="233"/>
  <c r="K62" i="233"/>
  <c r="L26" i="232"/>
  <c r="L30" i="232"/>
  <c r="L36" i="232"/>
  <c r="L40" i="232"/>
  <c r="L44" i="232"/>
  <c r="L48" i="232"/>
  <c r="L54" i="232"/>
  <c r="L58" i="232"/>
  <c r="L62" i="232"/>
  <c r="L26" i="233"/>
  <c r="L30" i="233"/>
  <c r="L36" i="233"/>
  <c r="L40" i="233"/>
  <c r="L44" i="233"/>
  <c r="L48" i="233"/>
  <c r="L54" i="233"/>
  <c r="L58" i="233"/>
  <c r="L62" i="233"/>
  <c r="C28" i="232"/>
  <c r="C34" i="232"/>
  <c r="C38" i="232"/>
  <c r="C42" i="232"/>
  <c r="C46" i="232"/>
  <c r="C50" i="232"/>
  <c r="C56" i="232"/>
  <c r="C60" i="232"/>
  <c r="C64" i="232"/>
  <c r="C28" i="233"/>
  <c r="C34" i="233"/>
  <c r="C40" i="233"/>
  <c r="C44" i="233"/>
  <c r="C51" i="233"/>
  <c r="C57" i="233"/>
  <c r="C62" i="233"/>
  <c r="F12" i="233"/>
  <c r="D29" i="232"/>
  <c r="D47" i="232"/>
  <c r="D51" i="232"/>
  <c r="D26" i="233"/>
  <c r="D31" i="233"/>
  <c r="D44" i="233"/>
  <c r="D61" i="233"/>
  <c r="E25" i="232"/>
  <c r="E29" i="232"/>
  <c r="E35" i="232"/>
  <c r="E39" i="232"/>
  <c r="E43" i="232"/>
  <c r="E47" i="232"/>
  <c r="E51" i="232"/>
  <c r="E57" i="232"/>
  <c r="E61" i="232"/>
  <c r="E31" i="233"/>
  <c r="E38" i="233"/>
  <c r="E43" i="233"/>
  <c r="E49" i="233"/>
  <c r="E55" i="233"/>
  <c r="E60" i="233"/>
  <c r="E64" i="233"/>
  <c r="F26" i="232"/>
  <c r="F44" i="232"/>
  <c r="F58" i="232"/>
  <c r="F26" i="233"/>
  <c r="F30" i="233"/>
  <c r="F36" i="233"/>
  <c r="F40" i="233"/>
  <c r="F44" i="233"/>
  <c r="F48" i="233"/>
  <c r="F54" i="233"/>
  <c r="F58" i="233"/>
  <c r="F62" i="233"/>
  <c r="G26" i="232"/>
  <c r="G30" i="232"/>
  <c r="G36" i="232"/>
  <c r="G40" i="232"/>
  <c r="G44" i="232"/>
  <c r="G48" i="232"/>
  <c r="G54" i="232"/>
  <c r="G58" i="232"/>
  <c r="G62" i="232"/>
  <c r="G26" i="233"/>
  <c r="G30" i="233"/>
  <c r="G36" i="233"/>
  <c r="G40" i="233"/>
  <c r="G44" i="233"/>
  <c r="G48" i="233"/>
  <c r="G54" i="233"/>
  <c r="G62" i="233"/>
  <c r="H25" i="232"/>
  <c r="H29" i="232"/>
  <c r="H35" i="232"/>
  <c r="H39" i="232"/>
  <c r="H43" i="232"/>
  <c r="H47" i="232"/>
  <c r="H51" i="232"/>
  <c r="H57" i="232"/>
  <c r="H61" i="232"/>
  <c r="H25" i="233"/>
  <c r="H29" i="233"/>
  <c r="H35" i="233"/>
  <c r="H39" i="233"/>
  <c r="H43" i="233"/>
  <c r="H47" i="233"/>
  <c r="H51" i="233"/>
  <c r="H57" i="233"/>
  <c r="H61" i="233"/>
  <c r="I25" i="232"/>
  <c r="I29" i="232"/>
  <c r="I35" i="232"/>
  <c r="I39" i="232"/>
  <c r="I43" i="232"/>
  <c r="I47" i="232"/>
  <c r="I51" i="232"/>
  <c r="I57" i="232"/>
  <c r="I61" i="232"/>
  <c r="I25" i="233"/>
  <c r="I29" i="233"/>
  <c r="I35" i="233"/>
  <c r="I39" i="233"/>
  <c r="I43" i="233"/>
  <c r="I47" i="233"/>
  <c r="I51" i="233"/>
  <c r="I57" i="233"/>
  <c r="I61" i="233"/>
  <c r="J25" i="232"/>
  <c r="J29" i="232"/>
  <c r="J35" i="232"/>
  <c r="J39" i="232"/>
  <c r="J43" i="232"/>
  <c r="J47" i="232"/>
  <c r="J51" i="232"/>
  <c r="J57" i="232"/>
  <c r="J61" i="232"/>
  <c r="J25" i="233"/>
  <c r="J29" i="233"/>
  <c r="J35" i="233"/>
  <c r="J39" i="233"/>
  <c r="J43" i="233"/>
  <c r="J47" i="233"/>
  <c r="J51" i="233"/>
  <c r="J57" i="233"/>
  <c r="J61" i="233"/>
  <c r="K25" i="232"/>
  <c r="K29" i="232"/>
  <c r="K35" i="232"/>
  <c r="K39" i="232"/>
  <c r="K43" i="232"/>
  <c r="K47" i="232"/>
  <c r="K51" i="232"/>
  <c r="K57" i="232"/>
  <c r="K61" i="232"/>
  <c r="K25" i="233"/>
  <c r="K29" i="233"/>
  <c r="K35" i="233"/>
  <c r="K39" i="233"/>
  <c r="K43" i="233"/>
  <c r="K47" i="233"/>
  <c r="K51" i="233"/>
  <c r="K57" i="233"/>
  <c r="K61" i="233"/>
  <c r="L25" i="232"/>
  <c r="L29" i="232"/>
  <c r="L35" i="232"/>
  <c r="L39" i="232"/>
  <c r="L43" i="232"/>
  <c r="L47" i="232"/>
  <c r="L51" i="232"/>
  <c r="L57" i="232"/>
  <c r="L61" i="232"/>
  <c r="L25" i="233"/>
  <c r="L29" i="233"/>
  <c r="L35" i="233"/>
  <c r="L39" i="233"/>
  <c r="L43" i="233"/>
  <c r="L47" i="233"/>
  <c r="L51" i="233"/>
  <c r="L57" i="233"/>
  <c r="L61" i="233"/>
  <c r="D12" i="232"/>
  <c r="C31" i="232"/>
  <c r="C37" i="232"/>
  <c r="C41" i="232"/>
  <c r="C49" i="232"/>
  <c r="C55" i="232"/>
  <c r="C59" i="232"/>
  <c r="C63" i="232"/>
  <c r="C26" i="233"/>
  <c r="C31" i="233"/>
  <c r="C38" i="233"/>
  <c r="C43" i="233"/>
  <c r="C49" i="233"/>
  <c r="C56" i="233"/>
  <c r="C61" i="233"/>
  <c r="E12" i="232"/>
  <c r="H12" i="232"/>
  <c r="H12" i="233"/>
  <c r="J12" i="232"/>
  <c r="J12" i="233"/>
  <c r="L12" i="232"/>
  <c r="L12" i="233"/>
  <c r="C21" i="232"/>
  <c r="D16" i="232"/>
  <c r="E16" i="232"/>
  <c r="M26" i="232"/>
  <c r="M30" i="232"/>
  <c r="M36" i="232"/>
  <c r="M40" i="232"/>
  <c r="M44" i="232"/>
  <c r="M48" i="232"/>
  <c r="M54" i="232"/>
  <c r="M65" i="233"/>
  <c r="M58" i="232"/>
  <c r="M62" i="232"/>
  <c r="C18" i="232"/>
  <c r="D18" i="232"/>
  <c r="M25" i="232"/>
  <c r="M32" i="233"/>
  <c r="M29" i="232"/>
  <c r="M35" i="232"/>
  <c r="M39" i="232"/>
  <c r="M43" i="232"/>
  <c r="M47" i="232"/>
  <c r="M51" i="232"/>
  <c r="M57" i="232"/>
  <c r="M61" i="232"/>
  <c r="M12" i="232"/>
  <c r="M21" i="232" s="1"/>
  <c r="M28" i="232"/>
  <c r="M34" i="232"/>
  <c r="M52" i="233"/>
  <c r="M38" i="232"/>
  <c r="M42" i="232"/>
  <c r="M46" i="232"/>
  <c r="M50" i="232"/>
  <c r="M56" i="232"/>
  <c r="M60" i="232"/>
  <c r="M64" i="232"/>
  <c r="C16" i="232"/>
  <c r="M27" i="232"/>
  <c r="M31" i="232"/>
  <c r="M37" i="232"/>
  <c r="M41" i="232"/>
  <c r="M45" i="232"/>
  <c r="M49" i="232"/>
  <c r="M55" i="232"/>
  <c r="M59" i="232"/>
  <c r="M63" i="232"/>
  <c r="E18" i="232"/>
  <c r="D17" i="232"/>
  <c r="E17" i="232"/>
  <c r="C15" i="232"/>
  <c r="D15" i="232"/>
  <c r="E15" i="232"/>
  <c r="C17" i="232"/>
  <c r="E16" i="68"/>
  <c r="E18" i="68"/>
  <c r="E17" i="68"/>
  <c r="E15" i="68"/>
  <c r="C16" i="68"/>
  <c r="D15" i="68"/>
  <c r="D17" i="68"/>
  <c r="D18" i="68"/>
  <c r="D16" i="68"/>
  <c r="C18" i="68"/>
  <c r="C32" i="93"/>
  <c r="C17" i="68"/>
  <c r="C15" i="68"/>
  <c r="B65" i="219"/>
  <c r="M65" i="219"/>
  <c r="L65" i="219"/>
  <c r="K65" i="219"/>
  <c r="J65" i="219"/>
  <c r="I65" i="219"/>
  <c r="H65" i="219"/>
  <c r="G65" i="219"/>
  <c r="F65" i="219"/>
  <c r="E65" i="219"/>
  <c r="D65" i="219"/>
  <c r="C65" i="219"/>
  <c r="B52" i="219"/>
  <c r="M52" i="219"/>
  <c r="L52" i="219"/>
  <c r="K52" i="219"/>
  <c r="J52" i="219"/>
  <c r="I52" i="219"/>
  <c r="H52" i="219"/>
  <c r="G52" i="219"/>
  <c r="F52" i="219"/>
  <c r="E52" i="219"/>
  <c r="D52" i="219"/>
  <c r="C52" i="219"/>
  <c r="B32" i="219"/>
  <c r="M32" i="219"/>
  <c r="L32" i="219"/>
  <c r="K32" i="219"/>
  <c r="J32" i="219"/>
  <c r="I32" i="219"/>
  <c r="H32" i="219"/>
  <c r="G32" i="219"/>
  <c r="F32" i="219"/>
  <c r="E32" i="219"/>
  <c r="D32" i="219"/>
  <c r="C32" i="219"/>
  <c r="B21" i="219"/>
  <c r="L21" i="219"/>
  <c r="D21" i="219"/>
  <c r="C21" i="219"/>
  <c r="M65" i="232" l="1"/>
  <c r="M52" i="232"/>
  <c r="M32" i="232"/>
  <c r="L32" i="233"/>
  <c r="J32" i="233"/>
  <c r="H32" i="233"/>
  <c r="G65" i="233"/>
  <c r="E52" i="232"/>
  <c r="C32" i="232"/>
  <c r="D52" i="232"/>
  <c r="K32" i="233"/>
  <c r="I32" i="233"/>
  <c r="D32" i="232"/>
  <c r="F65" i="232"/>
  <c r="F52" i="232"/>
  <c r="L21" i="232"/>
  <c r="H21" i="232"/>
  <c r="D21" i="232"/>
  <c r="K21" i="233"/>
  <c r="G21" i="233"/>
  <c r="C32" i="233"/>
  <c r="K32" i="232"/>
  <c r="I32" i="232"/>
  <c r="E32" i="232"/>
  <c r="D32" i="233"/>
  <c r="C52" i="233"/>
  <c r="K65" i="233"/>
  <c r="I65" i="233"/>
  <c r="E32" i="233"/>
  <c r="D65" i="232"/>
  <c r="C65" i="233"/>
  <c r="F52" i="233"/>
  <c r="C65" i="232"/>
  <c r="K52" i="232"/>
  <c r="I52" i="232"/>
  <c r="G32" i="233"/>
  <c r="E65" i="233"/>
  <c r="L21" i="233"/>
  <c r="H21" i="233"/>
  <c r="I21" i="232"/>
  <c r="F65" i="233"/>
  <c r="L65" i="232"/>
  <c r="J65" i="232"/>
  <c r="H65" i="232"/>
  <c r="E52" i="233"/>
  <c r="E65" i="232"/>
  <c r="G52" i="232"/>
  <c r="D65" i="233"/>
  <c r="K52" i="233"/>
  <c r="I52" i="233"/>
  <c r="J21" i="232"/>
  <c r="F21" i="233"/>
  <c r="I21" i="233"/>
  <c r="L32" i="232"/>
  <c r="J32" i="232"/>
  <c r="H32" i="232"/>
  <c r="G65" i="232"/>
  <c r="L65" i="233"/>
  <c r="J65" i="233"/>
  <c r="H65" i="233"/>
  <c r="G52" i="233"/>
  <c r="L52" i="232"/>
  <c r="J52" i="232"/>
  <c r="H52" i="232"/>
  <c r="F32" i="233"/>
  <c r="J21" i="233"/>
  <c r="E21" i="232"/>
  <c r="K21" i="232"/>
  <c r="C52" i="232"/>
  <c r="K65" i="232"/>
  <c r="I65" i="232"/>
  <c r="D52" i="233"/>
  <c r="L52" i="233"/>
  <c r="J52" i="233"/>
  <c r="H52" i="233"/>
  <c r="G32" i="232"/>
  <c r="F32" i="232"/>
  <c r="M21" i="233"/>
  <c r="M11" i="219"/>
  <c r="L11" i="219" s="1"/>
  <c r="K11" i="219" s="1"/>
  <c r="J11" i="219" s="1"/>
  <c r="I11" i="219" s="1"/>
  <c r="H11" i="219" s="1"/>
  <c r="G11" i="219" s="1"/>
  <c r="F11" i="219" s="1"/>
  <c r="E11" i="219" s="1"/>
  <c r="D11" i="219" s="1"/>
  <c r="C11" i="219"/>
  <c r="B11" i="219" s="1"/>
  <c r="F21" i="219"/>
  <c r="J21" i="219"/>
  <c r="E23" i="219"/>
  <c r="E21" i="219"/>
  <c r="I21" i="219"/>
  <c r="M21" i="219"/>
  <c r="D23" i="219"/>
  <c r="H21" i="219"/>
  <c r="G21" i="219"/>
  <c r="K21" i="219"/>
  <c r="B64" i="200"/>
  <c r="B63" i="200"/>
  <c r="B62" i="200"/>
  <c r="B61" i="200"/>
  <c r="B60" i="200"/>
  <c r="B59" i="200"/>
  <c r="B58" i="200"/>
  <c r="B57" i="200"/>
  <c r="B56" i="200"/>
  <c r="B55" i="200"/>
  <c r="M65" i="200"/>
  <c r="L65" i="200"/>
  <c r="K65" i="200"/>
  <c r="J65" i="200"/>
  <c r="I65" i="200"/>
  <c r="H65" i="200"/>
  <c r="G65" i="200"/>
  <c r="F65" i="200"/>
  <c r="E65" i="200"/>
  <c r="D65" i="200"/>
  <c r="C65" i="200"/>
  <c r="B54" i="200"/>
  <c r="B51" i="200"/>
  <c r="B50" i="200"/>
  <c r="B49" i="200"/>
  <c r="B48" i="200"/>
  <c r="B47" i="200"/>
  <c r="B46" i="200"/>
  <c r="B45" i="200"/>
  <c r="B44" i="200"/>
  <c r="B43" i="200"/>
  <c r="B42" i="200"/>
  <c r="B41" i="200"/>
  <c r="B40" i="200"/>
  <c r="B39" i="200"/>
  <c r="B38" i="200"/>
  <c r="B37" i="200"/>
  <c r="B36" i="200"/>
  <c r="B35" i="200"/>
  <c r="M52" i="200"/>
  <c r="L52" i="200"/>
  <c r="K52" i="200"/>
  <c r="J52" i="200"/>
  <c r="I52" i="200"/>
  <c r="H52" i="200"/>
  <c r="G52" i="200"/>
  <c r="G10" i="200" s="1"/>
  <c r="F52" i="200"/>
  <c r="F10" i="200" s="1"/>
  <c r="E52" i="200"/>
  <c r="E10" i="200" s="1"/>
  <c r="D52" i="200"/>
  <c r="D10" i="200" s="1"/>
  <c r="C52" i="200"/>
  <c r="B34" i="200"/>
  <c r="B31" i="200"/>
  <c r="B30" i="200"/>
  <c r="B29" i="200"/>
  <c r="B28" i="200"/>
  <c r="B27" i="200"/>
  <c r="B26" i="200"/>
  <c r="M32" i="200"/>
  <c r="L32" i="200"/>
  <c r="K32" i="200"/>
  <c r="J32" i="200"/>
  <c r="I32" i="200"/>
  <c r="H32" i="200"/>
  <c r="G32" i="200"/>
  <c r="G6" i="200" s="1"/>
  <c r="F32" i="200"/>
  <c r="F6" i="200" s="1"/>
  <c r="E32" i="200"/>
  <c r="E6" i="200" s="1"/>
  <c r="D32" i="200"/>
  <c r="D6" i="200" s="1"/>
  <c r="C32" i="200"/>
  <c r="B25" i="200"/>
  <c r="B18" i="200"/>
  <c r="B17" i="200"/>
  <c r="B16" i="200"/>
  <c r="B15" i="200"/>
  <c r="M21" i="200"/>
  <c r="K21" i="200"/>
  <c r="J21" i="200"/>
  <c r="G21" i="200"/>
  <c r="F21" i="200"/>
  <c r="D21" i="200"/>
  <c r="C21" i="200"/>
  <c r="B12" i="200"/>
  <c r="B21" i="200" s="1"/>
  <c r="B64" i="198"/>
  <c r="B63" i="198"/>
  <c r="B62" i="198"/>
  <c r="B61" i="198"/>
  <c r="B60" i="198"/>
  <c r="B59" i="198"/>
  <c r="B58" i="198"/>
  <c r="B57" i="198"/>
  <c r="B56" i="198"/>
  <c r="B55" i="198"/>
  <c r="M65" i="198"/>
  <c r="M11" i="198" s="1"/>
  <c r="L65" i="198"/>
  <c r="K65" i="198"/>
  <c r="J65" i="198"/>
  <c r="I65" i="198"/>
  <c r="I11" i="198" s="1"/>
  <c r="H65" i="198"/>
  <c r="G65" i="198"/>
  <c r="F65" i="198"/>
  <c r="E65" i="198"/>
  <c r="D65" i="198"/>
  <c r="D11" i="198" s="1"/>
  <c r="C65" i="198"/>
  <c r="B54" i="198"/>
  <c r="B51" i="198"/>
  <c r="B50" i="198"/>
  <c r="B49" i="198"/>
  <c r="B48" i="198"/>
  <c r="B47" i="198"/>
  <c r="B46" i="198"/>
  <c r="B45" i="198"/>
  <c r="B44" i="198"/>
  <c r="B43" i="198"/>
  <c r="B42" i="198"/>
  <c r="B41" i="198"/>
  <c r="B40" i="198"/>
  <c r="B39" i="198"/>
  <c r="B38" i="198"/>
  <c r="B37" i="198"/>
  <c r="B36" i="198"/>
  <c r="B35" i="198"/>
  <c r="M52" i="198"/>
  <c r="L52" i="198"/>
  <c r="K52" i="198"/>
  <c r="J52" i="198"/>
  <c r="I52" i="198"/>
  <c r="H52" i="198"/>
  <c r="G52" i="198"/>
  <c r="G10" i="198" s="1"/>
  <c r="F52" i="198"/>
  <c r="F10" i="198" s="1"/>
  <c r="E52" i="198"/>
  <c r="E10" i="198" s="1"/>
  <c r="D52" i="198"/>
  <c r="D10" i="198" s="1"/>
  <c r="C52" i="198"/>
  <c r="B34" i="198"/>
  <c r="B31" i="198"/>
  <c r="B30" i="198"/>
  <c r="B29" i="198"/>
  <c r="B28" i="198"/>
  <c r="B27" i="198"/>
  <c r="B26" i="198"/>
  <c r="M32" i="198"/>
  <c r="L32" i="198"/>
  <c r="K32" i="198"/>
  <c r="J32" i="198"/>
  <c r="I32" i="198"/>
  <c r="H32" i="198"/>
  <c r="G32" i="198"/>
  <c r="G6" i="198" s="1"/>
  <c r="F32" i="198"/>
  <c r="F6" i="198" s="1"/>
  <c r="E32" i="198"/>
  <c r="E6" i="198" s="1"/>
  <c r="D32" i="198"/>
  <c r="D6" i="198" s="1"/>
  <c r="C32" i="198"/>
  <c r="B25" i="198"/>
  <c r="B18" i="198"/>
  <c r="B17" i="198"/>
  <c r="B16" i="198"/>
  <c r="B15" i="198"/>
  <c r="M21" i="198"/>
  <c r="L21" i="198"/>
  <c r="K21" i="198"/>
  <c r="J21" i="198"/>
  <c r="I21" i="198"/>
  <c r="G21" i="198"/>
  <c r="E21" i="198"/>
  <c r="D21" i="198"/>
  <c r="C21" i="198"/>
  <c r="B12" i="198"/>
  <c r="B21" i="198" s="1"/>
  <c r="B64" i="197"/>
  <c r="B63" i="197"/>
  <c r="B62" i="197"/>
  <c r="B61" i="197"/>
  <c r="B60" i="197"/>
  <c r="B59" i="197"/>
  <c r="B58" i="197"/>
  <c r="B57" i="197"/>
  <c r="B56" i="197"/>
  <c r="B55" i="197"/>
  <c r="M65" i="197"/>
  <c r="L65" i="197"/>
  <c r="K65" i="197"/>
  <c r="J65" i="197"/>
  <c r="I65" i="197"/>
  <c r="H65" i="197"/>
  <c r="G65" i="197"/>
  <c r="F65" i="197"/>
  <c r="E65" i="197"/>
  <c r="D65" i="197"/>
  <c r="C65" i="197"/>
  <c r="B54" i="197"/>
  <c r="B51" i="197"/>
  <c r="B50" i="197"/>
  <c r="B49" i="197"/>
  <c r="B48" i="197"/>
  <c r="B47" i="197"/>
  <c r="B46" i="197"/>
  <c r="B45" i="197"/>
  <c r="B44" i="197"/>
  <c r="B43" i="197"/>
  <c r="B42" i="197"/>
  <c r="B41" i="197"/>
  <c r="B40" i="197"/>
  <c r="B39" i="197"/>
  <c r="B38" i="197"/>
  <c r="B37" i="197"/>
  <c r="B36" i="197"/>
  <c r="B35" i="197"/>
  <c r="M52" i="197"/>
  <c r="L52" i="197"/>
  <c r="K52" i="197"/>
  <c r="J52" i="197"/>
  <c r="I52" i="197"/>
  <c r="H52" i="197"/>
  <c r="G52" i="197"/>
  <c r="G10" i="197" s="1"/>
  <c r="F52" i="197"/>
  <c r="F10" i="197" s="1"/>
  <c r="E52" i="197"/>
  <c r="E10" i="197" s="1"/>
  <c r="D52" i="197"/>
  <c r="D10" i="197" s="1"/>
  <c r="C52" i="197"/>
  <c r="B34" i="197"/>
  <c r="B31" i="197"/>
  <c r="B30" i="197"/>
  <c r="B29" i="197"/>
  <c r="B28" i="197"/>
  <c r="B27" i="197"/>
  <c r="B26" i="197"/>
  <c r="M32" i="197"/>
  <c r="L32" i="197"/>
  <c r="K32" i="197"/>
  <c r="J32" i="197"/>
  <c r="I32" i="197"/>
  <c r="H32" i="197"/>
  <c r="G32" i="197"/>
  <c r="G6" i="197" s="1"/>
  <c r="F32" i="197"/>
  <c r="F6" i="197" s="1"/>
  <c r="E32" i="197"/>
  <c r="E6" i="197" s="1"/>
  <c r="D32" i="197"/>
  <c r="D6" i="197" s="1"/>
  <c r="C32" i="197"/>
  <c r="B25" i="197"/>
  <c r="B18" i="197"/>
  <c r="B17" i="197"/>
  <c r="B16" i="197"/>
  <c r="B15" i="197"/>
  <c r="K21" i="197"/>
  <c r="J21" i="197"/>
  <c r="H21" i="197"/>
  <c r="G21" i="197"/>
  <c r="F21" i="197"/>
  <c r="B12" i="197"/>
  <c r="B21" i="197" s="1"/>
  <c r="B64" i="196"/>
  <c r="B63" i="196"/>
  <c r="B63" i="233" s="1"/>
  <c r="B62" i="196"/>
  <c r="B61" i="196"/>
  <c r="B60" i="196"/>
  <c r="B59" i="196"/>
  <c r="B59" i="233" s="1"/>
  <c r="B58" i="196"/>
  <c r="B57" i="196"/>
  <c r="B56" i="196"/>
  <c r="B55" i="196"/>
  <c r="B55" i="233" s="1"/>
  <c r="M65" i="196"/>
  <c r="L65" i="196"/>
  <c r="K65" i="196"/>
  <c r="J65" i="196"/>
  <c r="I65" i="196"/>
  <c r="H65" i="196"/>
  <c r="G65" i="196"/>
  <c r="F65" i="196"/>
  <c r="E65" i="196"/>
  <c r="D65" i="196"/>
  <c r="C65" i="196"/>
  <c r="B54" i="196"/>
  <c r="B51" i="196"/>
  <c r="B50" i="196"/>
  <c r="B49" i="196"/>
  <c r="B48" i="196"/>
  <c r="B48" i="233" s="1"/>
  <c r="B47" i="196"/>
  <c r="B46" i="196"/>
  <c r="B45" i="196"/>
  <c r="B44" i="196"/>
  <c r="B44" i="233" s="1"/>
  <c r="B43" i="196"/>
  <c r="B42" i="196"/>
  <c r="B41" i="196"/>
  <c r="B40" i="196"/>
  <c r="B40" i="233" s="1"/>
  <c r="B39" i="196"/>
  <c r="B38" i="196"/>
  <c r="B37" i="196"/>
  <c r="B36" i="196"/>
  <c r="B36" i="233" s="1"/>
  <c r="B35" i="196"/>
  <c r="M52" i="196"/>
  <c r="L52" i="196"/>
  <c r="K52" i="196"/>
  <c r="J52" i="196"/>
  <c r="I52" i="196"/>
  <c r="H52" i="196"/>
  <c r="G52" i="196"/>
  <c r="G10" i="196" s="1"/>
  <c r="F52" i="196"/>
  <c r="F10" i="196" s="1"/>
  <c r="E52" i="196"/>
  <c r="E10" i="196" s="1"/>
  <c r="D52" i="196"/>
  <c r="D10" i="196" s="1"/>
  <c r="C52" i="196"/>
  <c r="B34" i="196"/>
  <c r="B31" i="196"/>
  <c r="B30" i="196"/>
  <c r="B29" i="196"/>
  <c r="B29" i="233" s="1"/>
  <c r="B28" i="196"/>
  <c r="B27" i="196"/>
  <c r="B26" i="196"/>
  <c r="M32" i="196"/>
  <c r="L32" i="196"/>
  <c r="K32" i="196"/>
  <c r="J32" i="196"/>
  <c r="I32" i="196"/>
  <c r="H32" i="196"/>
  <c r="G32" i="196"/>
  <c r="F32" i="196"/>
  <c r="E32" i="196"/>
  <c r="D32" i="196"/>
  <c r="C32" i="196"/>
  <c r="B25" i="196"/>
  <c r="B18" i="196"/>
  <c r="B17" i="196"/>
  <c r="B16" i="196"/>
  <c r="B15" i="196"/>
  <c r="M21" i="196"/>
  <c r="L21" i="196"/>
  <c r="K21" i="196"/>
  <c r="I21" i="196"/>
  <c r="H21" i="196"/>
  <c r="G21" i="196"/>
  <c r="E21" i="196"/>
  <c r="D21" i="196"/>
  <c r="B12" i="196"/>
  <c r="B25" i="233" l="1"/>
  <c r="B26" i="233"/>
  <c r="B30" i="233"/>
  <c r="B37" i="233"/>
  <c r="B41" i="233"/>
  <c r="B45" i="233"/>
  <c r="B49" i="233"/>
  <c r="B56" i="233"/>
  <c r="B60" i="233"/>
  <c r="B64" i="233"/>
  <c r="B57" i="233"/>
  <c r="B61" i="233"/>
  <c r="B27" i="233"/>
  <c r="B31" i="233"/>
  <c r="B38" i="233"/>
  <c r="B42" i="233"/>
  <c r="B46" i="233"/>
  <c r="B50" i="233"/>
  <c r="B28" i="233"/>
  <c r="B34" i="233"/>
  <c r="B35" i="233"/>
  <c r="B39" i="233"/>
  <c r="B43" i="233"/>
  <c r="B47" i="233"/>
  <c r="B51" i="233"/>
  <c r="B58" i="233"/>
  <c r="B62" i="233"/>
  <c r="B65" i="200"/>
  <c r="B32" i="197"/>
  <c r="B21" i="196"/>
  <c r="B12" i="233"/>
  <c r="B65" i="196"/>
  <c r="B54" i="233"/>
  <c r="B32" i="200"/>
  <c r="K23" i="219"/>
  <c r="B32" i="196"/>
  <c r="B52" i="198"/>
  <c r="B52" i="196"/>
  <c r="B65" i="197"/>
  <c r="B32" i="198"/>
  <c r="B52" i="197"/>
  <c r="B65" i="198"/>
  <c r="B52" i="200"/>
  <c r="J23" i="219"/>
  <c r="M10" i="219"/>
  <c r="L10" i="219" s="1"/>
  <c r="K10" i="219" s="1"/>
  <c r="J10" i="219" s="1"/>
  <c r="I10" i="219" s="1"/>
  <c r="H10" i="219" s="1"/>
  <c r="B23" i="219"/>
  <c r="C23" i="219"/>
  <c r="H23" i="219"/>
  <c r="G23" i="219"/>
  <c r="F23" i="219" s="1"/>
  <c r="M23" i="219"/>
  <c r="L23" i="219" s="1"/>
  <c r="I23" i="219"/>
  <c r="C11" i="198"/>
  <c r="C10" i="196"/>
  <c r="H11" i="198"/>
  <c r="G11" i="198" s="1"/>
  <c r="F11" i="198" s="1"/>
  <c r="E11" i="198" s="1"/>
  <c r="E7" i="198" s="1"/>
  <c r="E8" i="198" s="1"/>
  <c r="L11" i="198"/>
  <c r="K11" i="198" s="1"/>
  <c r="J11" i="198" s="1"/>
  <c r="M10" i="198"/>
  <c r="C10" i="197"/>
  <c r="C10" i="198"/>
  <c r="D7" i="198"/>
  <c r="C10" i="200"/>
  <c r="C6" i="197"/>
  <c r="C6" i="198"/>
  <c r="D8" i="198"/>
  <c r="C6" i="200"/>
  <c r="L6" i="219"/>
  <c r="C21" i="196"/>
  <c r="E21" i="197"/>
  <c r="I21" i="197"/>
  <c r="M21" i="197"/>
  <c r="E21" i="200"/>
  <c r="I21" i="200"/>
  <c r="M11" i="196"/>
  <c r="F21" i="196"/>
  <c r="J21" i="196"/>
  <c r="D21" i="197"/>
  <c r="L21" i="197"/>
  <c r="H21" i="198"/>
  <c r="H21" i="200"/>
  <c r="L21" i="200"/>
  <c r="C21" i="197"/>
  <c r="M23" i="198"/>
  <c r="M11" i="197"/>
  <c r="L11" i="197" s="1"/>
  <c r="K11" i="197" s="1"/>
  <c r="J11" i="197" s="1"/>
  <c r="I11" i="197" s="1"/>
  <c r="H11" i="197" s="1"/>
  <c r="G11" i="197" s="1"/>
  <c r="F11" i="197" s="1"/>
  <c r="E11" i="197" s="1"/>
  <c r="D11" i="197" s="1"/>
  <c r="C11" i="197" s="1"/>
  <c r="F21" i="198"/>
  <c r="M11" i="200"/>
  <c r="L11" i="200" s="1"/>
  <c r="K11" i="200" s="1"/>
  <c r="J11" i="200" s="1"/>
  <c r="I11" i="200" s="1"/>
  <c r="G6" i="196"/>
  <c r="F6" i="196"/>
  <c r="E6" i="196"/>
  <c r="D6" i="196"/>
  <c r="B64" i="195"/>
  <c r="B63" i="195"/>
  <c r="B62" i="195"/>
  <c r="B61" i="195"/>
  <c r="B60" i="195"/>
  <c r="B59" i="195"/>
  <c r="B58" i="195"/>
  <c r="B57" i="195"/>
  <c r="B56" i="195"/>
  <c r="B55" i="195"/>
  <c r="M65" i="195"/>
  <c r="L65" i="195"/>
  <c r="K65" i="195"/>
  <c r="J65" i="195"/>
  <c r="I65" i="195"/>
  <c r="H65" i="195"/>
  <c r="G65" i="195"/>
  <c r="F65" i="195"/>
  <c r="E65" i="195"/>
  <c r="D65" i="195"/>
  <c r="C65" i="195"/>
  <c r="B54" i="195"/>
  <c r="B51" i="195"/>
  <c r="B50" i="195"/>
  <c r="B49" i="195"/>
  <c r="B48" i="195"/>
  <c r="B47" i="195"/>
  <c r="B46" i="195"/>
  <c r="B45" i="195"/>
  <c r="B44" i="195"/>
  <c r="B43" i="195"/>
  <c r="B42" i="195"/>
  <c r="B41" i="195"/>
  <c r="B40" i="195"/>
  <c r="B39" i="195"/>
  <c r="B38" i="195"/>
  <c r="B37" i="195"/>
  <c r="B36" i="195"/>
  <c r="B35" i="195"/>
  <c r="M52" i="195"/>
  <c r="L52" i="195"/>
  <c r="K52" i="195"/>
  <c r="J52" i="195"/>
  <c r="I52" i="195"/>
  <c r="H52" i="195"/>
  <c r="G52" i="195"/>
  <c r="G10" i="195" s="1"/>
  <c r="F52" i="195"/>
  <c r="F10" i="195" s="1"/>
  <c r="E52" i="195"/>
  <c r="E10" i="195" s="1"/>
  <c r="D52" i="195"/>
  <c r="D10" i="195" s="1"/>
  <c r="C52" i="195"/>
  <c r="B34" i="195"/>
  <c r="B31" i="195"/>
  <c r="B30" i="195"/>
  <c r="B29" i="195"/>
  <c r="B28" i="195"/>
  <c r="B27" i="195"/>
  <c r="B26" i="195"/>
  <c r="M32" i="195"/>
  <c r="L32" i="195"/>
  <c r="K32" i="195"/>
  <c r="J32" i="195"/>
  <c r="I32" i="195"/>
  <c r="H32" i="195"/>
  <c r="G32" i="195"/>
  <c r="G6" i="195" s="1"/>
  <c r="F32" i="195"/>
  <c r="F6" i="195" s="1"/>
  <c r="E32" i="195"/>
  <c r="E6" i="195" s="1"/>
  <c r="D32" i="195"/>
  <c r="D6" i="195" s="1"/>
  <c r="C32" i="195"/>
  <c r="B25" i="195"/>
  <c r="B18" i="195"/>
  <c r="B17" i="195"/>
  <c r="B16" i="195"/>
  <c r="B15" i="195"/>
  <c r="M21" i="195"/>
  <c r="L21" i="195"/>
  <c r="J21" i="195"/>
  <c r="I21" i="195"/>
  <c r="G21" i="195"/>
  <c r="F21" i="195"/>
  <c r="E21" i="195"/>
  <c r="D21" i="195"/>
  <c r="B12" i="195"/>
  <c r="B21" i="195" s="1"/>
  <c r="B64" i="194"/>
  <c r="B63" i="194"/>
  <c r="B62" i="194"/>
  <c r="B61" i="194"/>
  <c r="B60" i="194"/>
  <c r="B59" i="194"/>
  <c r="B58" i="194"/>
  <c r="B57" i="194"/>
  <c r="B56" i="194"/>
  <c r="B55" i="194"/>
  <c r="M65" i="194"/>
  <c r="L65" i="194"/>
  <c r="L11" i="194" s="1"/>
  <c r="K65" i="194"/>
  <c r="J65" i="194"/>
  <c r="I65" i="194"/>
  <c r="H65" i="194"/>
  <c r="H11" i="194" s="1"/>
  <c r="G65" i="194"/>
  <c r="F65" i="194"/>
  <c r="E65" i="194"/>
  <c r="D65" i="194"/>
  <c r="C65" i="194"/>
  <c r="B54" i="194"/>
  <c r="B51" i="194"/>
  <c r="B50" i="194"/>
  <c r="B49" i="194"/>
  <c r="B48" i="194"/>
  <c r="B47" i="194"/>
  <c r="B46" i="194"/>
  <c r="B45" i="194"/>
  <c r="B44" i="194"/>
  <c r="B43" i="194"/>
  <c r="B42" i="194"/>
  <c r="B41" i="194"/>
  <c r="B40" i="194"/>
  <c r="B39" i="194"/>
  <c r="B38" i="194"/>
  <c r="B37" i="194"/>
  <c r="B36" i="194"/>
  <c r="B35" i="194"/>
  <c r="M52" i="194"/>
  <c r="L52" i="194"/>
  <c r="K52" i="194"/>
  <c r="J52" i="194"/>
  <c r="I52" i="194"/>
  <c r="H52" i="194"/>
  <c r="G52" i="194"/>
  <c r="G10" i="194" s="1"/>
  <c r="F52" i="194"/>
  <c r="F10" i="194" s="1"/>
  <c r="E52" i="194"/>
  <c r="E10" i="194" s="1"/>
  <c r="D52" i="194"/>
  <c r="D10" i="194" s="1"/>
  <c r="C52" i="194"/>
  <c r="B34" i="194"/>
  <c r="B31" i="194"/>
  <c r="B30" i="194"/>
  <c r="B29" i="194"/>
  <c r="B28" i="194"/>
  <c r="B27" i="194"/>
  <c r="B26" i="194"/>
  <c r="M32" i="194"/>
  <c r="L32" i="194"/>
  <c r="K32" i="194"/>
  <c r="J32" i="194"/>
  <c r="I32" i="194"/>
  <c r="H32" i="194"/>
  <c r="G32" i="194"/>
  <c r="G6" i="194" s="1"/>
  <c r="F32" i="194"/>
  <c r="F6" i="194" s="1"/>
  <c r="E32" i="194"/>
  <c r="E6" i="194" s="1"/>
  <c r="D32" i="194"/>
  <c r="D6" i="194" s="1"/>
  <c r="C32" i="194"/>
  <c r="B25" i="194"/>
  <c r="B18" i="194"/>
  <c r="B17" i="194"/>
  <c r="B16" i="194"/>
  <c r="B15" i="194"/>
  <c r="M21" i="194"/>
  <c r="K21" i="194"/>
  <c r="J21" i="194"/>
  <c r="H21" i="194"/>
  <c r="G21" i="194"/>
  <c r="F21" i="194"/>
  <c r="E21" i="194"/>
  <c r="D21" i="194"/>
  <c r="C21" i="194"/>
  <c r="B12" i="194"/>
  <c r="B21" i="194" s="1"/>
  <c r="B64" i="193"/>
  <c r="B63" i="193"/>
  <c r="B62" i="193"/>
  <c r="B61" i="193"/>
  <c r="B60" i="193"/>
  <c r="B59" i="193"/>
  <c r="B58" i="193"/>
  <c r="B57" i="193"/>
  <c r="B56" i="193"/>
  <c r="B55" i="193"/>
  <c r="M65" i="193"/>
  <c r="L65" i="193"/>
  <c r="L11" i="193" s="1"/>
  <c r="K65" i="193"/>
  <c r="J65" i="193"/>
  <c r="I65" i="193"/>
  <c r="H65" i="193"/>
  <c r="G65" i="193"/>
  <c r="F65" i="193"/>
  <c r="E65" i="193"/>
  <c r="D65" i="193"/>
  <c r="C65" i="193"/>
  <c r="B54" i="193"/>
  <c r="B51" i="193"/>
  <c r="B50" i="193"/>
  <c r="B49" i="193"/>
  <c r="B48" i="193"/>
  <c r="B47" i="193"/>
  <c r="B46" i="193"/>
  <c r="B45" i="193"/>
  <c r="B44" i="193"/>
  <c r="B43" i="193"/>
  <c r="B42" i="193"/>
  <c r="B41" i="193"/>
  <c r="B40" i="193"/>
  <c r="B39" i="193"/>
  <c r="B38" i="193"/>
  <c r="B37" i="193"/>
  <c r="B36" i="193"/>
  <c r="B35" i="193"/>
  <c r="M52" i="193"/>
  <c r="L52" i="193"/>
  <c r="K52" i="193"/>
  <c r="J52" i="193"/>
  <c r="I52" i="193"/>
  <c r="H52" i="193"/>
  <c r="G52" i="193"/>
  <c r="G10" i="193" s="1"/>
  <c r="F52" i="193"/>
  <c r="F10" i="193" s="1"/>
  <c r="E52" i="193"/>
  <c r="E10" i="193" s="1"/>
  <c r="D52" i="193"/>
  <c r="D10" i="193" s="1"/>
  <c r="C52" i="193"/>
  <c r="B34" i="193"/>
  <c r="B31" i="193"/>
  <c r="B30" i="193"/>
  <c r="B29" i="193"/>
  <c r="B28" i="193"/>
  <c r="B27" i="193"/>
  <c r="B26" i="193"/>
  <c r="M32" i="193"/>
  <c r="L32" i="193"/>
  <c r="K32" i="193"/>
  <c r="J32" i="193"/>
  <c r="I32" i="193"/>
  <c r="H32" i="193"/>
  <c r="G32" i="193"/>
  <c r="G6" i="193" s="1"/>
  <c r="F32" i="193"/>
  <c r="F6" i="193" s="1"/>
  <c r="E32" i="193"/>
  <c r="E6" i="193" s="1"/>
  <c r="D32" i="193"/>
  <c r="D6" i="193" s="1"/>
  <c r="C32" i="193"/>
  <c r="B25" i="193"/>
  <c r="B18" i="193"/>
  <c r="B17" i="193"/>
  <c r="B16" i="193"/>
  <c r="B15" i="193"/>
  <c r="M21" i="193"/>
  <c r="L21" i="193"/>
  <c r="K21" i="193"/>
  <c r="G21" i="193"/>
  <c r="E21" i="193"/>
  <c r="D21" i="193"/>
  <c r="C21" i="193"/>
  <c r="B12" i="193"/>
  <c r="B21" i="193" s="1"/>
  <c r="B64" i="192"/>
  <c r="B63" i="192"/>
  <c r="B62" i="192"/>
  <c r="B61" i="192"/>
  <c r="B60" i="192"/>
  <c r="B59" i="192"/>
  <c r="B58" i="192"/>
  <c r="B57" i="192"/>
  <c r="B56" i="192"/>
  <c r="B55" i="192"/>
  <c r="M65" i="192"/>
  <c r="L65" i="192"/>
  <c r="K65" i="192"/>
  <c r="J65" i="192"/>
  <c r="I65" i="192"/>
  <c r="H65" i="192"/>
  <c r="G65" i="192"/>
  <c r="F65" i="192"/>
  <c r="E65" i="192"/>
  <c r="D65" i="192"/>
  <c r="C65" i="192"/>
  <c r="B54" i="192"/>
  <c r="B51" i="192"/>
  <c r="B50" i="192"/>
  <c r="B49" i="192"/>
  <c r="B48" i="192"/>
  <c r="B47" i="192"/>
  <c r="B46" i="192"/>
  <c r="B45" i="192"/>
  <c r="B44" i="192"/>
  <c r="B43" i="192"/>
  <c r="B42" i="192"/>
  <c r="B41" i="192"/>
  <c r="B40" i="192"/>
  <c r="B39" i="192"/>
  <c r="B38" i="192"/>
  <c r="B37" i="192"/>
  <c r="B36" i="192"/>
  <c r="B35" i="192"/>
  <c r="M52" i="192"/>
  <c r="L52" i="192"/>
  <c r="K52" i="192"/>
  <c r="J52" i="192"/>
  <c r="I52" i="192"/>
  <c r="H52" i="192"/>
  <c r="G52" i="192"/>
  <c r="G10" i="192" s="1"/>
  <c r="F52" i="192"/>
  <c r="F10" i="192" s="1"/>
  <c r="E52" i="192"/>
  <c r="E10" i="192" s="1"/>
  <c r="D52" i="192"/>
  <c r="D10" i="192" s="1"/>
  <c r="C52" i="192"/>
  <c r="B34" i="192"/>
  <c r="B31" i="192"/>
  <c r="B30" i="192"/>
  <c r="B29" i="192"/>
  <c r="B28" i="192"/>
  <c r="B27" i="192"/>
  <c r="B26" i="192"/>
  <c r="M32" i="192"/>
  <c r="L32" i="192"/>
  <c r="K32" i="192"/>
  <c r="J32" i="192"/>
  <c r="I32" i="192"/>
  <c r="H32" i="192"/>
  <c r="G32" i="192"/>
  <c r="G6" i="192" s="1"/>
  <c r="F32" i="192"/>
  <c r="F6" i="192" s="1"/>
  <c r="E32" i="192"/>
  <c r="E6" i="192" s="1"/>
  <c r="D32" i="192"/>
  <c r="D6" i="192" s="1"/>
  <c r="C32" i="192"/>
  <c r="B25" i="192"/>
  <c r="B18" i="192"/>
  <c r="B17" i="192"/>
  <c r="B16" i="192"/>
  <c r="B15" i="192"/>
  <c r="M21" i="192"/>
  <c r="K21" i="192"/>
  <c r="J21" i="192"/>
  <c r="I21" i="192"/>
  <c r="H21" i="192"/>
  <c r="G21" i="192"/>
  <c r="F21" i="192"/>
  <c r="E21" i="192"/>
  <c r="C21" i="192"/>
  <c r="B12" i="192"/>
  <c r="B21" i="192" s="1"/>
  <c r="B64" i="191"/>
  <c r="B63" i="191"/>
  <c r="B62" i="191"/>
  <c r="B61" i="191"/>
  <c r="B60" i="191"/>
  <c r="B59" i="191"/>
  <c r="B58" i="191"/>
  <c r="B57" i="191"/>
  <c r="B56" i="191"/>
  <c r="B55" i="191"/>
  <c r="M65" i="191"/>
  <c r="L65" i="191"/>
  <c r="K65" i="191"/>
  <c r="J65" i="191"/>
  <c r="I65" i="191"/>
  <c r="H65" i="191"/>
  <c r="G65" i="191"/>
  <c r="F65" i="191"/>
  <c r="E65" i="191"/>
  <c r="D65" i="191"/>
  <c r="C65" i="191"/>
  <c r="B54" i="191"/>
  <c r="B51" i="191"/>
  <c r="B50" i="191"/>
  <c r="B49" i="191"/>
  <c r="B48" i="191"/>
  <c r="B47" i="191"/>
  <c r="B46" i="191"/>
  <c r="B45" i="191"/>
  <c r="B44" i="191"/>
  <c r="B43" i="191"/>
  <c r="B42" i="191"/>
  <c r="B41" i="191"/>
  <c r="B40" i="191"/>
  <c r="B39" i="191"/>
  <c r="B38" i="191"/>
  <c r="B37" i="191"/>
  <c r="B36" i="191"/>
  <c r="B35" i="191"/>
  <c r="M52" i="191"/>
  <c r="L52" i="191"/>
  <c r="K52" i="191"/>
  <c r="J52" i="191"/>
  <c r="I52" i="191"/>
  <c r="H52" i="191"/>
  <c r="G52" i="191"/>
  <c r="G10" i="191" s="1"/>
  <c r="F52" i="191"/>
  <c r="F10" i="191" s="1"/>
  <c r="E52" i="191"/>
  <c r="E10" i="191" s="1"/>
  <c r="D52" i="191"/>
  <c r="D10" i="191" s="1"/>
  <c r="C52" i="191"/>
  <c r="B34" i="191"/>
  <c r="B31" i="191"/>
  <c r="B30" i="191"/>
  <c r="B29" i="191"/>
  <c r="B28" i="191"/>
  <c r="B27" i="191"/>
  <c r="B26" i="191"/>
  <c r="M32" i="191"/>
  <c r="L32" i="191"/>
  <c r="K32" i="191"/>
  <c r="J32" i="191"/>
  <c r="I32" i="191"/>
  <c r="H32" i="191"/>
  <c r="G32" i="191"/>
  <c r="G6" i="191" s="1"/>
  <c r="F32" i="191"/>
  <c r="F6" i="191" s="1"/>
  <c r="E32" i="191"/>
  <c r="E6" i="191" s="1"/>
  <c r="D32" i="191"/>
  <c r="D6" i="191" s="1"/>
  <c r="C32" i="191"/>
  <c r="B25" i="191"/>
  <c r="B18" i="191"/>
  <c r="B17" i="191"/>
  <c r="B16" i="191"/>
  <c r="B15" i="191"/>
  <c r="M21" i="191"/>
  <c r="L21" i="191"/>
  <c r="I21" i="191"/>
  <c r="H21" i="191"/>
  <c r="G21" i="191"/>
  <c r="F21" i="191"/>
  <c r="B12" i="191"/>
  <c r="B21" i="191" s="1"/>
  <c r="B64" i="190"/>
  <c r="B63" i="190"/>
  <c r="B62" i="190"/>
  <c r="B61" i="190"/>
  <c r="B60" i="190"/>
  <c r="B59" i="190"/>
  <c r="B58" i="190"/>
  <c r="B57" i="190"/>
  <c r="B56" i="190"/>
  <c r="B55" i="190"/>
  <c r="M65" i="190"/>
  <c r="M11" i="190" s="1"/>
  <c r="L65" i="190"/>
  <c r="K65" i="190"/>
  <c r="J65" i="190"/>
  <c r="I65" i="190"/>
  <c r="H65" i="190"/>
  <c r="H11" i="190" s="1"/>
  <c r="G65" i="190"/>
  <c r="F65" i="190"/>
  <c r="E65" i="190"/>
  <c r="D65" i="190"/>
  <c r="C65" i="190"/>
  <c r="B54" i="190"/>
  <c r="B51" i="190"/>
  <c r="B50" i="190"/>
  <c r="B49" i="190"/>
  <c r="B48" i="190"/>
  <c r="B47" i="190"/>
  <c r="B46" i="190"/>
  <c r="B45" i="190"/>
  <c r="B44" i="190"/>
  <c r="B43" i="190"/>
  <c r="B42" i="190"/>
  <c r="B41" i="190"/>
  <c r="B40" i="190"/>
  <c r="B39" i="190"/>
  <c r="B38" i="190"/>
  <c r="B37" i="190"/>
  <c r="B36" i="190"/>
  <c r="B35" i="190"/>
  <c r="M52" i="190"/>
  <c r="L52" i="190"/>
  <c r="K52" i="190"/>
  <c r="J52" i="190"/>
  <c r="I52" i="190"/>
  <c r="H52" i="190"/>
  <c r="G52" i="190"/>
  <c r="G10" i="190" s="1"/>
  <c r="F52" i="190"/>
  <c r="F10" i="190" s="1"/>
  <c r="E52" i="190"/>
  <c r="E10" i="190" s="1"/>
  <c r="D52" i="190"/>
  <c r="D10" i="190" s="1"/>
  <c r="C52" i="190"/>
  <c r="B34" i="190"/>
  <c r="B31" i="190"/>
  <c r="B30" i="190"/>
  <c r="B29" i="190"/>
  <c r="B28" i="190"/>
  <c r="B27" i="190"/>
  <c r="B26" i="190"/>
  <c r="M32" i="190"/>
  <c r="L32" i="190"/>
  <c r="K32" i="190"/>
  <c r="J32" i="190"/>
  <c r="I32" i="190"/>
  <c r="H32" i="190"/>
  <c r="G32" i="190"/>
  <c r="G6" i="190" s="1"/>
  <c r="F32" i="190"/>
  <c r="F6" i="190" s="1"/>
  <c r="E32" i="190"/>
  <c r="E6" i="190" s="1"/>
  <c r="D32" i="190"/>
  <c r="D6" i="190" s="1"/>
  <c r="C32" i="190"/>
  <c r="B25" i="190"/>
  <c r="B18" i="190"/>
  <c r="B17" i="190"/>
  <c r="B16" i="190"/>
  <c r="B15" i="190"/>
  <c r="M21" i="190"/>
  <c r="L21" i="190"/>
  <c r="K21" i="190"/>
  <c r="J21" i="190"/>
  <c r="H21" i="190"/>
  <c r="G21" i="190"/>
  <c r="F21" i="190"/>
  <c r="D21" i="190"/>
  <c r="C21" i="190"/>
  <c r="B12" i="190"/>
  <c r="B64" i="189"/>
  <c r="B63" i="189"/>
  <c r="B62" i="189"/>
  <c r="B61" i="189"/>
  <c r="B60" i="189"/>
  <c r="B59" i="189"/>
  <c r="B58" i="189"/>
  <c r="B57" i="189"/>
  <c r="B56" i="189"/>
  <c r="B55" i="189"/>
  <c r="M65" i="189"/>
  <c r="L65" i="189"/>
  <c r="K65" i="189"/>
  <c r="J65" i="189"/>
  <c r="I65" i="189"/>
  <c r="H65" i="189"/>
  <c r="G65" i="189"/>
  <c r="F65" i="189"/>
  <c r="E65" i="189"/>
  <c r="D65" i="189"/>
  <c r="C65" i="189"/>
  <c r="B54" i="189"/>
  <c r="B51" i="189"/>
  <c r="B50" i="189"/>
  <c r="B49" i="189"/>
  <c r="B48" i="189"/>
  <c r="B47" i="189"/>
  <c r="B46" i="189"/>
  <c r="B45" i="189"/>
  <c r="B44" i="189"/>
  <c r="B43" i="189"/>
  <c r="B42" i="189"/>
  <c r="B41" i="189"/>
  <c r="B40" i="189"/>
  <c r="B39" i="189"/>
  <c r="B38" i="189"/>
  <c r="B37" i="189"/>
  <c r="B36" i="189"/>
  <c r="B35" i="189"/>
  <c r="M52" i="189"/>
  <c r="L52" i="189"/>
  <c r="K52" i="189"/>
  <c r="J52" i="189"/>
  <c r="I52" i="189"/>
  <c r="H52" i="189"/>
  <c r="G52" i="189"/>
  <c r="G10" i="189" s="1"/>
  <c r="F52" i="189"/>
  <c r="F10" i="189" s="1"/>
  <c r="E52" i="189"/>
  <c r="E10" i="189" s="1"/>
  <c r="D52" i="189"/>
  <c r="D10" i="189" s="1"/>
  <c r="C52" i="189"/>
  <c r="B34" i="189"/>
  <c r="B31" i="189"/>
  <c r="B30" i="189"/>
  <c r="B29" i="189"/>
  <c r="B28" i="189"/>
  <c r="B27" i="189"/>
  <c r="B26" i="189"/>
  <c r="L32" i="189"/>
  <c r="K32" i="189"/>
  <c r="J32" i="189"/>
  <c r="I32" i="189"/>
  <c r="H32" i="189"/>
  <c r="G32" i="189"/>
  <c r="G6" i="189" s="1"/>
  <c r="F32" i="189"/>
  <c r="F6" i="189" s="1"/>
  <c r="E32" i="189"/>
  <c r="E6" i="189" s="1"/>
  <c r="D32" i="189"/>
  <c r="D6" i="189" s="1"/>
  <c r="C32" i="189"/>
  <c r="B25" i="189"/>
  <c r="B18" i="189"/>
  <c r="B17" i="189"/>
  <c r="B16" i="189"/>
  <c r="B15" i="189"/>
  <c r="K21" i="189"/>
  <c r="J21" i="189"/>
  <c r="H21" i="189"/>
  <c r="G21" i="189"/>
  <c r="F21" i="189"/>
  <c r="E21" i="189"/>
  <c r="D21" i="189"/>
  <c r="C21" i="189"/>
  <c r="B12" i="189"/>
  <c r="B21" i="189" s="1"/>
  <c r="B64" i="188"/>
  <c r="B63" i="188"/>
  <c r="B62" i="188"/>
  <c r="B61" i="188"/>
  <c r="B60" i="188"/>
  <c r="B59" i="188"/>
  <c r="B58" i="188"/>
  <c r="B57" i="188"/>
  <c r="B56" i="188"/>
  <c r="B55" i="188"/>
  <c r="L65" i="188"/>
  <c r="K65" i="188"/>
  <c r="J65" i="188"/>
  <c r="I65" i="188"/>
  <c r="H65" i="188"/>
  <c r="G65" i="188"/>
  <c r="F65" i="188"/>
  <c r="E65" i="188"/>
  <c r="D65" i="188"/>
  <c r="C65" i="188"/>
  <c r="B54" i="188"/>
  <c r="B51" i="188"/>
  <c r="B50" i="188"/>
  <c r="B49" i="188"/>
  <c r="B48" i="188"/>
  <c r="B47" i="188"/>
  <c r="B46" i="188"/>
  <c r="B45" i="188"/>
  <c r="B44" i="188"/>
  <c r="B43" i="188"/>
  <c r="B42" i="188"/>
  <c r="B41" i="188"/>
  <c r="B40" i="188"/>
  <c r="B39" i="188"/>
  <c r="B38" i="188"/>
  <c r="B37" i="188"/>
  <c r="B36" i="188"/>
  <c r="B35" i="188"/>
  <c r="M52" i="188"/>
  <c r="L52" i="188"/>
  <c r="K52" i="188"/>
  <c r="J52" i="188"/>
  <c r="I52" i="188"/>
  <c r="H52" i="188"/>
  <c r="G52" i="188"/>
  <c r="G10" i="188" s="1"/>
  <c r="F52" i="188"/>
  <c r="F10" i="188" s="1"/>
  <c r="E52" i="188"/>
  <c r="E10" i="188" s="1"/>
  <c r="D52" i="188"/>
  <c r="D10" i="188" s="1"/>
  <c r="C52" i="188"/>
  <c r="B34" i="188"/>
  <c r="B31" i="188"/>
  <c r="B30" i="188"/>
  <c r="B29" i="188"/>
  <c r="B28" i="188"/>
  <c r="B27" i="188"/>
  <c r="B26" i="188"/>
  <c r="M32" i="188"/>
  <c r="L32" i="188"/>
  <c r="K32" i="188"/>
  <c r="J32" i="188"/>
  <c r="I32" i="188"/>
  <c r="H32" i="188"/>
  <c r="G32" i="188"/>
  <c r="G6" i="188" s="1"/>
  <c r="F32" i="188"/>
  <c r="F6" i="188" s="1"/>
  <c r="E32" i="188"/>
  <c r="E6" i="188" s="1"/>
  <c r="D32" i="188"/>
  <c r="D6" i="188" s="1"/>
  <c r="C32" i="188"/>
  <c r="B25" i="188"/>
  <c r="B18" i="188"/>
  <c r="B17" i="188"/>
  <c r="B16" i="188"/>
  <c r="B15" i="188"/>
  <c r="M21" i="188"/>
  <c r="L21" i="188"/>
  <c r="K21" i="188"/>
  <c r="J21" i="188"/>
  <c r="I21" i="188"/>
  <c r="G21" i="188"/>
  <c r="F21" i="188"/>
  <c r="E21" i="188"/>
  <c r="D21" i="188"/>
  <c r="C21" i="188"/>
  <c r="B12" i="188"/>
  <c r="B21" i="188" s="1"/>
  <c r="B64" i="187"/>
  <c r="B63" i="187"/>
  <c r="B62" i="187"/>
  <c r="B61" i="187"/>
  <c r="B60" i="187"/>
  <c r="B59" i="187"/>
  <c r="B58" i="187"/>
  <c r="B57" i="187"/>
  <c r="B56" i="187"/>
  <c r="B55" i="187"/>
  <c r="L65" i="187"/>
  <c r="K65" i="187"/>
  <c r="J65" i="187"/>
  <c r="I65" i="187"/>
  <c r="H65" i="187"/>
  <c r="G65" i="187"/>
  <c r="F65" i="187"/>
  <c r="E65" i="187"/>
  <c r="D65" i="187"/>
  <c r="C65" i="187"/>
  <c r="B54" i="187"/>
  <c r="B51" i="187"/>
  <c r="B50" i="187"/>
  <c r="B49" i="187"/>
  <c r="B48" i="187"/>
  <c r="B47" i="187"/>
  <c r="B46" i="187"/>
  <c r="B45" i="187"/>
  <c r="B44" i="187"/>
  <c r="B43" i="187"/>
  <c r="B42" i="187"/>
  <c r="B41" i="187"/>
  <c r="B40" i="187"/>
  <c r="B39" i="187"/>
  <c r="B38" i="187"/>
  <c r="B37" i="187"/>
  <c r="B36" i="187"/>
  <c r="B35" i="187"/>
  <c r="M52" i="187"/>
  <c r="L52" i="187"/>
  <c r="K52" i="187"/>
  <c r="J52" i="187"/>
  <c r="I52" i="187"/>
  <c r="H52" i="187"/>
  <c r="G52" i="187"/>
  <c r="G10" i="187" s="1"/>
  <c r="F52" i="187"/>
  <c r="F10" i="187" s="1"/>
  <c r="E52" i="187"/>
  <c r="E10" i="187" s="1"/>
  <c r="D52" i="187"/>
  <c r="D10" i="187" s="1"/>
  <c r="C52" i="187"/>
  <c r="B34" i="187"/>
  <c r="B31" i="187"/>
  <c r="B30" i="187"/>
  <c r="B29" i="187"/>
  <c r="B28" i="187"/>
  <c r="B27" i="187"/>
  <c r="B26" i="187"/>
  <c r="M32" i="187"/>
  <c r="L32" i="187"/>
  <c r="K32" i="187"/>
  <c r="J32" i="187"/>
  <c r="I32" i="187"/>
  <c r="H32" i="187"/>
  <c r="G32" i="187"/>
  <c r="G6" i="187" s="1"/>
  <c r="F32" i="187"/>
  <c r="F6" i="187" s="1"/>
  <c r="E32" i="187"/>
  <c r="E6" i="187" s="1"/>
  <c r="D32" i="187"/>
  <c r="D6" i="187" s="1"/>
  <c r="C32" i="187"/>
  <c r="B25" i="187"/>
  <c r="B18" i="187"/>
  <c r="B17" i="187"/>
  <c r="B16" i="187"/>
  <c r="B15" i="187"/>
  <c r="L21" i="187"/>
  <c r="K21" i="187"/>
  <c r="J21" i="187"/>
  <c r="I21" i="187"/>
  <c r="H21" i="187"/>
  <c r="G21" i="187"/>
  <c r="E21" i="187"/>
  <c r="D21" i="187"/>
  <c r="B12" i="187"/>
  <c r="B21" i="187" s="1"/>
  <c r="B64" i="186"/>
  <c r="B63" i="186"/>
  <c r="B62" i="186"/>
  <c r="B61" i="186"/>
  <c r="B60" i="186"/>
  <c r="B59" i="186"/>
  <c r="B58" i="186"/>
  <c r="B57" i="186"/>
  <c r="B56" i="186"/>
  <c r="B55" i="186"/>
  <c r="M65" i="186"/>
  <c r="L65" i="186"/>
  <c r="L11" i="186" s="1"/>
  <c r="K65" i="186"/>
  <c r="J65" i="186"/>
  <c r="I65" i="186"/>
  <c r="H65" i="186"/>
  <c r="G65" i="186"/>
  <c r="F65" i="186"/>
  <c r="E65" i="186"/>
  <c r="D65" i="186"/>
  <c r="D11" i="186" s="1"/>
  <c r="C65" i="186"/>
  <c r="B54" i="186"/>
  <c r="B51" i="186"/>
  <c r="B50" i="186"/>
  <c r="B49" i="186"/>
  <c r="B48" i="186"/>
  <c r="B47" i="186"/>
  <c r="B46" i="186"/>
  <c r="B45" i="186"/>
  <c r="B44" i="186"/>
  <c r="B43" i="186"/>
  <c r="B42" i="186"/>
  <c r="B41" i="186"/>
  <c r="B40" i="186"/>
  <c r="B39" i="186"/>
  <c r="B38" i="186"/>
  <c r="B37" i="186"/>
  <c r="B36" i="186"/>
  <c r="B35" i="186"/>
  <c r="M52" i="186"/>
  <c r="L52" i="186"/>
  <c r="K52" i="186"/>
  <c r="J52" i="186"/>
  <c r="I52" i="186"/>
  <c r="H52" i="186"/>
  <c r="G52" i="186"/>
  <c r="G10" i="186" s="1"/>
  <c r="F52" i="186"/>
  <c r="F10" i="186" s="1"/>
  <c r="E52" i="186"/>
  <c r="E10" i="186" s="1"/>
  <c r="D52" i="186"/>
  <c r="D10" i="186" s="1"/>
  <c r="C52" i="186"/>
  <c r="B34" i="186"/>
  <c r="B31" i="186"/>
  <c r="B30" i="186"/>
  <c r="B29" i="186"/>
  <c r="B28" i="186"/>
  <c r="B27" i="186"/>
  <c r="B26" i="186"/>
  <c r="M32" i="186"/>
  <c r="L32" i="186"/>
  <c r="K32" i="186"/>
  <c r="J32" i="186"/>
  <c r="I32" i="186"/>
  <c r="H32" i="186"/>
  <c r="G32" i="186"/>
  <c r="G6" i="186" s="1"/>
  <c r="F32" i="186"/>
  <c r="F6" i="186" s="1"/>
  <c r="E32" i="186"/>
  <c r="E6" i="186" s="1"/>
  <c r="D32" i="186"/>
  <c r="D6" i="186" s="1"/>
  <c r="C32" i="186"/>
  <c r="B25" i="186"/>
  <c r="B18" i="186"/>
  <c r="B17" i="186"/>
  <c r="B16" i="186"/>
  <c r="B15" i="186"/>
  <c r="M21" i="186"/>
  <c r="L21" i="186"/>
  <c r="J21" i="186"/>
  <c r="I21" i="186"/>
  <c r="H21" i="186"/>
  <c r="F21" i="186"/>
  <c r="E21" i="186"/>
  <c r="D21" i="186"/>
  <c r="B12" i="186"/>
  <c r="B21" i="186" s="1"/>
  <c r="B64" i="185"/>
  <c r="B63" i="185"/>
  <c r="B62" i="185"/>
  <c r="B61" i="185"/>
  <c r="B60" i="185"/>
  <c r="B59" i="185"/>
  <c r="B58" i="185"/>
  <c r="B57" i="185"/>
  <c r="B56" i="185"/>
  <c r="B55" i="185"/>
  <c r="M65" i="185"/>
  <c r="L65" i="185"/>
  <c r="L11" i="185" s="1"/>
  <c r="K65" i="185"/>
  <c r="J65" i="185"/>
  <c r="I65" i="185"/>
  <c r="H65" i="185"/>
  <c r="G65" i="185"/>
  <c r="G11" i="185" s="1"/>
  <c r="F65" i="185"/>
  <c r="E65" i="185"/>
  <c r="D65" i="185"/>
  <c r="C65" i="185"/>
  <c r="B54" i="185"/>
  <c r="B51" i="185"/>
  <c r="B50" i="185"/>
  <c r="B49" i="185"/>
  <c r="B48" i="185"/>
  <c r="B47" i="185"/>
  <c r="B46" i="185"/>
  <c r="B45" i="185"/>
  <c r="B44" i="185"/>
  <c r="B43" i="185"/>
  <c r="B42" i="185"/>
  <c r="B41" i="185"/>
  <c r="B40" i="185"/>
  <c r="B39" i="185"/>
  <c r="B38" i="185"/>
  <c r="B37" i="185"/>
  <c r="B36" i="185"/>
  <c r="B35" i="185"/>
  <c r="M52" i="185"/>
  <c r="L52" i="185"/>
  <c r="K52" i="185"/>
  <c r="J52" i="185"/>
  <c r="I52" i="185"/>
  <c r="H52" i="185"/>
  <c r="G52" i="185"/>
  <c r="G10" i="185" s="1"/>
  <c r="F52" i="185"/>
  <c r="F10" i="185" s="1"/>
  <c r="E52" i="185"/>
  <c r="E10" i="185" s="1"/>
  <c r="D52" i="185"/>
  <c r="D10" i="185" s="1"/>
  <c r="C52" i="185"/>
  <c r="B34" i="185"/>
  <c r="B31" i="185"/>
  <c r="B30" i="185"/>
  <c r="B29" i="185"/>
  <c r="B28" i="185"/>
  <c r="B27" i="185"/>
  <c r="B26" i="185"/>
  <c r="M32" i="185"/>
  <c r="L32" i="185"/>
  <c r="K32" i="185"/>
  <c r="J32" i="185"/>
  <c r="I32" i="185"/>
  <c r="H32" i="185"/>
  <c r="G32" i="185"/>
  <c r="G6" i="185" s="1"/>
  <c r="F32" i="185"/>
  <c r="F6" i="185" s="1"/>
  <c r="E32" i="185"/>
  <c r="E6" i="185" s="1"/>
  <c r="D32" i="185"/>
  <c r="D6" i="185" s="1"/>
  <c r="C32" i="185"/>
  <c r="B25" i="185"/>
  <c r="B18" i="185"/>
  <c r="B17" i="185"/>
  <c r="B16" i="185"/>
  <c r="B15" i="185"/>
  <c r="M21" i="185"/>
  <c r="K21" i="185"/>
  <c r="J21" i="185"/>
  <c r="H21" i="185"/>
  <c r="G21" i="185"/>
  <c r="F21" i="185"/>
  <c r="D21" i="185"/>
  <c r="C21" i="185"/>
  <c r="B12" i="185"/>
  <c r="B21" i="185" s="1"/>
  <c r="B64" i="184"/>
  <c r="B63" i="184"/>
  <c r="B62" i="184"/>
  <c r="B61" i="184"/>
  <c r="B60" i="184"/>
  <c r="B59" i="184"/>
  <c r="B58" i="184"/>
  <c r="B57" i="184"/>
  <c r="B56" i="184"/>
  <c r="B55" i="184"/>
  <c r="M65" i="184"/>
  <c r="L65" i="184"/>
  <c r="K65" i="184"/>
  <c r="J65" i="184"/>
  <c r="J11" i="184" s="1"/>
  <c r="I65" i="184"/>
  <c r="H65" i="184"/>
  <c r="G65" i="184"/>
  <c r="F65" i="184"/>
  <c r="E65" i="184"/>
  <c r="D65" i="184"/>
  <c r="D11" i="184" s="1"/>
  <c r="C65" i="184"/>
  <c r="B54" i="184"/>
  <c r="B51" i="184"/>
  <c r="B50" i="184"/>
  <c r="B49" i="184"/>
  <c r="B48" i="184"/>
  <c r="B47" i="184"/>
  <c r="B46" i="184"/>
  <c r="B45" i="184"/>
  <c r="B44" i="184"/>
  <c r="B43" i="184"/>
  <c r="B42" i="184"/>
  <c r="B41" i="184"/>
  <c r="B40" i="184"/>
  <c r="B39" i="184"/>
  <c r="B38" i="184"/>
  <c r="B37" i="184"/>
  <c r="B36" i="184"/>
  <c r="B35" i="184"/>
  <c r="M52" i="184"/>
  <c r="L52" i="184"/>
  <c r="K52" i="184"/>
  <c r="J52" i="184"/>
  <c r="I52" i="184"/>
  <c r="H52" i="184"/>
  <c r="G52" i="184"/>
  <c r="G10" i="184" s="1"/>
  <c r="F52" i="184"/>
  <c r="F10" i="184" s="1"/>
  <c r="E52" i="184"/>
  <c r="E10" i="184" s="1"/>
  <c r="D52" i="184"/>
  <c r="D10" i="184" s="1"/>
  <c r="C52" i="184"/>
  <c r="B34" i="184"/>
  <c r="B31" i="184"/>
  <c r="B30" i="184"/>
  <c r="B29" i="184"/>
  <c r="B28" i="184"/>
  <c r="B27" i="184"/>
  <c r="B26" i="184"/>
  <c r="M32" i="184"/>
  <c r="L32" i="184"/>
  <c r="K32" i="184"/>
  <c r="J32" i="184"/>
  <c r="I32" i="184"/>
  <c r="H32" i="184"/>
  <c r="G32" i="184"/>
  <c r="G6" i="184" s="1"/>
  <c r="F32" i="184"/>
  <c r="F6" i="184" s="1"/>
  <c r="E32" i="184"/>
  <c r="E6" i="184" s="1"/>
  <c r="D32" i="184"/>
  <c r="D6" i="184" s="1"/>
  <c r="C32" i="184"/>
  <c r="B25" i="184"/>
  <c r="B18" i="184"/>
  <c r="B17" i="184"/>
  <c r="B16" i="184"/>
  <c r="B15" i="184"/>
  <c r="M21" i="184"/>
  <c r="L21" i="184"/>
  <c r="I21" i="184"/>
  <c r="H21" i="184"/>
  <c r="G21" i="184"/>
  <c r="F21" i="184"/>
  <c r="E21" i="184"/>
  <c r="C21" i="184"/>
  <c r="B12" i="184"/>
  <c r="B21" i="184" s="1"/>
  <c r="B64" i="183"/>
  <c r="B63" i="183"/>
  <c r="B62" i="183"/>
  <c r="B61" i="183"/>
  <c r="B60" i="183"/>
  <c r="B59" i="183"/>
  <c r="B58" i="183"/>
  <c r="B57" i="183"/>
  <c r="B56" i="183"/>
  <c r="B55" i="183"/>
  <c r="M65" i="183"/>
  <c r="L65" i="183"/>
  <c r="K65" i="183"/>
  <c r="J65" i="183"/>
  <c r="I65" i="183"/>
  <c r="H65" i="183"/>
  <c r="G65" i="183"/>
  <c r="F65" i="183"/>
  <c r="E65" i="183"/>
  <c r="D65" i="183"/>
  <c r="C65" i="183"/>
  <c r="B54" i="183"/>
  <c r="B51" i="183"/>
  <c r="B50" i="183"/>
  <c r="B49" i="183"/>
  <c r="B48" i="183"/>
  <c r="B47" i="183"/>
  <c r="B46" i="183"/>
  <c r="B45" i="183"/>
  <c r="B44" i="183"/>
  <c r="B43" i="183"/>
  <c r="B42" i="183"/>
  <c r="B41" i="183"/>
  <c r="B40" i="183"/>
  <c r="B39" i="183"/>
  <c r="B38" i="183"/>
  <c r="B37" i="183"/>
  <c r="B36" i="183"/>
  <c r="B35" i="183"/>
  <c r="M52" i="183"/>
  <c r="L52" i="183"/>
  <c r="K52" i="183"/>
  <c r="J52" i="183"/>
  <c r="I52" i="183"/>
  <c r="H52" i="183"/>
  <c r="G52" i="183"/>
  <c r="F52" i="183"/>
  <c r="E52" i="183"/>
  <c r="D52" i="183"/>
  <c r="C52" i="183"/>
  <c r="B34" i="183"/>
  <c r="B31" i="183"/>
  <c r="B30" i="183"/>
  <c r="B29" i="183"/>
  <c r="B28" i="183"/>
  <c r="B27" i="183"/>
  <c r="B26" i="183"/>
  <c r="M32" i="183"/>
  <c r="L32" i="183"/>
  <c r="K32" i="183"/>
  <c r="J32" i="183"/>
  <c r="I32" i="183"/>
  <c r="H32" i="183"/>
  <c r="G32" i="183"/>
  <c r="F32" i="183"/>
  <c r="E32" i="183"/>
  <c r="D32" i="183"/>
  <c r="C32" i="183"/>
  <c r="B25" i="183"/>
  <c r="L11" i="196" l="1"/>
  <c r="M11" i="233"/>
  <c r="B65" i="193"/>
  <c r="B52" i="233"/>
  <c r="B11" i="197"/>
  <c r="M10" i="197" s="1"/>
  <c r="M7" i="197" s="1"/>
  <c r="M22" i="197" s="1"/>
  <c r="B32" i="233"/>
  <c r="B32" i="184"/>
  <c r="B6" i="184" s="1"/>
  <c r="B52" i="185"/>
  <c r="B32" i="186"/>
  <c r="B52" i="187"/>
  <c r="B52" i="188"/>
  <c r="B32" i="189"/>
  <c r="B52" i="192"/>
  <c r="B52" i="194"/>
  <c r="B65" i="233"/>
  <c r="B52" i="183"/>
  <c r="B65" i="189"/>
  <c r="B65" i="195"/>
  <c r="K11" i="196"/>
  <c r="L11" i="233"/>
  <c r="L23" i="233" s="1"/>
  <c r="B21" i="233"/>
  <c r="B65" i="194"/>
  <c r="B32" i="195"/>
  <c r="B65" i="183"/>
  <c r="G7" i="185"/>
  <c r="G8" i="185" s="1"/>
  <c r="B65" i="185"/>
  <c r="B65" i="187"/>
  <c r="B65" i="188"/>
  <c r="B52" i="190"/>
  <c r="B52" i="191"/>
  <c r="B65" i="192"/>
  <c r="B52" i="193"/>
  <c r="B11" i="198"/>
  <c r="B10" i="196"/>
  <c r="B65" i="184"/>
  <c r="B65" i="186"/>
  <c r="B32" i="190"/>
  <c r="B32" i="191"/>
  <c r="B32" i="193"/>
  <c r="B32" i="183"/>
  <c r="B52" i="184"/>
  <c r="B32" i="185"/>
  <c r="B52" i="186"/>
  <c r="B32" i="187"/>
  <c r="B32" i="188"/>
  <c r="B52" i="189"/>
  <c r="B65" i="190"/>
  <c r="B65" i="191"/>
  <c r="B32" i="192"/>
  <c r="B32" i="194"/>
  <c r="B52" i="195"/>
  <c r="D7" i="197"/>
  <c r="E7" i="197"/>
  <c r="F7" i="197"/>
  <c r="F8" i="197" s="1"/>
  <c r="G7" i="197"/>
  <c r="G22" i="197" s="1"/>
  <c r="G7" i="198"/>
  <c r="G8" i="198" s="1"/>
  <c r="F7" i="198"/>
  <c r="B21" i="190"/>
  <c r="I7" i="219"/>
  <c r="I22" i="219" s="1"/>
  <c r="M7" i="219"/>
  <c r="M22" i="219" s="1"/>
  <c r="L7" i="219"/>
  <c r="K7" i="219" s="1"/>
  <c r="J7" i="219" s="1"/>
  <c r="J22" i="219" s="1"/>
  <c r="G10" i="219"/>
  <c r="G10" i="233" s="1"/>
  <c r="H7" i="219"/>
  <c r="H22" i="219" s="1"/>
  <c r="L23" i="185"/>
  <c r="C11" i="186"/>
  <c r="K11" i="186"/>
  <c r="K23" i="186" s="1"/>
  <c r="L11" i="184"/>
  <c r="L23" i="184" s="1"/>
  <c r="K11" i="185"/>
  <c r="K23" i="185" s="1"/>
  <c r="L11" i="190"/>
  <c r="K11" i="190" s="1"/>
  <c r="K23" i="190" s="1"/>
  <c r="C11" i="184"/>
  <c r="C6" i="188"/>
  <c r="J11" i="186"/>
  <c r="J23" i="186" s="1"/>
  <c r="C6" i="184"/>
  <c r="L23" i="200"/>
  <c r="K23" i="200" s="1"/>
  <c r="M23" i="200"/>
  <c r="J23" i="200"/>
  <c r="J11" i="185"/>
  <c r="I11" i="185" s="1"/>
  <c r="I23" i="185" s="1"/>
  <c r="D22" i="198"/>
  <c r="F23" i="198"/>
  <c r="E23" i="198" s="1"/>
  <c r="D23" i="198" s="1"/>
  <c r="C23" i="198" s="1"/>
  <c r="B23" i="198" s="1"/>
  <c r="I11" i="184"/>
  <c r="H11" i="184" s="1"/>
  <c r="G11" i="184" s="1"/>
  <c r="F11" i="184" s="1"/>
  <c r="E11" i="184" s="1"/>
  <c r="E7" i="184" s="1"/>
  <c r="E8" i="184" s="1"/>
  <c r="F11" i="185"/>
  <c r="I11" i="186"/>
  <c r="I23" i="186" s="1"/>
  <c r="C10" i="184"/>
  <c r="D7" i="184"/>
  <c r="D22" i="184" s="1"/>
  <c r="L10" i="185"/>
  <c r="K11" i="194"/>
  <c r="J11" i="194" s="1"/>
  <c r="I11" i="194" s="1"/>
  <c r="I23" i="194" s="1"/>
  <c r="H23" i="194" s="1"/>
  <c r="L23" i="194"/>
  <c r="D8" i="184"/>
  <c r="K11" i="184"/>
  <c r="K23" i="184" s="1"/>
  <c r="J23" i="184" s="1"/>
  <c r="J21" i="184"/>
  <c r="L21" i="185"/>
  <c r="G11" i="190"/>
  <c r="G7" i="190" s="1"/>
  <c r="G8" i="190" s="1"/>
  <c r="K11" i="193"/>
  <c r="G11" i="194"/>
  <c r="F11" i="194" s="1"/>
  <c r="E11" i="194" s="1"/>
  <c r="D11" i="194" s="1"/>
  <c r="D7" i="194" s="1"/>
  <c r="D8" i="194" s="1"/>
  <c r="C10" i="185"/>
  <c r="C10" i="190"/>
  <c r="C10" i="191"/>
  <c r="C10" i="192"/>
  <c r="C10" i="193"/>
  <c r="C10" i="194"/>
  <c r="C10" i="195"/>
  <c r="L10" i="184"/>
  <c r="M10" i="186"/>
  <c r="H11" i="186"/>
  <c r="G11" i="186" s="1"/>
  <c r="F11" i="186" s="1"/>
  <c r="E11" i="186" s="1"/>
  <c r="E23" i="186" s="1"/>
  <c r="D23" i="186" s="1"/>
  <c r="C10" i="186"/>
  <c r="D7" i="186"/>
  <c r="D8" i="186" s="1"/>
  <c r="C10" i="187"/>
  <c r="C10" i="188"/>
  <c r="C10" i="189"/>
  <c r="C6" i="190"/>
  <c r="C6" i="191"/>
  <c r="C6" i="193"/>
  <c r="C6" i="194"/>
  <c r="C6" i="195"/>
  <c r="H11" i="185"/>
  <c r="C6" i="192"/>
  <c r="K21" i="184"/>
  <c r="C6" i="185"/>
  <c r="C6" i="186"/>
  <c r="C6" i="187"/>
  <c r="B6" i="188"/>
  <c r="C6" i="189"/>
  <c r="J11" i="190"/>
  <c r="I11" i="190" s="1"/>
  <c r="I23" i="190" s="1"/>
  <c r="H23" i="190" s="1"/>
  <c r="D21" i="184"/>
  <c r="C6" i="196"/>
  <c r="M6" i="196"/>
  <c r="H11" i="200"/>
  <c r="G11" i="200" s="1"/>
  <c r="I23" i="200"/>
  <c r="L10" i="196"/>
  <c r="B6" i="200"/>
  <c r="B6" i="197"/>
  <c r="E21" i="185"/>
  <c r="I21" i="185"/>
  <c r="L11" i="189"/>
  <c r="K11" i="189" s="1"/>
  <c r="J11" i="189" s="1"/>
  <c r="E21" i="190"/>
  <c r="I21" i="190"/>
  <c r="C21" i="191"/>
  <c r="K21" i="191"/>
  <c r="D21" i="192"/>
  <c r="L21" i="192"/>
  <c r="M11" i="194"/>
  <c r="M23" i="194" s="1"/>
  <c r="H21" i="195"/>
  <c r="L23" i="198"/>
  <c r="K23" i="198" s="1"/>
  <c r="J23" i="198" s="1"/>
  <c r="I23" i="198" s="1"/>
  <c r="H23" i="198" s="1"/>
  <c r="G23" i="198" s="1"/>
  <c r="M23" i="196"/>
  <c r="L23" i="196" s="1"/>
  <c r="M23" i="197"/>
  <c r="L23" i="197" s="1"/>
  <c r="K23" i="197" s="1"/>
  <c r="J23" i="197" s="1"/>
  <c r="L10" i="197"/>
  <c r="B10" i="200"/>
  <c r="B10" i="197"/>
  <c r="B7" i="197" s="1"/>
  <c r="M6" i="197" s="1"/>
  <c r="C7" i="197"/>
  <c r="C22" i="197" s="1"/>
  <c r="C21" i="186"/>
  <c r="G21" i="186"/>
  <c r="K21" i="186"/>
  <c r="C21" i="187"/>
  <c r="L11" i="188"/>
  <c r="K11" i="188" s="1"/>
  <c r="J11" i="188" s="1"/>
  <c r="I11" i="188" s="1"/>
  <c r="H11" i="188" s="1"/>
  <c r="G11" i="188" s="1"/>
  <c r="F11" i="188" s="1"/>
  <c r="E11" i="188" s="1"/>
  <c r="D11" i="188" s="1"/>
  <c r="C11" i="188" s="1"/>
  <c r="I21" i="189"/>
  <c r="M21" i="189"/>
  <c r="M11" i="191"/>
  <c r="L11" i="191" s="1"/>
  <c r="K11" i="191" s="1"/>
  <c r="J11" i="191" s="1"/>
  <c r="I11" i="191" s="1"/>
  <c r="H11" i="191" s="1"/>
  <c r="G11" i="191" s="1"/>
  <c r="F11" i="191" s="1"/>
  <c r="E11" i="191" s="1"/>
  <c r="D11" i="191" s="1"/>
  <c r="C11" i="191" s="1"/>
  <c r="B11" i="191" s="1"/>
  <c r="M10" i="191" s="1"/>
  <c r="J21" i="191"/>
  <c r="M11" i="193"/>
  <c r="M23" i="193" s="1"/>
  <c r="L23" i="193" s="1"/>
  <c r="F21" i="193"/>
  <c r="J21" i="193"/>
  <c r="I21" i="194"/>
  <c r="C21" i="195"/>
  <c r="K21" i="195"/>
  <c r="G23" i="197"/>
  <c r="F23" i="197" s="1"/>
  <c r="E23" i="197" s="1"/>
  <c r="D23" i="197" s="1"/>
  <c r="C23" i="197" s="1"/>
  <c r="B23" i="197" s="1"/>
  <c r="B6" i="198"/>
  <c r="M11" i="186"/>
  <c r="M23" i="186" s="1"/>
  <c r="L23" i="186" s="1"/>
  <c r="L11" i="187"/>
  <c r="K11" i="187" s="1"/>
  <c r="J11" i="187" s="1"/>
  <c r="F21" i="187"/>
  <c r="L21" i="189"/>
  <c r="M23" i="190"/>
  <c r="E21" i="191"/>
  <c r="M11" i="192"/>
  <c r="L11" i="192" s="1"/>
  <c r="I21" i="193"/>
  <c r="L21" i="194"/>
  <c r="M11" i="195"/>
  <c r="L11" i="195" s="1"/>
  <c r="K11" i="195" s="1"/>
  <c r="J11" i="195" s="1"/>
  <c r="I11" i="195" s="1"/>
  <c r="H11" i="195" s="1"/>
  <c r="G11" i="195" s="1"/>
  <c r="F11" i="195" s="1"/>
  <c r="F7" i="195" s="1"/>
  <c r="F8" i="195" s="1"/>
  <c r="K6" i="219"/>
  <c r="L8" i="219"/>
  <c r="B10" i="198"/>
  <c r="B7" i="198" s="1"/>
  <c r="M6" i="198" s="1"/>
  <c r="C7" i="198"/>
  <c r="C22" i="198" s="1"/>
  <c r="L10" i="198"/>
  <c r="M7" i="198"/>
  <c r="M22" i="198" s="1"/>
  <c r="M11" i="185"/>
  <c r="M23" i="185" s="1"/>
  <c r="M21" i="187"/>
  <c r="H21" i="188"/>
  <c r="D21" i="191"/>
  <c r="H21" i="193"/>
  <c r="I23" i="197"/>
  <c r="H23" i="197" s="1"/>
  <c r="B18" i="183"/>
  <c r="B17" i="183"/>
  <c r="B16" i="183"/>
  <c r="B15" i="183"/>
  <c r="K21" i="183"/>
  <c r="J21" i="183"/>
  <c r="I21" i="183"/>
  <c r="G21" i="183"/>
  <c r="E21" i="183"/>
  <c r="D21" i="183"/>
  <c r="B12" i="183"/>
  <c r="M11" i="183" s="1"/>
  <c r="L11" i="183" s="1"/>
  <c r="K11" i="183" s="1"/>
  <c r="J11" i="183" s="1"/>
  <c r="I11" i="183" s="1"/>
  <c r="H11" i="183" s="1"/>
  <c r="G11" i="183" s="1"/>
  <c r="F11" i="183" s="1"/>
  <c r="E11" i="183"/>
  <c r="D11" i="183" s="1"/>
  <c r="C11" i="183" s="1"/>
  <c r="G10" i="183"/>
  <c r="F10" i="183"/>
  <c r="E10" i="183"/>
  <c r="D10" i="183"/>
  <c r="C10" i="183" s="1"/>
  <c r="G6" i="183"/>
  <c r="F6" i="183"/>
  <c r="E6" i="183"/>
  <c r="D6" i="183"/>
  <c r="C6" i="183" s="1"/>
  <c r="B64" i="182"/>
  <c r="B63" i="182"/>
  <c r="B62" i="182"/>
  <c r="B61" i="182"/>
  <c r="B60" i="182"/>
  <c r="B59" i="182"/>
  <c r="B58" i="182"/>
  <c r="B57" i="182"/>
  <c r="B56" i="182"/>
  <c r="B55" i="182"/>
  <c r="L65" i="182"/>
  <c r="K65" i="182"/>
  <c r="J65" i="182"/>
  <c r="I65" i="182"/>
  <c r="H65" i="182"/>
  <c r="G65" i="182"/>
  <c r="F65" i="182"/>
  <c r="E65" i="182"/>
  <c r="D65" i="182"/>
  <c r="C65" i="182"/>
  <c r="B54" i="182"/>
  <c r="B51" i="182"/>
  <c r="B50" i="182"/>
  <c r="B49" i="182"/>
  <c r="B48" i="182"/>
  <c r="B47" i="182"/>
  <c r="B46" i="182"/>
  <c r="B45" i="182"/>
  <c r="B44" i="182"/>
  <c r="B43" i="182"/>
  <c r="B42" i="182"/>
  <c r="B41" i="182"/>
  <c r="B40" i="182"/>
  <c r="B39" i="182"/>
  <c r="B38" i="182"/>
  <c r="B37" i="182"/>
  <c r="B36" i="182"/>
  <c r="B35" i="182"/>
  <c r="M52" i="182"/>
  <c r="L52" i="182"/>
  <c r="K52" i="182"/>
  <c r="J52" i="182"/>
  <c r="I52" i="182"/>
  <c r="H52" i="182"/>
  <c r="G52" i="182"/>
  <c r="G10" i="182" s="1"/>
  <c r="F52" i="182"/>
  <c r="F10" i="182" s="1"/>
  <c r="E52" i="182"/>
  <c r="E10" i="182" s="1"/>
  <c r="D52" i="182"/>
  <c r="D10" i="182" s="1"/>
  <c r="C52" i="182"/>
  <c r="B34" i="182"/>
  <c r="B31" i="182"/>
  <c r="B30" i="182"/>
  <c r="B29" i="182"/>
  <c r="B28" i="182"/>
  <c r="B27" i="182"/>
  <c r="B26" i="182"/>
  <c r="M32" i="182"/>
  <c r="L32" i="182"/>
  <c r="K32" i="182"/>
  <c r="J32" i="182"/>
  <c r="I32" i="182"/>
  <c r="H32" i="182"/>
  <c r="G32" i="182"/>
  <c r="G6" i="182" s="1"/>
  <c r="F32" i="182"/>
  <c r="F6" i="182" s="1"/>
  <c r="E32" i="182"/>
  <c r="E6" i="182" s="1"/>
  <c r="D32" i="182"/>
  <c r="D6" i="182" s="1"/>
  <c r="C32" i="182"/>
  <c r="B25" i="182"/>
  <c r="B18" i="182"/>
  <c r="B17" i="182"/>
  <c r="B16" i="182"/>
  <c r="B15" i="182"/>
  <c r="M21" i="182"/>
  <c r="L21" i="182"/>
  <c r="J21" i="182"/>
  <c r="G21" i="182"/>
  <c r="F21" i="182"/>
  <c r="D21" i="182"/>
  <c r="B12" i="182"/>
  <c r="B21" i="182" s="1"/>
  <c r="B64" i="181"/>
  <c r="B63" i="181"/>
  <c r="B62" i="181"/>
  <c r="B61" i="181"/>
  <c r="B60" i="181"/>
  <c r="B59" i="181"/>
  <c r="B58" i="181"/>
  <c r="B57" i="181"/>
  <c r="B56" i="181"/>
  <c r="B55" i="181"/>
  <c r="M65" i="181"/>
  <c r="L65" i="181"/>
  <c r="L11" i="181" s="1"/>
  <c r="K65" i="181"/>
  <c r="J65" i="181"/>
  <c r="I65" i="181"/>
  <c r="H65" i="181"/>
  <c r="G65" i="181"/>
  <c r="F65" i="181"/>
  <c r="E65" i="181"/>
  <c r="D65" i="181"/>
  <c r="C65" i="181"/>
  <c r="B54" i="181"/>
  <c r="B51" i="181"/>
  <c r="B50" i="181"/>
  <c r="B49" i="181"/>
  <c r="B48" i="181"/>
  <c r="B47" i="181"/>
  <c r="B46" i="181"/>
  <c r="B45" i="181"/>
  <c r="B44" i="181"/>
  <c r="B43" i="181"/>
  <c r="B42" i="181"/>
  <c r="B41" i="181"/>
  <c r="B40" i="181"/>
  <c r="B39" i="181"/>
  <c r="B38" i="181"/>
  <c r="B37" i="181"/>
  <c r="B36" i="181"/>
  <c r="B35" i="181"/>
  <c r="M52" i="181"/>
  <c r="L52" i="181"/>
  <c r="K52" i="181"/>
  <c r="J52" i="181"/>
  <c r="I52" i="181"/>
  <c r="H52" i="181"/>
  <c r="G52" i="181"/>
  <c r="G10" i="181" s="1"/>
  <c r="F52" i="181"/>
  <c r="F10" i="181" s="1"/>
  <c r="E52" i="181"/>
  <c r="E10" i="181" s="1"/>
  <c r="D52" i="181"/>
  <c r="D10" i="181" s="1"/>
  <c r="C52" i="181"/>
  <c r="B34" i="181"/>
  <c r="B31" i="181"/>
  <c r="B30" i="181"/>
  <c r="B29" i="181"/>
  <c r="B28" i="181"/>
  <c r="B27" i="181"/>
  <c r="B26" i="181"/>
  <c r="M32" i="181"/>
  <c r="L32" i="181"/>
  <c r="K32" i="181"/>
  <c r="J32" i="181"/>
  <c r="I32" i="181"/>
  <c r="H32" i="181"/>
  <c r="G32" i="181"/>
  <c r="G6" i="181" s="1"/>
  <c r="F32" i="181"/>
  <c r="F6" i="181" s="1"/>
  <c r="E32" i="181"/>
  <c r="E6" i="181" s="1"/>
  <c r="D32" i="181"/>
  <c r="D6" i="181" s="1"/>
  <c r="C32" i="181"/>
  <c r="B25" i="181"/>
  <c r="B18" i="181"/>
  <c r="B17" i="181"/>
  <c r="B16" i="181"/>
  <c r="B15" i="181"/>
  <c r="M21" i="181"/>
  <c r="L21" i="181"/>
  <c r="K21" i="181"/>
  <c r="H21" i="181"/>
  <c r="G21" i="181"/>
  <c r="F21" i="181"/>
  <c r="B12" i="181"/>
  <c r="B21" i="181" s="1"/>
  <c r="B64" i="180"/>
  <c r="B63" i="180"/>
  <c r="B62" i="180"/>
  <c r="B61" i="180"/>
  <c r="B60" i="180"/>
  <c r="B59" i="180"/>
  <c r="B58" i="180"/>
  <c r="B57" i="180"/>
  <c r="B56" i="180"/>
  <c r="B55" i="180"/>
  <c r="M65" i="180"/>
  <c r="L65" i="180"/>
  <c r="K65" i="180"/>
  <c r="K11" i="180" s="1"/>
  <c r="J65" i="180"/>
  <c r="J11" i="180" s="1"/>
  <c r="I65" i="180"/>
  <c r="H65" i="180"/>
  <c r="G65" i="180"/>
  <c r="F65" i="180"/>
  <c r="E65" i="180"/>
  <c r="D65" i="180"/>
  <c r="C65" i="180"/>
  <c r="B54" i="180"/>
  <c r="B51" i="180"/>
  <c r="B50" i="180"/>
  <c r="B49" i="180"/>
  <c r="B48" i="180"/>
  <c r="B47" i="180"/>
  <c r="B46" i="180"/>
  <c r="B45" i="180"/>
  <c r="B44" i="180"/>
  <c r="B43" i="180"/>
  <c r="B42" i="180"/>
  <c r="B41" i="180"/>
  <c r="B40" i="180"/>
  <c r="B39" i="180"/>
  <c r="B38" i="180"/>
  <c r="B37" i="180"/>
  <c r="B36" i="180"/>
  <c r="B35" i="180"/>
  <c r="M52" i="180"/>
  <c r="L52" i="180"/>
  <c r="K52" i="180"/>
  <c r="J52" i="180"/>
  <c r="I52" i="180"/>
  <c r="H52" i="180"/>
  <c r="G52" i="180"/>
  <c r="G10" i="180" s="1"/>
  <c r="F52" i="180"/>
  <c r="F10" i="180" s="1"/>
  <c r="E52" i="180"/>
  <c r="E10" i="180" s="1"/>
  <c r="D52" i="180"/>
  <c r="D10" i="180" s="1"/>
  <c r="C52" i="180"/>
  <c r="B34" i="180"/>
  <c r="B31" i="180"/>
  <c r="B30" i="180"/>
  <c r="B29" i="180"/>
  <c r="B28" i="180"/>
  <c r="B27" i="180"/>
  <c r="B26" i="180"/>
  <c r="M32" i="180"/>
  <c r="L32" i="180"/>
  <c r="K32" i="180"/>
  <c r="J32" i="180"/>
  <c r="I32" i="180"/>
  <c r="H32" i="180"/>
  <c r="G32" i="180"/>
  <c r="G6" i="180" s="1"/>
  <c r="F32" i="180"/>
  <c r="F6" i="180" s="1"/>
  <c r="E32" i="180"/>
  <c r="E6" i="180" s="1"/>
  <c r="D32" i="180"/>
  <c r="D6" i="180" s="1"/>
  <c r="C32" i="180"/>
  <c r="B25" i="180"/>
  <c r="B18" i="180"/>
  <c r="B17" i="180"/>
  <c r="B16" i="180"/>
  <c r="B15" i="180"/>
  <c r="M21" i="180"/>
  <c r="L21" i="180"/>
  <c r="I21" i="180"/>
  <c r="H21" i="180"/>
  <c r="G21" i="180"/>
  <c r="F21" i="180"/>
  <c r="E21" i="180"/>
  <c r="B12" i="180"/>
  <c r="B21" i="180" s="1"/>
  <c r="B64" i="179"/>
  <c r="B63" i="179"/>
  <c r="B62" i="179"/>
  <c r="B61" i="179"/>
  <c r="B60" i="179"/>
  <c r="B59" i="179"/>
  <c r="B58" i="179"/>
  <c r="B57" i="179"/>
  <c r="B56" i="179"/>
  <c r="B55" i="179"/>
  <c r="M65" i="179"/>
  <c r="L65" i="179"/>
  <c r="K65" i="179"/>
  <c r="J65" i="179"/>
  <c r="I65" i="179"/>
  <c r="H65" i="179"/>
  <c r="G65" i="179"/>
  <c r="F65" i="179"/>
  <c r="E65" i="179"/>
  <c r="D65" i="179"/>
  <c r="C65" i="179"/>
  <c r="B54" i="179"/>
  <c r="B51" i="179"/>
  <c r="B50" i="179"/>
  <c r="B49" i="179"/>
  <c r="B48" i="179"/>
  <c r="B47" i="179"/>
  <c r="B46" i="179"/>
  <c r="B45" i="179"/>
  <c r="B44" i="179"/>
  <c r="B43" i="179"/>
  <c r="B42" i="179"/>
  <c r="B41" i="179"/>
  <c r="B40" i="179"/>
  <c r="B39" i="179"/>
  <c r="B38" i="179"/>
  <c r="B37" i="179"/>
  <c r="B36" i="179"/>
  <c r="B35" i="179"/>
  <c r="M52" i="179"/>
  <c r="L52" i="179"/>
  <c r="K52" i="179"/>
  <c r="J52" i="179"/>
  <c r="I52" i="179"/>
  <c r="H52" i="179"/>
  <c r="G52" i="179"/>
  <c r="G10" i="179" s="1"/>
  <c r="F52" i="179"/>
  <c r="F10" i="179" s="1"/>
  <c r="E52" i="179"/>
  <c r="E10" i="179" s="1"/>
  <c r="D52" i="179"/>
  <c r="D10" i="179" s="1"/>
  <c r="C52" i="179"/>
  <c r="B34" i="179"/>
  <c r="B31" i="179"/>
  <c r="B30" i="179"/>
  <c r="B29" i="179"/>
  <c r="B28" i="179"/>
  <c r="B27" i="179"/>
  <c r="B26" i="179"/>
  <c r="M32" i="179"/>
  <c r="L32" i="179"/>
  <c r="K32" i="179"/>
  <c r="J32" i="179"/>
  <c r="I32" i="179"/>
  <c r="H32" i="179"/>
  <c r="G32" i="179"/>
  <c r="G6" i="179" s="1"/>
  <c r="F32" i="179"/>
  <c r="F6" i="179" s="1"/>
  <c r="E32" i="179"/>
  <c r="E6" i="179" s="1"/>
  <c r="D32" i="179"/>
  <c r="D6" i="179" s="1"/>
  <c r="C32" i="179"/>
  <c r="B25" i="179"/>
  <c r="B18" i="179"/>
  <c r="B17" i="179"/>
  <c r="B16" i="179"/>
  <c r="B15" i="179"/>
  <c r="M21" i="179"/>
  <c r="L21" i="179"/>
  <c r="K21" i="179"/>
  <c r="J21" i="179"/>
  <c r="H21" i="179"/>
  <c r="G21" i="179"/>
  <c r="F21" i="179"/>
  <c r="E21" i="179"/>
  <c r="D21" i="179"/>
  <c r="C21" i="179"/>
  <c r="B12" i="179"/>
  <c r="B21" i="179" s="1"/>
  <c r="B64" i="178"/>
  <c r="B63" i="178"/>
  <c r="B62" i="178"/>
  <c r="B61" i="178"/>
  <c r="B60" i="178"/>
  <c r="B59" i="178"/>
  <c r="B58" i="178"/>
  <c r="B57" i="178"/>
  <c r="B56" i="178"/>
  <c r="B55" i="178"/>
  <c r="M65" i="178"/>
  <c r="M11" i="178" s="1"/>
  <c r="L65" i="178"/>
  <c r="K65" i="178"/>
  <c r="J65" i="178"/>
  <c r="I65" i="178"/>
  <c r="I11" i="178" s="1"/>
  <c r="H65" i="178"/>
  <c r="G65" i="178"/>
  <c r="F65" i="178"/>
  <c r="E65" i="178"/>
  <c r="D65" i="178"/>
  <c r="C65" i="178"/>
  <c r="B54" i="178"/>
  <c r="B51" i="178"/>
  <c r="B50" i="178"/>
  <c r="B49" i="178"/>
  <c r="B48" i="178"/>
  <c r="B47" i="178"/>
  <c r="B46" i="178"/>
  <c r="B45" i="178"/>
  <c r="B44" i="178"/>
  <c r="B43" i="178"/>
  <c r="B42" i="178"/>
  <c r="B41" i="178"/>
  <c r="B40" i="178"/>
  <c r="B39" i="178"/>
  <c r="B38" i="178"/>
  <c r="B37" i="178"/>
  <c r="B36" i="178"/>
  <c r="B35" i="178"/>
  <c r="M52" i="178"/>
  <c r="L52" i="178"/>
  <c r="K52" i="178"/>
  <c r="J52" i="178"/>
  <c r="I52" i="178"/>
  <c r="H52" i="178"/>
  <c r="G52" i="178"/>
  <c r="G10" i="178" s="1"/>
  <c r="F52" i="178"/>
  <c r="F10" i="178" s="1"/>
  <c r="E52" i="178"/>
  <c r="E10" i="178" s="1"/>
  <c r="D52" i="178"/>
  <c r="D10" i="178" s="1"/>
  <c r="C52" i="178"/>
  <c r="B34" i="178"/>
  <c r="B31" i="178"/>
  <c r="B30" i="178"/>
  <c r="B29" i="178"/>
  <c r="B28" i="178"/>
  <c r="B27" i="178"/>
  <c r="B26" i="178"/>
  <c r="M32" i="178"/>
  <c r="L32" i="178"/>
  <c r="K32" i="178"/>
  <c r="J32" i="178"/>
  <c r="I32" i="178"/>
  <c r="H32" i="178"/>
  <c r="G32" i="178"/>
  <c r="G6" i="178" s="1"/>
  <c r="F32" i="178"/>
  <c r="F6" i="178" s="1"/>
  <c r="E32" i="178"/>
  <c r="E6" i="178" s="1"/>
  <c r="D32" i="178"/>
  <c r="D6" i="178" s="1"/>
  <c r="C32" i="178"/>
  <c r="B25" i="178"/>
  <c r="B18" i="178"/>
  <c r="B17" i="178"/>
  <c r="B16" i="178"/>
  <c r="B15" i="178"/>
  <c r="M21" i="178"/>
  <c r="L21" i="178"/>
  <c r="B12" i="178"/>
  <c r="B21" i="178" s="1"/>
  <c r="B64" i="141"/>
  <c r="B63" i="141"/>
  <c r="B62" i="141"/>
  <c r="B61" i="141"/>
  <c r="B60" i="141"/>
  <c r="B59" i="141"/>
  <c r="B58" i="141"/>
  <c r="B57" i="141"/>
  <c r="B56" i="141"/>
  <c r="B55" i="141"/>
  <c r="M65" i="141"/>
  <c r="L65" i="141"/>
  <c r="L11" i="141" s="1"/>
  <c r="K65" i="141"/>
  <c r="J65" i="141"/>
  <c r="I65" i="141"/>
  <c r="H65" i="141"/>
  <c r="H11" i="141" s="1"/>
  <c r="G65" i="141"/>
  <c r="F65" i="141"/>
  <c r="E65" i="141"/>
  <c r="D65" i="141"/>
  <c r="C65" i="141"/>
  <c r="B54" i="141"/>
  <c r="B51" i="141"/>
  <c r="B50" i="141"/>
  <c r="B49" i="141"/>
  <c r="B48" i="141"/>
  <c r="B47" i="141"/>
  <c r="B46" i="141"/>
  <c r="B45" i="141"/>
  <c r="B44" i="141"/>
  <c r="B43" i="141"/>
  <c r="B42" i="141"/>
  <c r="B41" i="141"/>
  <c r="B40" i="141"/>
  <c r="B39" i="141"/>
  <c r="B38" i="141"/>
  <c r="B37" i="141"/>
  <c r="B36" i="141"/>
  <c r="B35" i="141"/>
  <c r="M52" i="141"/>
  <c r="L52" i="141"/>
  <c r="K52" i="141"/>
  <c r="J52" i="141"/>
  <c r="I52" i="141"/>
  <c r="H52" i="141"/>
  <c r="G52" i="141"/>
  <c r="G10" i="141" s="1"/>
  <c r="F52" i="141"/>
  <c r="F10" i="141" s="1"/>
  <c r="E52" i="141"/>
  <c r="E10" i="141" s="1"/>
  <c r="D52" i="141"/>
  <c r="D10" i="141" s="1"/>
  <c r="C52" i="141"/>
  <c r="B34" i="141"/>
  <c r="B31" i="141"/>
  <c r="B30" i="141"/>
  <c r="B29" i="141"/>
  <c r="B28" i="141"/>
  <c r="B27" i="141"/>
  <c r="B26" i="141"/>
  <c r="M32" i="141"/>
  <c r="L32" i="141"/>
  <c r="K32" i="141"/>
  <c r="J32" i="141"/>
  <c r="I32" i="141"/>
  <c r="H32" i="141"/>
  <c r="G32" i="141"/>
  <c r="G6" i="141" s="1"/>
  <c r="F32" i="141"/>
  <c r="F6" i="141" s="1"/>
  <c r="E32" i="141"/>
  <c r="E6" i="141" s="1"/>
  <c r="D32" i="141"/>
  <c r="D6" i="141" s="1"/>
  <c r="C32" i="141"/>
  <c r="B25" i="141"/>
  <c r="B18" i="141"/>
  <c r="B17" i="141"/>
  <c r="B16" i="141"/>
  <c r="B15" i="141"/>
  <c r="M21" i="141"/>
  <c r="L21" i="141"/>
  <c r="K21" i="141"/>
  <c r="G21" i="141"/>
  <c r="E21" i="141"/>
  <c r="C21" i="141"/>
  <c r="B12" i="141"/>
  <c r="B64" i="123"/>
  <c r="B63" i="123"/>
  <c r="B62" i="123"/>
  <c r="B61" i="123"/>
  <c r="B60" i="123"/>
  <c r="B59" i="123"/>
  <c r="B58" i="123"/>
  <c r="B57" i="123"/>
  <c r="B56" i="123"/>
  <c r="B55" i="123"/>
  <c r="M65" i="123"/>
  <c r="L65" i="123"/>
  <c r="K65" i="123"/>
  <c r="J65" i="123"/>
  <c r="I65" i="123"/>
  <c r="H65" i="123"/>
  <c r="G65" i="123"/>
  <c r="F65" i="123"/>
  <c r="F11" i="123" s="1"/>
  <c r="E65" i="123"/>
  <c r="D65" i="123"/>
  <c r="C65" i="123"/>
  <c r="B54" i="123"/>
  <c r="B51" i="123"/>
  <c r="B50" i="123"/>
  <c r="B49" i="123"/>
  <c r="B48" i="123"/>
  <c r="B47" i="123"/>
  <c r="B46" i="123"/>
  <c r="B45" i="123"/>
  <c r="B44" i="123"/>
  <c r="B43" i="123"/>
  <c r="B42" i="123"/>
  <c r="B41" i="123"/>
  <c r="B40" i="123"/>
  <c r="B39" i="123"/>
  <c r="B38" i="123"/>
  <c r="B37" i="123"/>
  <c r="B36" i="123"/>
  <c r="B35" i="123"/>
  <c r="L52" i="123"/>
  <c r="K52" i="123"/>
  <c r="J52" i="123"/>
  <c r="I52" i="123"/>
  <c r="H52" i="123"/>
  <c r="G52" i="123"/>
  <c r="G10" i="123" s="1"/>
  <c r="F52" i="123"/>
  <c r="F10" i="123" s="1"/>
  <c r="E52" i="123"/>
  <c r="E10" i="123" s="1"/>
  <c r="D52" i="123"/>
  <c r="D10" i="123" s="1"/>
  <c r="C52" i="123"/>
  <c r="B34" i="123"/>
  <c r="B31" i="123"/>
  <c r="B30" i="123"/>
  <c r="B29" i="123"/>
  <c r="B28" i="123"/>
  <c r="B27" i="123"/>
  <c r="B26" i="123"/>
  <c r="M32" i="123"/>
  <c r="L32" i="123"/>
  <c r="K32" i="123"/>
  <c r="J32" i="123"/>
  <c r="I32" i="123"/>
  <c r="H32" i="123"/>
  <c r="G32" i="123"/>
  <c r="G6" i="123" s="1"/>
  <c r="F32" i="123"/>
  <c r="F6" i="123" s="1"/>
  <c r="E32" i="123"/>
  <c r="E6" i="123" s="1"/>
  <c r="D32" i="123"/>
  <c r="D6" i="123" s="1"/>
  <c r="C32" i="123"/>
  <c r="B25" i="123"/>
  <c r="B18" i="123"/>
  <c r="B17" i="123"/>
  <c r="B16" i="123"/>
  <c r="B15" i="123"/>
  <c r="M21" i="123"/>
  <c r="K21" i="123"/>
  <c r="H21" i="123"/>
  <c r="G21" i="123"/>
  <c r="F21" i="123"/>
  <c r="E21" i="123"/>
  <c r="B12" i="123"/>
  <c r="B21" i="123" s="1"/>
  <c r="B64" i="86"/>
  <c r="B63" i="86"/>
  <c r="B62" i="86"/>
  <c r="B61" i="86"/>
  <c r="B60" i="86"/>
  <c r="B59" i="86"/>
  <c r="B58" i="86"/>
  <c r="B57" i="86"/>
  <c r="B56" i="86"/>
  <c r="B55" i="86"/>
  <c r="M65" i="86"/>
  <c r="L65" i="86"/>
  <c r="K65" i="86"/>
  <c r="J65" i="86"/>
  <c r="I65" i="86"/>
  <c r="H65" i="86"/>
  <c r="G65" i="86"/>
  <c r="F65" i="86"/>
  <c r="E65" i="86"/>
  <c r="D65" i="86"/>
  <c r="C65" i="86"/>
  <c r="B54" i="86"/>
  <c r="B51" i="86"/>
  <c r="B50" i="86"/>
  <c r="B49" i="86"/>
  <c r="B48" i="86"/>
  <c r="B47" i="86"/>
  <c r="B46" i="86"/>
  <c r="B45" i="86"/>
  <c r="B44" i="86"/>
  <c r="B43" i="86"/>
  <c r="B42" i="86"/>
  <c r="B41" i="86"/>
  <c r="B40" i="86"/>
  <c r="B39" i="86"/>
  <c r="B38" i="86"/>
  <c r="B37" i="86"/>
  <c r="B36" i="86"/>
  <c r="B35" i="86"/>
  <c r="M52" i="86"/>
  <c r="L52" i="86"/>
  <c r="K52" i="86"/>
  <c r="J52" i="86"/>
  <c r="I52" i="86"/>
  <c r="H52" i="86"/>
  <c r="G52" i="86"/>
  <c r="G10" i="86" s="1"/>
  <c r="F52" i="86"/>
  <c r="F10" i="86" s="1"/>
  <c r="E52" i="86"/>
  <c r="E10" i="86" s="1"/>
  <c r="D52" i="86"/>
  <c r="D10" i="86" s="1"/>
  <c r="C52" i="86"/>
  <c r="B34" i="86"/>
  <c r="B31" i="86"/>
  <c r="B30" i="86"/>
  <c r="B29" i="86"/>
  <c r="B28" i="86"/>
  <c r="B27" i="86"/>
  <c r="B26" i="86"/>
  <c r="M32" i="86"/>
  <c r="L32" i="86"/>
  <c r="K32" i="86"/>
  <c r="J32" i="86"/>
  <c r="I32" i="86"/>
  <c r="H32" i="86"/>
  <c r="G32" i="86"/>
  <c r="G6" i="86" s="1"/>
  <c r="F32" i="86"/>
  <c r="F6" i="86" s="1"/>
  <c r="E32" i="86"/>
  <c r="E6" i="86" s="1"/>
  <c r="D32" i="86"/>
  <c r="D6" i="86" s="1"/>
  <c r="C32" i="86"/>
  <c r="B25" i="86"/>
  <c r="B18" i="86"/>
  <c r="B17" i="86"/>
  <c r="B16" i="86"/>
  <c r="B15" i="86"/>
  <c r="L21" i="86"/>
  <c r="I21" i="86"/>
  <c r="H21" i="86"/>
  <c r="G21" i="86"/>
  <c r="F21" i="86"/>
  <c r="D21" i="86"/>
  <c r="C21" i="86"/>
  <c r="B12" i="86"/>
  <c r="B21" i="86" s="1"/>
  <c r="B64" i="133"/>
  <c r="B63" i="133"/>
  <c r="B62" i="133"/>
  <c r="B61" i="133"/>
  <c r="B60" i="133"/>
  <c r="B59" i="133"/>
  <c r="B58" i="133"/>
  <c r="B57" i="133"/>
  <c r="B56" i="133"/>
  <c r="B55" i="133"/>
  <c r="M11" i="133"/>
  <c r="L65" i="133"/>
  <c r="K65" i="133"/>
  <c r="J65" i="133"/>
  <c r="I65" i="133"/>
  <c r="H65" i="133"/>
  <c r="G65" i="133"/>
  <c r="F65" i="133"/>
  <c r="E65" i="133"/>
  <c r="D65" i="133"/>
  <c r="C65" i="133"/>
  <c r="B54" i="133"/>
  <c r="B51" i="133"/>
  <c r="B50" i="133"/>
  <c r="B49" i="133"/>
  <c r="B48" i="133"/>
  <c r="B47" i="133"/>
  <c r="B46" i="133"/>
  <c r="B45" i="133"/>
  <c r="B44" i="133"/>
  <c r="B43" i="133"/>
  <c r="B42" i="133"/>
  <c r="B41" i="133"/>
  <c r="B40" i="133"/>
  <c r="B39" i="133"/>
  <c r="B38" i="133"/>
  <c r="B37" i="133"/>
  <c r="B36" i="133"/>
  <c r="B35" i="133"/>
  <c r="M52" i="133"/>
  <c r="L52" i="133"/>
  <c r="K52" i="133"/>
  <c r="J52" i="133"/>
  <c r="I52" i="133"/>
  <c r="H52" i="133"/>
  <c r="G52" i="133"/>
  <c r="G10" i="133" s="1"/>
  <c r="F52" i="133"/>
  <c r="F10" i="133" s="1"/>
  <c r="E52" i="133"/>
  <c r="E10" i="133" s="1"/>
  <c r="D52" i="133"/>
  <c r="D10" i="133" s="1"/>
  <c r="C52" i="133"/>
  <c r="B34" i="133"/>
  <c r="B31" i="133"/>
  <c r="B30" i="133"/>
  <c r="B29" i="133"/>
  <c r="B28" i="133"/>
  <c r="B27" i="133"/>
  <c r="B26" i="133"/>
  <c r="M32" i="133"/>
  <c r="L32" i="133"/>
  <c r="K32" i="133"/>
  <c r="J32" i="133"/>
  <c r="I32" i="133"/>
  <c r="H32" i="133"/>
  <c r="G32" i="133"/>
  <c r="G6" i="133" s="1"/>
  <c r="F32" i="133"/>
  <c r="F6" i="133" s="1"/>
  <c r="E32" i="133"/>
  <c r="E6" i="133" s="1"/>
  <c r="D32" i="133"/>
  <c r="D6" i="133" s="1"/>
  <c r="C32" i="133"/>
  <c r="B25" i="133"/>
  <c r="B18" i="133"/>
  <c r="B17" i="133"/>
  <c r="B16" i="133"/>
  <c r="B15" i="133"/>
  <c r="M21" i="133"/>
  <c r="I21" i="133"/>
  <c r="G21" i="133"/>
  <c r="F21" i="133"/>
  <c r="B12" i="133"/>
  <c r="B21" i="133" s="1"/>
  <c r="B64" i="122"/>
  <c r="B63" i="122"/>
  <c r="B62" i="122"/>
  <c r="B61" i="122"/>
  <c r="B60" i="122"/>
  <c r="B59" i="122"/>
  <c r="B58" i="122"/>
  <c r="B57" i="122"/>
  <c r="B56" i="122"/>
  <c r="B55" i="122"/>
  <c r="M65" i="122"/>
  <c r="L65" i="122"/>
  <c r="L11" i="122" s="1"/>
  <c r="K65" i="122"/>
  <c r="K11" i="122" s="1"/>
  <c r="J65" i="122"/>
  <c r="I65" i="122"/>
  <c r="H65" i="122"/>
  <c r="G65" i="122"/>
  <c r="F65" i="122"/>
  <c r="E65" i="122"/>
  <c r="D65" i="122"/>
  <c r="D11" i="122" s="1"/>
  <c r="C65" i="122"/>
  <c r="B54" i="122"/>
  <c r="B51" i="122"/>
  <c r="B50" i="122"/>
  <c r="B49" i="122"/>
  <c r="B48" i="122"/>
  <c r="B47" i="122"/>
  <c r="B46" i="122"/>
  <c r="B45" i="122"/>
  <c r="B44" i="122"/>
  <c r="B43" i="122"/>
  <c r="B42" i="122"/>
  <c r="B41" i="122"/>
  <c r="B40" i="122"/>
  <c r="B39" i="122"/>
  <c r="B38" i="122"/>
  <c r="B37" i="122"/>
  <c r="B36" i="122"/>
  <c r="B35" i="122"/>
  <c r="M52" i="122"/>
  <c r="L52" i="122"/>
  <c r="K52" i="122"/>
  <c r="J52" i="122"/>
  <c r="I52" i="122"/>
  <c r="H52" i="122"/>
  <c r="G52" i="122"/>
  <c r="G10" i="122" s="1"/>
  <c r="F52" i="122"/>
  <c r="F10" i="122" s="1"/>
  <c r="E52" i="122"/>
  <c r="E10" i="122" s="1"/>
  <c r="D52" i="122"/>
  <c r="D10" i="122" s="1"/>
  <c r="C52" i="122"/>
  <c r="B34" i="122"/>
  <c r="B31" i="122"/>
  <c r="B30" i="122"/>
  <c r="B29" i="122"/>
  <c r="B28" i="122"/>
  <c r="B27" i="122"/>
  <c r="B26" i="122"/>
  <c r="M32" i="122"/>
  <c r="L32" i="122"/>
  <c r="K32" i="122"/>
  <c r="J32" i="122"/>
  <c r="I32" i="122"/>
  <c r="H32" i="122"/>
  <c r="G32" i="122"/>
  <c r="G6" i="122" s="1"/>
  <c r="F32" i="122"/>
  <c r="F6" i="122" s="1"/>
  <c r="E32" i="122"/>
  <c r="E6" i="122" s="1"/>
  <c r="D32" i="122"/>
  <c r="D6" i="122" s="1"/>
  <c r="C32" i="122"/>
  <c r="B25" i="122"/>
  <c r="B18" i="122"/>
  <c r="B17" i="122"/>
  <c r="B16" i="122"/>
  <c r="B15" i="122"/>
  <c r="K21" i="122"/>
  <c r="I21" i="122"/>
  <c r="H21" i="122"/>
  <c r="G21" i="122"/>
  <c r="E21" i="122"/>
  <c r="D21" i="122"/>
  <c r="B12" i="122"/>
  <c r="B21" i="122" s="1"/>
  <c r="B64" i="121"/>
  <c r="B63" i="121"/>
  <c r="B62" i="121"/>
  <c r="B61" i="121"/>
  <c r="B60" i="121"/>
  <c r="B59" i="121"/>
  <c r="B58" i="121"/>
  <c r="B57" i="121"/>
  <c r="B56" i="121"/>
  <c r="B55" i="121"/>
  <c r="L65" i="121"/>
  <c r="K65" i="121"/>
  <c r="K11" i="121" s="1"/>
  <c r="J65" i="121"/>
  <c r="I65" i="121"/>
  <c r="H65" i="121"/>
  <c r="G65" i="121"/>
  <c r="F65" i="121"/>
  <c r="E65" i="121"/>
  <c r="D65" i="121"/>
  <c r="C65" i="121"/>
  <c r="B54" i="121"/>
  <c r="B51" i="121"/>
  <c r="B50" i="121"/>
  <c r="B49" i="121"/>
  <c r="B48" i="121"/>
  <c r="B47" i="121"/>
  <c r="B46" i="121"/>
  <c r="B45" i="121"/>
  <c r="B44" i="121"/>
  <c r="B43" i="121"/>
  <c r="B42" i="121"/>
  <c r="B41" i="121"/>
  <c r="B40" i="121"/>
  <c r="B39" i="121"/>
  <c r="B38" i="121"/>
  <c r="B37" i="121"/>
  <c r="B36" i="121"/>
  <c r="B35" i="121"/>
  <c r="M52" i="121"/>
  <c r="L52" i="121"/>
  <c r="K52" i="121"/>
  <c r="J52" i="121"/>
  <c r="I52" i="121"/>
  <c r="H52" i="121"/>
  <c r="G52" i="121"/>
  <c r="G10" i="121" s="1"/>
  <c r="F52" i="121"/>
  <c r="E52" i="121"/>
  <c r="E10" i="121" s="1"/>
  <c r="D52" i="121"/>
  <c r="D10" i="121" s="1"/>
  <c r="C52" i="121"/>
  <c r="B34" i="121"/>
  <c r="B31" i="121"/>
  <c r="B30" i="121"/>
  <c r="B29" i="121"/>
  <c r="B28" i="121"/>
  <c r="B27" i="121"/>
  <c r="B26" i="121"/>
  <c r="M32" i="121"/>
  <c r="L32" i="121"/>
  <c r="K32" i="121"/>
  <c r="J32" i="121"/>
  <c r="I32" i="121"/>
  <c r="H32" i="121"/>
  <c r="G32" i="121"/>
  <c r="G6" i="121" s="1"/>
  <c r="F32" i="121"/>
  <c r="F6" i="121" s="1"/>
  <c r="E32" i="121"/>
  <c r="E6" i="121" s="1"/>
  <c r="D32" i="121"/>
  <c r="D6" i="121" s="1"/>
  <c r="C32" i="121"/>
  <c r="B25" i="121"/>
  <c r="B18" i="121"/>
  <c r="B17" i="121"/>
  <c r="B16" i="121"/>
  <c r="B15" i="121"/>
  <c r="M21" i="121"/>
  <c r="L21" i="121"/>
  <c r="J21" i="121"/>
  <c r="H21" i="121"/>
  <c r="G21" i="121"/>
  <c r="F21" i="121"/>
  <c r="E21" i="121"/>
  <c r="D21" i="121"/>
  <c r="B12" i="121"/>
  <c r="B21" i="121" s="1"/>
  <c r="F10" i="121"/>
  <c r="B64" i="120"/>
  <c r="B63" i="120"/>
  <c r="B62" i="120"/>
  <c r="B61" i="120"/>
  <c r="B60" i="120"/>
  <c r="B59" i="120"/>
  <c r="B58" i="120"/>
  <c r="B57" i="120"/>
  <c r="B56" i="120"/>
  <c r="B55" i="120"/>
  <c r="M65" i="120"/>
  <c r="L65" i="120"/>
  <c r="K65" i="120"/>
  <c r="J65" i="120"/>
  <c r="I65" i="120"/>
  <c r="H65" i="120"/>
  <c r="G65" i="120"/>
  <c r="F65" i="120"/>
  <c r="E65" i="120"/>
  <c r="D65" i="120"/>
  <c r="C65" i="120"/>
  <c r="B54" i="120"/>
  <c r="B51" i="120"/>
  <c r="B50" i="120"/>
  <c r="B49" i="120"/>
  <c r="B48" i="120"/>
  <c r="B47" i="120"/>
  <c r="B46" i="120"/>
  <c r="B45" i="120"/>
  <c r="B44" i="120"/>
  <c r="B43" i="120"/>
  <c r="B42" i="120"/>
  <c r="B41" i="120"/>
  <c r="B40" i="120"/>
  <c r="B39" i="120"/>
  <c r="B38" i="120"/>
  <c r="B37" i="120"/>
  <c r="B36" i="120"/>
  <c r="B35" i="120"/>
  <c r="M52" i="120"/>
  <c r="L52" i="120"/>
  <c r="K52" i="120"/>
  <c r="J52" i="120"/>
  <c r="I52" i="120"/>
  <c r="H52" i="120"/>
  <c r="G52" i="120"/>
  <c r="G10" i="120" s="1"/>
  <c r="F52" i="120"/>
  <c r="F10" i="120" s="1"/>
  <c r="E52" i="120"/>
  <c r="E10" i="120" s="1"/>
  <c r="D52" i="120"/>
  <c r="D10" i="120" s="1"/>
  <c r="C52" i="120"/>
  <c r="B34" i="120"/>
  <c r="B31" i="120"/>
  <c r="B30" i="120"/>
  <c r="B29" i="120"/>
  <c r="B28" i="120"/>
  <c r="B27" i="120"/>
  <c r="B26" i="120"/>
  <c r="M32" i="120"/>
  <c r="L32" i="120"/>
  <c r="K32" i="120"/>
  <c r="J32" i="120"/>
  <c r="I32" i="120"/>
  <c r="H32" i="120"/>
  <c r="G32" i="120"/>
  <c r="G6" i="120" s="1"/>
  <c r="F32" i="120"/>
  <c r="F6" i="120" s="1"/>
  <c r="E32" i="120"/>
  <c r="E6" i="120" s="1"/>
  <c r="D32" i="120"/>
  <c r="D6" i="120" s="1"/>
  <c r="C32" i="120"/>
  <c r="B25" i="120"/>
  <c r="B18" i="120"/>
  <c r="B17" i="120"/>
  <c r="B16" i="120"/>
  <c r="B15" i="120"/>
  <c r="M21" i="120"/>
  <c r="L21" i="120"/>
  <c r="K21" i="120"/>
  <c r="G21" i="120"/>
  <c r="F21" i="120"/>
  <c r="E21" i="120"/>
  <c r="D21" i="120"/>
  <c r="B12" i="120"/>
  <c r="B21" i="120" s="1"/>
  <c r="B64" i="85"/>
  <c r="B63" i="85"/>
  <c r="B62" i="85"/>
  <c r="B61" i="85"/>
  <c r="B60" i="85"/>
  <c r="B59" i="85"/>
  <c r="B58" i="85"/>
  <c r="B57" i="85"/>
  <c r="B56" i="85"/>
  <c r="B55" i="85"/>
  <c r="M65" i="85"/>
  <c r="M11" i="85" s="1"/>
  <c r="L65" i="85"/>
  <c r="L11" i="85" s="1"/>
  <c r="K65" i="85"/>
  <c r="J65" i="85"/>
  <c r="I65" i="85"/>
  <c r="I11" i="85" s="1"/>
  <c r="H65" i="85"/>
  <c r="G65" i="85"/>
  <c r="G11" i="85" s="1"/>
  <c r="F65" i="85"/>
  <c r="F11" i="85" s="1"/>
  <c r="E65" i="85"/>
  <c r="E11" i="85" s="1"/>
  <c r="D65" i="85"/>
  <c r="D11" i="85" s="1"/>
  <c r="C65" i="85"/>
  <c r="B54" i="85"/>
  <c r="B51" i="85"/>
  <c r="B50" i="85"/>
  <c r="B49" i="85"/>
  <c r="B48" i="85"/>
  <c r="B47" i="85"/>
  <c r="B46" i="85"/>
  <c r="B45" i="85"/>
  <c r="B44" i="85"/>
  <c r="B43" i="85"/>
  <c r="B42" i="85"/>
  <c r="B41" i="85"/>
  <c r="B40" i="85"/>
  <c r="B39" i="85"/>
  <c r="B38" i="85"/>
  <c r="B37" i="85"/>
  <c r="B36" i="85"/>
  <c r="B35" i="85"/>
  <c r="M52" i="85"/>
  <c r="L52" i="85"/>
  <c r="K52" i="85"/>
  <c r="J52" i="85"/>
  <c r="I52" i="85"/>
  <c r="H52" i="85"/>
  <c r="G52" i="85"/>
  <c r="G10" i="85" s="1"/>
  <c r="F52" i="85"/>
  <c r="F10" i="85" s="1"/>
  <c r="E52" i="85"/>
  <c r="E10" i="85" s="1"/>
  <c r="D52" i="85"/>
  <c r="D10" i="85" s="1"/>
  <c r="C52" i="85"/>
  <c r="B34" i="85"/>
  <c r="B31" i="85"/>
  <c r="B30" i="85"/>
  <c r="B29" i="85"/>
  <c r="B28" i="85"/>
  <c r="B27" i="85"/>
  <c r="B26" i="85"/>
  <c r="M32" i="85"/>
  <c r="L32" i="85"/>
  <c r="K32" i="85"/>
  <c r="J32" i="85"/>
  <c r="I32" i="85"/>
  <c r="H32" i="85"/>
  <c r="G32" i="85"/>
  <c r="G6" i="85" s="1"/>
  <c r="F32" i="85"/>
  <c r="F6" i="85" s="1"/>
  <c r="E32" i="85"/>
  <c r="E6" i="85" s="1"/>
  <c r="D32" i="85"/>
  <c r="D6" i="85" s="1"/>
  <c r="C32" i="85"/>
  <c r="B25" i="85"/>
  <c r="B18" i="85"/>
  <c r="B17" i="85"/>
  <c r="B16" i="85"/>
  <c r="B15" i="85"/>
  <c r="M21" i="85"/>
  <c r="L21" i="85"/>
  <c r="K21" i="85"/>
  <c r="H21" i="85"/>
  <c r="G21" i="85"/>
  <c r="B12" i="85"/>
  <c r="B21" i="85" s="1"/>
  <c r="B64" i="84"/>
  <c r="B63" i="84"/>
  <c r="B62" i="84"/>
  <c r="B61" i="84"/>
  <c r="B60" i="84"/>
  <c r="B59" i="84"/>
  <c r="B58" i="84"/>
  <c r="B57" i="84"/>
  <c r="B56" i="84"/>
  <c r="B55" i="84"/>
  <c r="M65" i="84"/>
  <c r="L65" i="84"/>
  <c r="L11" i="84" s="1"/>
  <c r="K65" i="84"/>
  <c r="J65" i="84"/>
  <c r="I65" i="84"/>
  <c r="H65" i="84"/>
  <c r="H11" i="84" s="1"/>
  <c r="G65" i="84"/>
  <c r="G11" i="84" s="1"/>
  <c r="F65" i="84"/>
  <c r="F11" i="84" s="1"/>
  <c r="E65" i="84"/>
  <c r="E11" i="84" s="1"/>
  <c r="D65" i="84"/>
  <c r="D11" i="84" s="1"/>
  <c r="C65" i="84"/>
  <c r="B54" i="84"/>
  <c r="B51" i="84"/>
  <c r="B50" i="84"/>
  <c r="B49" i="84"/>
  <c r="B48" i="84"/>
  <c r="B47" i="84"/>
  <c r="B46" i="84"/>
  <c r="B45" i="84"/>
  <c r="B44" i="84"/>
  <c r="B43" i="84"/>
  <c r="B42" i="84"/>
  <c r="B41" i="84"/>
  <c r="B40" i="84"/>
  <c r="B39" i="84"/>
  <c r="B38" i="84"/>
  <c r="B37" i="84"/>
  <c r="B36" i="84"/>
  <c r="B35" i="84"/>
  <c r="M52" i="84"/>
  <c r="L52" i="84"/>
  <c r="K52" i="84"/>
  <c r="J52" i="84"/>
  <c r="I52" i="84"/>
  <c r="H52" i="84"/>
  <c r="G52" i="84"/>
  <c r="G10" i="84" s="1"/>
  <c r="F52" i="84"/>
  <c r="F10" i="84" s="1"/>
  <c r="E52" i="84"/>
  <c r="E10" i="84" s="1"/>
  <c r="D52" i="84"/>
  <c r="D10" i="84" s="1"/>
  <c r="C52" i="84"/>
  <c r="B34" i="84"/>
  <c r="B31" i="84"/>
  <c r="B30" i="84"/>
  <c r="B29" i="84"/>
  <c r="B28" i="84"/>
  <c r="B27" i="84"/>
  <c r="B26" i="84"/>
  <c r="L32" i="84"/>
  <c r="K32" i="84"/>
  <c r="J32" i="84"/>
  <c r="I32" i="84"/>
  <c r="H32" i="84"/>
  <c r="G32" i="84"/>
  <c r="G6" i="84" s="1"/>
  <c r="F32" i="84"/>
  <c r="F6" i="84" s="1"/>
  <c r="E32" i="84"/>
  <c r="E6" i="84" s="1"/>
  <c r="D32" i="84"/>
  <c r="D6" i="84" s="1"/>
  <c r="C32" i="84"/>
  <c r="B25" i="84"/>
  <c r="B18" i="84"/>
  <c r="B17" i="84"/>
  <c r="B16" i="84"/>
  <c r="B15" i="84"/>
  <c r="M21" i="84"/>
  <c r="L21" i="84"/>
  <c r="K21" i="84"/>
  <c r="J21" i="84"/>
  <c r="I21" i="84"/>
  <c r="H21" i="84"/>
  <c r="G21" i="84"/>
  <c r="F21" i="84"/>
  <c r="E21" i="84"/>
  <c r="D21" i="84"/>
  <c r="B12" i="84"/>
  <c r="B21" i="84" s="1"/>
  <c r="B64" i="83"/>
  <c r="B63" i="83"/>
  <c r="B62" i="83"/>
  <c r="B61" i="83"/>
  <c r="B60" i="83"/>
  <c r="B59" i="83"/>
  <c r="B58" i="83"/>
  <c r="B57" i="83"/>
  <c r="B56" i="83"/>
  <c r="B55" i="83"/>
  <c r="M65" i="83"/>
  <c r="L65" i="83"/>
  <c r="K65" i="83"/>
  <c r="J65" i="83"/>
  <c r="I65" i="83"/>
  <c r="H65" i="83"/>
  <c r="G65" i="83"/>
  <c r="G11" i="83" s="1"/>
  <c r="F65" i="83"/>
  <c r="F11" i="83" s="1"/>
  <c r="E65" i="83"/>
  <c r="E11" i="83" s="1"/>
  <c r="D65" i="83"/>
  <c r="D11" i="83" s="1"/>
  <c r="C65" i="83"/>
  <c r="B54" i="83"/>
  <c r="B51" i="83"/>
  <c r="B50" i="83"/>
  <c r="B49" i="83"/>
  <c r="B48" i="83"/>
  <c r="B47" i="83"/>
  <c r="B46" i="83"/>
  <c r="B45" i="83"/>
  <c r="B44" i="83"/>
  <c r="B43" i="83"/>
  <c r="B42" i="83"/>
  <c r="B41" i="83"/>
  <c r="B40" i="83"/>
  <c r="B39" i="83"/>
  <c r="B38" i="83"/>
  <c r="B37" i="83"/>
  <c r="B36" i="83"/>
  <c r="B35" i="83"/>
  <c r="M52" i="83"/>
  <c r="L52" i="83"/>
  <c r="K52" i="83"/>
  <c r="J52" i="83"/>
  <c r="I52" i="83"/>
  <c r="H52" i="83"/>
  <c r="G52" i="83"/>
  <c r="G10" i="83" s="1"/>
  <c r="F52" i="83"/>
  <c r="F10" i="83" s="1"/>
  <c r="E52" i="83"/>
  <c r="E10" i="83" s="1"/>
  <c r="D52" i="83"/>
  <c r="D10" i="83" s="1"/>
  <c r="C52" i="83"/>
  <c r="B34" i="83"/>
  <c r="B31" i="83"/>
  <c r="B30" i="83"/>
  <c r="B29" i="83"/>
  <c r="B28" i="83"/>
  <c r="B27" i="83"/>
  <c r="B26" i="83"/>
  <c r="M32" i="83"/>
  <c r="L32" i="83"/>
  <c r="K32" i="83"/>
  <c r="J32" i="83"/>
  <c r="I32" i="83"/>
  <c r="H32" i="83"/>
  <c r="G32" i="83"/>
  <c r="G6" i="83" s="1"/>
  <c r="F32" i="83"/>
  <c r="F6" i="83" s="1"/>
  <c r="E32" i="83"/>
  <c r="E6" i="83" s="1"/>
  <c r="D32" i="83"/>
  <c r="D6" i="83" s="1"/>
  <c r="C32" i="83"/>
  <c r="B25" i="83"/>
  <c r="B18" i="83"/>
  <c r="B17" i="83"/>
  <c r="B16" i="83"/>
  <c r="B15" i="83"/>
  <c r="L21" i="83"/>
  <c r="K21" i="83"/>
  <c r="F21" i="83"/>
  <c r="E21" i="83"/>
  <c r="D21" i="83"/>
  <c r="B12" i="83"/>
  <c r="B21" i="83" s="1"/>
  <c r="B64" i="82"/>
  <c r="B63" i="82"/>
  <c r="B62" i="82"/>
  <c r="B61" i="82"/>
  <c r="B60" i="82"/>
  <c r="B59" i="82"/>
  <c r="B58" i="82"/>
  <c r="B57" i="82"/>
  <c r="B56" i="82"/>
  <c r="B55" i="82"/>
  <c r="M65" i="82"/>
  <c r="L65" i="82"/>
  <c r="K65" i="82"/>
  <c r="J65" i="82"/>
  <c r="J11" i="82" s="1"/>
  <c r="I65" i="82"/>
  <c r="H65" i="82"/>
  <c r="G65" i="82"/>
  <c r="G11" i="82" s="1"/>
  <c r="F65" i="82"/>
  <c r="F11" i="82" s="1"/>
  <c r="E65" i="82"/>
  <c r="E11" i="82" s="1"/>
  <c r="D65" i="82"/>
  <c r="D11" i="82" s="1"/>
  <c r="C65" i="82"/>
  <c r="B54" i="82"/>
  <c r="B51" i="82"/>
  <c r="B50" i="82"/>
  <c r="B49" i="82"/>
  <c r="B48" i="82"/>
  <c r="B47" i="82"/>
  <c r="B46" i="82"/>
  <c r="B45" i="82"/>
  <c r="B44" i="82"/>
  <c r="B43" i="82"/>
  <c r="B42" i="82"/>
  <c r="B41" i="82"/>
  <c r="B40" i="82"/>
  <c r="B39" i="82"/>
  <c r="B38" i="82"/>
  <c r="B37" i="82"/>
  <c r="B36" i="82"/>
  <c r="B35" i="82"/>
  <c r="M52" i="82"/>
  <c r="L52" i="82"/>
  <c r="K52" i="82"/>
  <c r="J52" i="82"/>
  <c r="I52" i="82"/>
  <c r="H52" i="82"/>
  <c r="G52" i="82"/>
  <c r="G10" i="82" s="1"/>
  <c r="F52" i="82"/>
  <c r="F10" i="82" s="1"/>
  <c r="E52" i="82"/>
  <c r="E10" i="82" s="1"/>
  <c r="D52" i="82"/>
  <c r="D10" i="82" s="1"/>
  <c r="C52" i="82"/>
  <c r="B34" i="82"/>
  <c r="B31" i="82"/>
  <c r="B30" i="82"/>
  <c r="B29" i="82"/>
  <c r="B28" i="82"/>
  <c r="B27" i="82"/>
  <c r="B26" i="82"/>
  <c r="M32" i="82"/>
  <c r="L32" i="82"/>
  <c r="K32" i="82"/>
  <c r="J32" i="82"/>
  <c r="I32" i="82"/>
  <c r="H32" i="82"/>
  <c r="G32" i="82"/>
  <c r="G6" i="82" s="1"/>
  <c r="F32" i="82"/>
  <c r="F6" i="82" s="1"/>
  <c r="E32" i="82"/>
  <c r="E6" i="82" s="1"/>
  <c r="D32" i="82"/>
  <c r="D6" i="82" s="1"/>
  <c r="C32" i="82"/>
  <c r="B25" i="82"/>
  <c r="B18" i="82"/>
  <c r="B17" i="82"/>
  <c r="B16" i="82"/>
  <c r="B15" i="82"/>
  <c r="L21" i="82"/>
  <c r="K21" i="82"/>
  <c r="I21" i="82"/>
  <c r="H21" i="82"/>
  <c r="G21" i="82"/>
  <c r="F21" i="82"/>
  <c r="E21" i="82"/>
  <c r="B12" i="82"/>
  <c r="B21" i="82" s="1"/>
  <c r="B64" i="81"/>
  <c r="B63" i="81"/>
  <c r="B62" i="81"/>
  <c r="B61" i="81"/>
  <c r="B60" i="81"/>
  <c r="B59" i="81"/>
  <c r="B58" i="81"/>
  <c r="B57" i="81"/>
  <c r="B56" i="81"/>
  <c r="B55" i="81"/>
  <c r="M65" i="81"/>
  <c r="M11" i="81" s="1"/>
  <c r="L65" i="81"/>
  <c r="K65" i="81"/>
  <c r="J65" i="81"/>
  <c r="I65" i="81"/>
  <c r="I11" i="81" s="1"/>
  <c r="H65" i="81"/>
  <c r="G65" i="81"/>
  <c r="G11" i="81" s="1"/>
  <c r="F65" i="81"/>
  <c r="F11" i="81" s="1"/>
  <c r="E65" i="81"/>
  <c r="E11" i="81" s="1"/>
  <c r="D65" i="81"/>
  <c r="D11" i="81" s="1"/>
  <c r="C65" i="81"/>
  <c r="B54" i="81"/>
  <c r="B51" i="81"/>
  <c r="B50" i="81"/>
  <c r="B49" i="81"/>
  <c r="B48" i="81"/>
  <c r="B47" i="81"/>
  <c r="B46" i="81"/>
  <c r="B45" i="81"/>
  <c r="B44" i="81"/>
  <c r="B43" i="81"/>
  <c r="B42" i="81"/>
  <c r="B41" i="81"/>
  <c r="B40" i="81"/>
  <c r="B39" i="81"/>
  <c r="B38" i="81"/>
  <c r="B37" i="81"/>
  <c r="B36" i="81"/>
  <c r="B35" i="81"/>
  <c r="M52" i="81"/>
  <c r="L52" i="81"/>
  <c r="K52" i="81"/>
  <c r="J52" i="81"/>
  <c r="I52" i="81"/>
  <c r="H52" i="81"/>
  <c r="G52" i="81"/>
  <c r="G10" i="81" s="1"/>
  <c r="F52" i="81"/>
  <c r="F10" i="81" s="1"/>
  <c r="E52" i="81"/>
  <c r="E10" i="81" s="1"/>
  <c r="D52" i="81"/>
  <c r="D10" i="81" s="1"/>
  <c r="C52" i="81"/>
  <c r="B34" i="81"/>
  <c r="B31" i="81"/>
  <c r="B30" i="81"/>
  <c r="B29" i="81"/>
  <c r="B28" i="81"/>
  <c r="B27" i="81"/>
  <c r="B26" i="81"/>
  <c r="M32" i="81"/>
  <c r="L32" i="81"/>
  <c r="K32" i="81"/>
  <c r="J32" i="81"/>
  <c r="I32" i="81"/>
  <c r="H32" i="81"/>
  <c r="G32" i="81"/>
  <c r="G6" i="81" s="1"/>
  <c r="F32" i="81"/>
  <c r="F6" i="81" s="1"/>
  <c r="E32" i="81"/>
  <c r="E6" i="81" s="1"/>
  <c r="D32" i="81"/>
  <c r="D6" i="81" s="1"/>
  <c r="C32" i="81"/>
  <c r="B25" i="81"/>
  <c r="B18" i="81"/>
  <c r="B17" i="81"/>
  <c r="B16" i="81"/>
  <c r="B15" i="81"/>
  <c r="M21" i="81"/>
  <c r="L21" i="81"/>
  <c r="J21" i="81"/>
  <c r="H21" i="81"/>
  <c r="G21" i="81"/>
  <c r="E21" i="81"/>
  <c r="D21" i="81"/>
  <c r="B12" i="81"/>
  <c r="B21" i="81" s="1"/>
  <c r="B64" i="132"/>
  <c r="B63" i="132"/>
  <c r="B62" i="132"/>
  <c r="B61" i="132"/>
  <c r="B60" i="132"/>
  <c r="B59" i="132"/>
  <c r="B58" i="132"/>
  <c r="B57" i="132"/>
  <c r="B56" i="132"/>
  <c r="B55" i="132"/>
  <c r="M65" i="132"/>
  <c r="L65" i="132"/>
  <c r="L11" i="132" s="1"/>
  <c r="K65" i="132"/>
  <c r="J65" i="132"/>
  <c r="I65" i="132"/>
  <c r="H65" i="132"/>
  <c r="H11" i="132" s="1"/>
  <c r="G65" i="132"/>
  <c r="G11" i="132" s="1"/>
  <c r="F65" i="132"/>
  <c r="F11" i="132" s="1"/>
  <c r="E65" i="132"/>
  <c r="E11" i="132" s="1"/>
  <c r="D65" i="132"/>
  <c r="D11" i="132" s="1"/>
  <c r="C65" i="132"/>
  <c r="B54" i="132"/>
  <c r="B51" i="132"/>
  <c r="B50" i="132"/>
  <c r="B49" i="132"/>
  <c r="B48" i="132"/>
  <c r="B47" i="132"/>
  <c r="B46" i="132"/>
  <c r="B45" i="132"/>
  <c r="B44" i="132"/>
  <c r="B43" i="132"/>
  <c r="B42" i="132"/>
  <c r="B41" i="132"/>
  <c r="B40" i="132"/>
  <c r="B39" i="132"/>
  <c r="B38" i="132"/>
  <c r="B37" i="132"/>
  <c r="B36" i="132"/>
  <c r="B35" i="132"/>
  <c r="M52" i="132"/>
  <c r="L52" i="132"/>
  <c r="K52" i="132"/>
  <c r="J52" i="132"/>
  <c r="I52" i="132"/>
  <c r="H52" i="132"/>
  <c r="G52" i="132"/>
  <c r="G10" i="132" s="1"/>
  <c r="F52" i="132"/>
  <c r="F10" i="132" s="1"/>
  <c r="E52" i="132"/>
  <c r="E10" i="132" s="1"/>
  <c r="D52" i="132"/>
  <c r="D10" i="132" s="1"/>
  <c r="C52" i="132"/>
  <c r="B34" i="132"/>
  <c r="B31" i="132"/>
  <c r="B30" i="132"/>
  <c r="B29" i="132"/>
  <c r="B28" i="132"/>
  <c r="B27" i="132"/>
  <c r="B26" i="132"/>
  <c r="M32" i="132"/>
  <c r="L32" i="132"/>
  <c r="K32" i="132"/>
  <c r="J32" i="132"/>
  <c r="I32" i="132"/>
  <c r="H32" i="132"/>
  <c r="G32" i="132"/>
  <c r="G6" i="132" s="1"/>
  <c r="F32" i="132"/>
  <c r="F6" i="132" s="1"/>
  <c r="E32" i="132"/>
  <c r="E6" i="132" s="1"/>
  <c r="D32" i="132"/>
  <c r="D6" i="132" s="1"/>
  <c r="C32" i="132"/>
  <c r="B25" i="132"/>
  <c r="B18" i="132"/>
  <c r="B17" i="132"/>
  <c r="B16" i="132"/>
  <c r="B15" i="132"/>
  <c r="M21" i="132"/>
  <c r="K21" i="132"/>
  <c r="J21" i="132"/>
  <c r="G21" i="132"/>
  <c r="F21" i="132"/>
  <c r="E21" i="132"/>
  <c r="D21" i="132"/>
  <c r="C21" i="132"/>
  <c r="B12" i="132"/>
  <c r="B21" i="132" s="1"/>
  <c r="B64" i="131"/>
  <c r="B63" i="131"/>
  <c r="B62" i="131"/>
  <c r="B61" i="131"/>
  <c r="B60" i="131"/>
  <c r="B59" i="131"/>
  <c r="B58" i="131"/>
  <c r="B57" i="131"/>
  <c r="B56" i="131"/>
  <c r="B55" i="131"/>
  <c r="M65" i="131"/>
  <c r="L65" i="131"/>
  <c r="K65" i="131"/>
  <c r="K11" i="131" s="1"/>
  <c r="J65" i="131"/>
  <c r="I65" i="131"/>
  <c r="H65" i="131"/>
  <c r="G65" i="131"/>
  <c r="G11" i="131" s="1"/>
  <c r="F65" i="131"/>
  <c r="F11" i="131" s="1"/>
  <c r="E65" i="131"/>
  <c r="E11" i="131" s="1"/>
  <c r="D65" i="131"/>
  <c r="D11" i="131" s="1"/>
  <c r="C65" i="131"/>
  <c r="B54" i="131"/>
  <c r="B51" i="131"/>
  <c r="B50" i="131"/>
  <c r="B49" i="131"/>
  <c r="B48" i="131"/>
  <c r="B47" i="131"/>
  <c r="B46" i="131"/>
  <c r="B45" i="131"/>
  <c r="B44" i="131"/>
  <c r="B43" i="131"/>
  <c r="B42" i="131"/>
  <c r="B41" i="131"/>
  <c r="B40" i="131"/>
  <c r="B39" i="131"/>
  <c r="B38" i="131"/>
  <c r="B37" i="131"/>
  <c r="B36" i="131"/>
  <c r="B35" i="131"/>
  <c r="M52" i="131"/>
  <c r="L52" i="131"/>
  <c r="K52" i="131"/>
  <c r="J52" i="131"/>
  <c r="I52" i="131"/>
  <c r="H52" i="131"/>
  <c r="G52" i="131"/>
  <c r="G10" i="131" s="1"/>
  <c r="F52" i="131"/>
  <c r="F10" i="131" s="1"/>
  <c r="E52" i="131"/>
  <c r="E10" i="131" s="1"/>
  <c r="D52" i="131"/>
  <c r="D10" i="131" s="1"/>
  <c r="C52" i="131"/>
  <c r="B34" i="131"/>
  <c r="B31" i="131"/>
  <c r="B30" i="131"/>
  <c r="B29" i="131"/>
  <c r="B28" i="131"/>
  <c r="B27" i="131"/>
  <c r="B26" i="131"/>
  <c r="M32" i="131"/>
  <c r="L32" i="131"/>
  <c r="K32" i="131"/>
  <c r="J32" i="131"/>
  <c r="I32" i="131"/>
  <c r="H32" i="131"/>
  <c r="G32" i="131"/>
  <c r="G6" i="131" s="1"/>
  <c r="F32" i="131"/>
  <c r="F6" i="131" s="1"/>
  <c r="E32" i="131"/>
  <c r="E6" i="131" s="1"/>
  <c r="D32" i="131"/>
  <c r="D6" i="131" s="1"/>
  <c r="C32" i="131"/>
  <c r="B25" i="131"/>
  <c r="B18" i="131"/>
  <c r="B17" i="131"/>
  <c r="B16" i="131"/>
  <c r="B15" i="131"/>
  <c r="M21" i="131"/>
  <c r="I21" i="131"/>
  <c r="E21" i="131"/>
  <c r="B12" i="131"/>
  <c r="B21" i="131" s="1"/>
  <c r="B64" i="97"/>
  <c r="B63" i="97"/>
  <c r="B62" i="97"/>
  <c r="B61" i="97"/>
  <c r="B60" i="97"/>
  <c r="B59" i="97"/>
  <c r="B58" i="97"/>
  <c r="B57" i="97"/>
  <c r="B56" i="97"/>
  <c r="B55" i="97"/>
  <c r="M65" i="97"/>
  <c r="L65" i="97"/>
  <c r="K65" i="97"/>
  <c r="J65" i="97"/>
  <c r="I65" i="97"/>
  <c r="I11" i="97" s="1"/>
  <c r="H65" i="97"/>
  <c r="G65" i="97"/>
  <c r="G11" i="97" s="1"/>
  <c r="F65" i="97"/>
  <c r="F11" i="97" s="1"/>
  <c r="E65" i="97"/>
  <c r="E11" i="97" s="1"/>
  <c r="D65" i="97"/>
  <c r="D11" i="97" s="1"/>
  <c r="C65" i="97"/>
  <c r="B54" i="97"/>
  <c r="B51" i="97"/>
  <c r="B50" i="97"/>
  <c r="B49" i="97"/>
  <c r="B48" i="97"/>
  <c r="B47" i="97"/>
  <c r="B46" i="97"/>
  <c r="B45" i="97"/>
  <c r="B44" i="97"/>
  <c r="B43" i="97"/>
  <c r="B42" i="97"/>
  <c r="B41" i="97"/>
  <c r="B40" i="97"/>
  <c r="B39" i="97"/>
  <c r="B38" i="97"/>
  <c r="B37" i="97"/>
  <c r="B36" i="97"/>
  <c r="B35" i="97"/>
  <c r="M52" i="97"/>
  <c r="L52" i="97"/>
  <c r="K52" i="97"/>
  <c r="J52" i="97"/>
  <c r="I52" i="97"/>
  <c r="H52" i="97"/>
  <c r="G52" i="97"/>
  <c r="G10" i="97" s="1"/>
  <c r="F52" i="97"/>
  <c r="F10" i="97" s="1"/>
  <c r="E52" i="97"/>
  <c r="E10" i="97" s="1"/>
  <c r="D52" i="97"/>
  <c r="D10" i="97" s="1"/>
  <c r="C52" i="97"/>
  <c r="B34" i="97"/>
  <c r="B31" i="97"/>
  <c r="B30" i="97"/>
  <c r="B29" i="97"/>
  <c r="B28" i="97"/>
  <c r="B27" i="97"/>
  <c r="B26" i="97"/>
  <c r="M32" i="97"/>
  <c r="L32" i="97"/>
  <c r="K32" i="97"/>
  <c r="J32" i="97"/>
  <c r="I32" i="97"/>
  <c r="H32" i="97"/>
  <c r="G32" i="97"/>
  <c r="G6" i="97" s="1"/>
  <c r="F32" i="97"/>
  <c r="F6" i="97" s="1"/>
  <c r="E32" i="97"/>
  <c r="E6" i="97" s="1"/>
  <c r="D32" i="97"/>
  <c r="D6" i="97" s="1"/>
  <c r="C32" i="97"/>
  <c r="B25" i="97"/>
  <c r="B18" i="97"/>
  <c r="B17" i="97"/>
  <c r="B16" i="97"/>
  <c r="B15" i="97"/>
  <c r="K21" i="97"/>
  <c r="J21" i="97"/>
  <c r="G21" i="97"/>
  <c r="F21" i="97"/>
  <c r="E21" i="97"/>
  <c r="D21" i="97"/>
  <c r="B12" i="97"/>
  <c r="B21" i="97" s="1"/>
  <c r="B64" i="94"/>
  <c r="B63" i="94"/>
  <c r="B62" i="94"/>
  <c r="B61" i="94"/>
  <c r="B60" i="94"/>
  <c r="B59" i="94"/>
  <c r="B58" i="94"/>
  <c r="B57" i="94"/>
  <c r="B56" i="94"/>
  <c r="B55" i="94"/>
  <c r="M65" i="94"/>
  <c r="M11" i="94" s="1"/>
  <c r="L65" i="94"/>
  <c r="K65" i="94"/>
  <c r="J65" i="94"/>
  <c r="I65" i="94"/>
  <c r="H65" i="94"/>
  <c r="G65" i="94"/>
  <c r="G11" i="94" s="1"/>
  <c r="F65" i="94"/>
  <c r="F11" i="94" s="1"/>
  <c r="E65" i="94"/>
  <c r="E11" i="94" s="1"/>
  <c r="D65" i="94"/>
  <c r="D11" i="94" s="1"/>
  <c r="C65" i="94"/>
  <c r="C11" i="94" s="1"/>
  <c r="B54" i="94"/>
  <c r="B51" i="94"/>
  <c r="B50" i="94"/>
  <c r="B49" i="94"/>
  <c r="B48" i="94"/>
  <c r="B47" i="94"/>
  <c r="B46" i="94"/>
  <c r="B45" i="94"/>
  <c r="B44" i="94"/>
  <c r="B43" i="94"/>
  <c r="B42" i="94"/>
  <c r="B41" i="94"/>
  <c r="B40" i="94"/>
  <c r="B39" i="94"/>
  <c r="B38" i="94"/>
  <c r="B37" i="94"/>
  <c r="B36" i="94"/>
  <c r="B35" i="94"/>
  <c r="M52" i="94"/>
  <c r="L52" i="94"/>
  <c r="K52" i="94"/>
  <c r="J52" i="94"/>
  <c r="I52" i="94"/>
  <c r="H52" i="94"/>
  <c r="G52" i="94"/>
  <c r="G10" i="94" s="1"/>
  <c r="F52" i="94"/>
  <c r="F10" i="94" s="1"/>
  <c r="E52" i="94"/>
  <c r="E10" i="94" s="1"/>
  <c r="D52" i="94"/>
  <c r="D10" i="94" s="1"/>
  <c r="C52" i="94"/>
  <c r="C10" i="94" s="1"/>
  <c r="B34" i="94"/>
  <c r="B31" i="94"/>
  <c r="B30" i="94"/>
  <c r="B29" i="94"/>
  <c r="B28" i="94"/>
  <c r="B27" i="94"/>
  <c r="B26" i="94"/>
  <c r="L32" i="94"/>
  <c r="K32" i="94"/>
  <c r="J32" i="94"/>
  <c r="I32" i="94"/>
  <c r="H32" i="94"/>
  <c r="G32" i="94"/>
  <c r="G6" i="94" s="1"/>
  <c r="F32" i="94"/>
  <c r="F6" i="94" s="1"/>
  <c r="E32" i="94"/>
  <c r="E6" i="94" s="1"/>
  <c r="D32" i="94"/>
  <c r="D6" i="94" s="1"/>
  <c r="C32" i="94"/>
  <c r="C6" i="94" s="1"/>
  <c r="B25" i="94"/>
  <c r="B18" i="94"/>
  <c r="B17" i="94"/>
  <c r="B16" i="94"/>
  <c r="B15" i="94"/>
  <c r="K21" i="94"/>
  <c r="J21" i="94"/>
  <c r="F21" i="94"/>
  <c r="D21" i="94"/>
  <c r="B12" i="94"/>
  <c r="B21" i="94" s="1"/>
  <c r="B64" i="93"/>
  <c r="B63" i="93"/>
  <c r="B62" i="93"/>
  <c r="B61" i="93"/>
  <c r="B60" i="93"/>
  <c r="B59" i="93"/>
  <c r="B58" i="93"/>
  <c r="B57" i="93"/>
  <c r="B56" i="93"/>
  <c r="B55" i="93"/>
  <c r="M65" i="93"/>
  <c r="L65" i="93"/>
  <c r="L11" i="93" s="1"/>
  <c r="K65" i="93"/>
  <c r="J65" i="93"/>
  <c r="I65" i="93"/>
  <c r="H65" i="93"/>
  <c r="H11" i="93" s="1"/>
  <c r="G65" i="93"/>
  <c r="G11" i="93" s="1"/>
  <c r="F65" i="93"/>
  <c r="F11" i="93" s="1"/>
  <c r="E65" i="93"/>
  <c r="E11" i="93" s="1"/>
  <c r="D65" i="93"/>
  <c r="D11" i="93" s="1"/>
  <c r="C65" i="93"/>
  <c r="B54" i="93"/>
  <c r="B51" i="93"/>
  <c r="B50" i="93"/>
  <c r="B49" i="93"/>
  <c r="B48" i="93"/>
  <c r="B47" i="93"/>
  <c r="B46" i="93"/>
  <c r="B45" i="93"/>
  <c r="B44" i="93"/>
  <c r="B43" i="93"/>
  <c r="B42" i="93"/>
  <c r="B41" i="93"/>
  <c r="B40" i="93"/>
  <c r="B39" i="93"/>
  <c r="B38" i="93"/>
  <c r="B37" i="93"/>
  <c r="B36" i="93"/>
  <c r="B35" i="93"/>
  <c r="M52" i="93"/>
  <c r="L52" i="93"/>
  <c r="K52" i="93"/>
  <c r="J52" i="93"/>
  <c r="I52" i="93"/>
  <c r="H52" i="93"/>
  <c r="G52" i="93"/>
  <c r="G10" i="93" s="1"/>
  <c r="F52" i="93"/>
  <c r="F10" i="93" s="1"/>
  <c r="E52" i="93"/>
  <c r="E10" i="93" s="1"/>
  <c r="D52" i="93"/>
  <c r="D10" i="93" s="1"/>
  <c r="C52" i="93"/>
  <c r="B34" i="93"/>
  <c r="B31" i="93"/>
  <c r="B30" i="93"/>
  <c r="B29" i="93"/>
  <c r="B28" i="93"/>
  <c r="B27" i="93"/>
  <c r="B26" i="93"/>
  <c r="M32" i="93"/>
  <c r="L32" i="93"/>
  <c r="K32" i="93"/>
  <c r="J32" i="93"/>
  <c r="J6" i="93" s="1"/>
  <c r="I32" i="93"/>
  <c r="H32" i="93"/>
  <c r="G32" i="93"/>
  <c r="G6" i="93" s="1"/>
  <c r="F32" i="93"/>
  <c r="F6" i="93" s="1"/>
  <c r="E32" i="93"/>
  <c r="E6" i="93" s="1"/>
  <c r="D32" i="93"/>
  <c r="D6" i="93" s="1"/>
  <c r="B25" i="93"/>
  <c r="B18" i="93"/>
  <c r="B17" i="93"/>
  <c r="B16" i="93"/>
  <c r="B15" i="93"/>
  <c r="M21" i="93"/>
  <c r="L21" i="93"/>
  <c r="G21" i="93"/>
  <c r="E21" i="93"/>
  <c r="D21" i="93"/>
  <c r="C21" i="93"/>
  <c r="B12" i="93"/>
  <c r="B21" i="93" s="1"/>
  <c r="B64" i="91"/>
  <c r="B63" i="91"/>
  <c r="B62" i="91"/>
  <c r="B61" i="91"/>
  <c r="B60" i="91"/>
  <c r="B59" i="91"/>
  <c r="B58" i="91"/>
  <c r="B57" i="91"/>
  <c r="B56" i="91"/>
  <c r="B55" i="91"/>
  <c r="M65" i="91"/>
  <c r="L65" i="91"/>
  <c r="K65" i="91"/>
  <c r="K11" i="91" s="1"/>
  <c r="J65" i="91"/>
  <c r="I65" i="91"/>
  <c r="H65" i="91"/>
  <c r="G65" i="91"/>
  <c r="G11" i="91" s="1"/>
  <c r="F65" i="91"/>
  <c r="F11" i="91" s="1"/>
  <c r="E65" i="91"/>
  <c r="E11" i="91" s="1"/>
  <c r="D65" i="91"/>
  <c r="D11" i="91" s="1"/>
  <c r="C65" i="91"/>
  <c r="B54" i="91"/>
  <c r="B51" i="91"/>
  <c r="B50" i="91"/>
  <c r="B49" i="91"/>
  <c r="B48" i="91"/>
  <c r="B47" i="91"/>
  <c r="B46" i="91"/>
  <c r="B45" i="91"/>
  <c r="B44" i="91"/>
  <c r="B43" i="91"/>
  <c r="B42" i="91"/>
  <c r="B41" i="91"/>
  <c r="B40" i="91"/>
  <c r="B39" i="91"/>
  <c r="B38" i="91"/>
  <c r="B37" i="91"/>
  <c r="B36" i="91"/>
  <c r="B35" i="91"/>
  <c r="M52" i="91"/>
  <c r="L52" i="91"/>
  <c r="K52" i="91"/>
  <c r="J52" i="91"/>
  <c r="I52" i="91"/>
  <c r="H52" i="91"/>
  <c r="G52" i="91"/>
  <c r="G10" i="91" s="1"/>
  <c r="F52" i="91"/>
  <c r="F10" i="91" s="1"/>
  <c r="E52" i="91"/>
  <c r="E10" i="91" s="1"/>
  <c r="D52" i="91"/>
  <c r="D10" i="91" s="1"/>
  <c r="C52" i="91"/>
  <c r="B34" i="91"/>
  <c r="B31" i="91"/>
  <c r="B30" i="91"/>
  <c r="B29" i="91"/>
  <c r="B28" i="91"/>
  <c r="B27" i="91"/>
  <c r="B26" i="91"/>
  <c r="M32" i="91"/>
  <c r="L32" i="91"/>
  <c r="K32" i="91"/>
  <c r="J32" i="91"/>
  <c r="J6" i="91" s="1"/>
  <c r="I32" i="91"/>
  <c r="H32" i="91"/>
  <c r="G32" i="91"/>
  <c r="G6" i="91" s="1"/>
  <c r="F32" i="91"/>
  <c r="F6" i="91" s="1"/>
  <c r="E32" i="91"/>
  <c r="E6" i="91" s="1"/>
  <c r="D32" i="91"/>
  <c r="D6" i="91" s="1"/>
  <c r="C32" i="91"/>
  <c r="B25" i="91"/>
  <c r="B18" i="91"/>
  <c r="B17" i="91"/>
  <c r="B16" i="91"/>
  <c r="B15" i="91"/>
  <c r="M21" i="91"/>
  <c r="L21" i="91"/>
  <c r="K21" i="91"/>
  <c r="J21" i="91"/>
  <c r="I21" i="91"/>
  <c r="H21" i="91"/>
  <c r="G21" i="91"/>
  <c r="F21" i="91"/>
  <c r="E21" i="91"/>
  <c r="B12" i="91"/>
  <c r="B21" i="91" s="1"/>
  <c r="B64" i="111"/>
  <c r="B63" i="111"/>
  <c r="B62" i="111"/>
  <c r="B61" i="111"/>
  <c r="B60" i="111"/>
  <c r="B59" i="111"/>
  <c r="B58" i="111"/>
  <c r="B57" i="111"/>
  <c r="B56" i="111"/>
  <c r="B55" i="111"/>
  <c r="M65" i="111"/>
  <c r="L65" i="111"/>
  <c r="K65" i="111"/>
  <c r="J65" i="111"/>
  <c r="J11" i="111" s="1"/>
  <c r="I65" i="111"/>
  <c r="H65" i="111"/>
  <c r="G65" i="111"/>
  <c r="G11" i="111" s="1"/>
  <c r="F65" i="111"/>
  <c r="F11" i="111" s="1"/>
  <c r="E65" i="111"/>
  <c r="E11" i="111" s="1"/>
  <c r="D65" i="111"/>
  <c r="D11" i="111" s="1"/>
  <c r="C65" i="111"/>
  <c r="C11" i="111" s="1"/>
  <c r="B54" i="111"/>
  <c r="B51" i="111"/>
  <c r="B50" i="111"/>
  <c r="B49" i="111"/>
  <c r="B48" i="111"/>
  <c r="B47" i="111"/>
  <c r="B46" i="111"/>
  <c r="B45" i="111"/>
  <c r="B44" i="111"/>
  <c r="B43" i="111"/>
  <c r="B42" i="111"/>
  <c r="B41" i="111"/>
  <c r="B40" i="111"/>
  <c r="B39" i="111"/>
  <c r="B38" i="111"/>
  <c r="B37" i="111"/>
  <c r="B36" i="111"/>
  <c r="B35" i="111"/>
  <c r="M52" i="111"/>
  <c r="L52" i="111"/>
  <c r="K52" i="111"/>
  <c r="J52" i="111"/>
  <c r="I52" i="111"/>
  <c r="H52" i="111"/>
  <c r="G52" i="111"/>
  <c r="G10" i="111" s="1"/>
  <c r="F52" i="111"/>
  <c r="F10" i="111" s="1"/>
  <c r="E52" i="111"/>
  <c r="E10" i="111" s="1"/>
  <c r="D52" i="111"/>
  <c r="D10" i="111" s="1"/>
  <c r="C52" i="111"/>
  <c r="C10" i="111" s="1"/>
  <c r="B34" i="111"/>
  <c r="B31" i="111"/>
  <c r="B30" i="111"/>
  <c r="B29" i="111"/>
  <c r="B28" i="111"/>
  <c r="B27" i="111"/>
  <c r="B26" i="111"/>
  <c r="M32" i="111"/>
  <c r="L32" i="111"/>
  <c r="K32" i="111"/>
  <c r="J32" i="111"/>
  <c r="J6" i="111" s="1"/>
  <c r="I32" i="111"/>
  <c r="H32" i="111"/>
  <c r="G32" i="111"/>
  <c r="G6" i="111" s="1"/>
  <c r="F32" i="111"/>
  <c r="F6" i="111" s="1"/>
  <c r="E32" i="111"/>
  <c r="E6" i="111" s="1"/>
  <c r="D32" i="111"/>
  <c r="D6" i="111" s="1"/>
  <c r="C32" i="111"/>
  <c r="C6" i="111" s="1"/>
  <c r="B25" i="111"/>
  <c r="B18" i="111"/>
  <c r="B17" i="111"/>
  <c r="B16" i="111"/>
  <c r="B15" i="111"/>
  <c r="M21" i="111"/>
  <c r="L21" i="111"/>
  <c r="K21" i="111"/>
  <c r="I21" i="111"/>
  <c r="H21" i="111"/>
  <c r="G21" i="111"/>
  <c r="F21" i="111"/>
  <c r="E21" i="111"/>
  <c r="D21" i="111"/>
  <c r="B12" i="111"/>
  <c r="B21" i="111" s="1"/>
  <c r="B64" i="110"/>
  <c r="B63" i="110"/>
  <c r="B62" i="110"/>
  <c r="B61" i="110"/>
  <c r="B60" i="110"/>
  <c r="B59" i="110"/>
  <c r="B58" i="110"/>
  <c r="B57" i="110"/>
  <c r="B56" i="110"/>
  <c r="B55" i="110"/>
  <c r="M65" i="110"/>
  <c r="M11" i="110" s="1"/>
  <c r="L65" i="110"/>
  <c r="K65" i="110"/>
  <c r="J65" i="110"/>
  <c r="I65" i="110"/>
  <c r="I11" i="110" s="1"/>
  <c r="H65" i="110"/>
  <c r="H11" i="110" s="1"/>
  <c r="G65" i="110"/>
  <c r="G11" i="110" s="1"/>
  <c r="F65" i="110"/>
  <c r="F11" i="110" s="1"/>
  <c r="E65" i="110"/>
  <c r="E11" i="110" s="1"/>
  <c r="D65" i="110"/>
  <c r="D11" i="110" s="1"/>
  <c r="C65" i="110"/>
  <c r="B54" i="110"/>
  <c r="B51" i="110"/>
  <c r="B50" i="110"/>
  <c r="B49" i="110"/>
  <c r="B48" i="110"/>
  <c r="B47" i="110"/>
  <c r="B46" i="110"/>
  <c r="B45" i="110"/>
  <c r="B44" i="110"/>
  <c r="B43" i="110"/>
  <c r="B42" i="110"/>
  <c r="B41" i="110"/>
  <c r="B40" i="110"/>
  <c r="B39" i="110"/>
  <c r="B38" i="110"/>
  <c r="B37" i="110"/>
  <c r="B36" i="110"/>
  <c r="B35" i="110"/>
  <c r="M52" i="110"/>
  <c r="L52" i="110"/>
  <c r="K52" i="110"/>
  <c r="J52" i="110"/>
  <c r="I52" i="110"/>
  <c r="H52" i="110"/>
  <c r="G52" i="110"/>
  <c r="G10" i="110" s="1"/>
  <c r="F52" i="110"/>
  <c r="F10" i="110" s="1"/>
  <c r="E52" i="110"/>
  <c r="E10" i="110" s="1"/>
  <c r="D52" i="110"/>
  <c r="D10" i="110" s="1"/>
  <c r="C52" i="110"/>
  <c r="C10" i="110" s="1"/>
  <c r="B34" i="110"/>
  <c r="B31" i="110"/>
  <c r="B30" i="110"/>
  <c r="B29" i="110"/>
  <c r="B28" i="110"/>
  <c r="B27" i="110"/>
  <c r="B26" i="110"/>
  <c r="M32" i="110"/>
  <c r="L32" i="110"/>
  <c r="K32" i="110"/>
  <c r="J32" i="110"/>
  <c r="J6" i="110" s="1"/>
  <c r="I32" i="110"/>
  <c r="H32" i="110"/>
  <c r="G32" i="110"/>
  <c r="G6" i="110" s="1"/>
  <c r="F32" i="110"/>
  <c r="F6" i="110" s="1"/>
  <c r="E32" i="110"/>
  <c r="E6" i="110" s="1"/>
  <c r="D32" i="110"/>
  <c r="D6" i="110" s="1"/>
  <c r="C32" i="110"/>
  <c r="C6" i="110" s="1"/>
  <c r="B25" i="110"/>
  <c r="B18" i="110"/>
  <c r="B17" i="110"/>
  <c r="B16" i="110"/>
  <c r="B15" i="110"/>
  <c r="M21" i="110"/>
  <c r="L21" i="110"/>
  <c r="K21" i="110"/>
  <c r="G21" i="110"/>
  <c r="F21" i="110"/>
  <c r="E21" i="110"/>
  <c r="D21" i="110"/>
  <c r="B12" i="110"/>
  <c r="B21" i="110" s="1"/>
  <c r="B64" i="109"/>
  <c r="B63" i="109"/>
  <c r="B62" i="109"/>
  <c r="B61" i="109"/>
  <c r="B60" i="109"/>
  <c r="B59" i="109"/>
  <c r="B58" i="109"/>
  <c r="B57" i="109"/>
  <c r="B56" i="109"/>
  <c r="B55" i="109"/>
  <c r="M65" i="109"/>
  <c r="L65" i="109"/>
  <c r="L11" i="109" s="1"/>
  <c r="K65" i="109"/>
  <c r="J65" i="109"/>
  <c r="I65" i="109"/>
  <c r="H65" i="109"/>
  <c r="H11" i="109" s="1"/>
  <c r="G65" i="109"/>
  <c r="G11" i="109" s="1"/>
  <c r="F65" i="109"/>
  <c r="F11" i="109" s="1"/>
  <c r="E65" i="109"/>
  <c r="E11" i="109" s="1"/>
  <c r="D65" i="109"/>
  <c r="D11" i="109" s="1"/>
  <c r="C65" i="109"/>
  <c r="B54" i="109"/>
  <c r="B51" i="109"/>
  <c r="B50" i="109"/>
  <c r="B49" i="109"/>
  <c r="B48" i="109"/>
  <c r="B47" i="109"/>
  <c r="B46" i="109"/>
  <c r="B45" i="109"/>
  <c r="B44" i="109"/>
  <c r="B43" i="109"/>
  <c r="B42" i="109"/>
  <c r="B41" i="109"/>
  <c r="B40" i="109"/>
  <c r="B39" i="109"/>
  <c r="B38" i="109"/>
  <c r="B37" i="109"/>
  <c r="B36" i="109"/>
  <c r="B35" i="109"/>
  <c r="M52" i="109"/>
  <c r="L52" i="109"/>
  <c r="K52" i="109"/>
  <c r="J52" i="109"/>
  <c r="I52" i="109"/>
  <c r="H52" i="109"/>
  <c r="G52" i="109"/>
  <c r="G10" i="109" s="1"/>
  <c r="F52" i="109"/>
  <c r="F10" i="109" s="1"/>
  <c r="E52" i="109"/>
  <c r="E10" i="109" s="1"/>
  <c r="D52" i="109"/>
  <c r="D10" i="109" s="1"/>
  <c r="C52" i="109"/>
  <c r="B34" i="109"/>
  <c r="B31" i="109"/>
  <c r="B30" i="109"/>
  <c r="B29" i="109"/>
  <c r="B28" i="109"/>
  <c r="B27" i="109"/>
  <c r="B26" i="109"/>
  <c r="L32" i="109"/>
  <c r="K32" i="109"/>
  <c r="J32" i="109"/>
  <c r="J6" i="109" s="1"/>
  <c r="I32" i="109"/>
  <c r="H32" i="109"/>
  <c r="G32" i="109"/>
  <c r="G6" i="109" s="1"/>
  <c r="F32" i="109"/>
  <c r="F6" i="109" s="1"/>
  <c r="E32" i="109"/>
  <c r="E6" i="109" s="1"/>
  <c r="D32" i="109"/>
  <c r="D6" i="109" s="1"/>
  <c r="C32" i="109"/>
  <c r="B25" i="109"/>
  <c r="B18" i="109"/>
  <c r="B17" i="109"/>
  <c r="B16" i="109"/>
  <c r="B15" i="109"/>
  <c r="M21" i="109"/>
  <c r="K21" i="109"/>
  <c r="I21" i="109"/>
  <c r="H21" i="109"/>
  <c r="F21" i="109"/>
  <c r="E21" i="109"/>
  <c r="D21" i="109"/>
  <c r="B12" i="109"/>
  <c r="B21" i="109" s="1"/>
  <c r="B64" i="108"/>
  <c r="B63" i="108"/>
  <c r="B62" i="108"/>
  <c r="B61" i="108"/>
  <c r="B60" i="108"/>
  <c r="B59" i="108"/>
  <c r="B58" i="108"/>
  <c r="B57" i="108"/>
  <c r="B56" i="108"/>
  <c r="B55" i="108"/>
  <c r="M65" i="108"/>
  <c r="L65" i="108"/>
  <c r="K65" i="108"/>
  <c r="J65" i="108"/>
  <c r="I65" i="108"/>
  <c r="H65" i="108"/>
  <c r="G65" i="108"/>
  <c r="G11" i="108" s="1"/>
  <c r="F65" i="108"/>
  <c r="F11" i="108" s="1"/>
  <c r="E65" i="108"/>
  <c r="E11" i="108" s="1"/>
  <c r="D65" i="108"/>
  <c r="D11" i="108" s="1"/>
  <c r="C65" i="108"/>
  <c r="C11" i="108" s="1"/>
  <c r="B54" i="108"/>
  <c r="B51" i="108"/>
  <c r="B50" i="108"/>
  <c r="B49" i="108"/>
  <c r="B48" i="108"/>
  <c r="B47" i="108"/>
  <c r="B46" i="108"/>
  <c r="B45" i="108"/>
  <c r="B44" i="108"/>
  <c r="B43" i="108"/>
  <c r="B42" i="108"/>
  <c r="B41" i="108"/>
  <c r="B40" i="108"/>
  <c r="B39" i="108"/>
  <c r="B38" i="108"/>
  <c r="B37" i="108"/>
  <c r="B36" i="108"/>
  <c r="B35" i="108"/>
  <c r="M52" i="108"/>
  <c r="L52" i="108"/>
  <c r="K52" i="108"/>
  <c r="J52" i="108"/>
  <c r="I52" i="108"/>
  <c r="H52" i="108"/>
  <c r="G52" i="108"/>
  <c r="G10" i="108" s="1"/>
  <c r="F52" i="108"/>
  <c r="F10" i="108" s="1"/>
  <c r="E52" i="108"/>
  <c r="E10" i="108" s="1"/>
  <c r="D52" i="108"/>
  <c r="D10" i="108" s="1"/>
  <c r="C52" i="108"/>
  <c r="B34" i="108"/>
  <c r="B31" i="108"/>
  <c r="B30" i="108"/>
  <c r="B29" i="108"/>
  <c r="B28" i="108"/>
  <c r="B27" i="108"/>
  <c r="B26" i="108"/>
  <c r="L32" i="108"/>
  <c r="K32" i="108"/>
  <c r="J32" i="108"/>
  <c r="I32" i="108"/>
  <c r="H32" i="108"/>
  <c r="G32" i="108"/>
  <c r="F32" i="108"/>
  <c r="E32" i="108"/>
  <c r="D32" i="108"/>
  <c r="C32" i="108"/>
  <c r="B25" i="108"/>
  <c r="B18" i="108"/>
  <c r="B17" i="108"/>
  <c r="B16" i="108"/>
  <c r="B15" i="108"/>
  <c r="L21" i="108"/>
  <c r="H21" i="108"/>
  <c r="G21" i="108"/>
  <c r="F21" i="108"/>
  <c r="D21" i="108"/>
  <c r="B12" i="108"/>
  <c r="B21" i="108" s="1"/>
  <c r="B11" i="184" l="1"/>
  <c r="G7" i="131"/>
  <c r="G22" i="131" s="1"/>
  <c r="G7" i="82"/>
  <c r="G8" i="82" s="1"/>
  <c r="E7" i="85"/>
  <c r="B6" i="183"/>
  <c r="B10" i="183"/>
  <c r="B11" i="183"/>
  <c r="M10" i="183" s="1"/>
  <c r="L10" i="183" s="1"/>
  <c r="K10" i="183" s="1"/>
  <c r="J10" i="183" s="1"/>
  <c r="I10" i="183" s="1"/>
  <c r="H10" i="183" s="1"/>
  <c r="H7" i="183" s="1"/>
  <c r="H22" i="183" s="1"/>
  <c r="B65" i="182"/>
  <c r="B11" i="188"/>
  <c r="B11" i="186"/>
  <c r="B23" i="186" s="1"/>
  <c r="K23" i="196"/>
  <c r="B52" i="93"/>
  <c r="B65" i="131"/>
  <c r="B32" i="81"/>
  <c r="B65" i="82"/>
  <c r="B32" i="121"/>
  <c r="J11" i="121"/>
  <c r="B32" i="122"/>
  <c r="B52" i="133"/>
  <c r="F7" i="109"/>
  <c r="G7" i="132"/>
  <c r="G8" i="132" s="1"/>
  <c r="G7" i="91"/>
  <c r="G8" i="91" s="1"/>
  <c r="G7" i="109"/>
  <c r="G22" i="109" s="1"/>
  <c r="B32" i="83"/>
  <c r="J11" i="196"/>
  <c r="J23" i="196" s="1"/>
  <c r="K11" i="233"/>
  <c r="K23" i="233" s="1"/>
  <c r="G7" i="85"/>
  <c r="G8" i="85" s="1"/>
  <c r="F7" i="81"/>
  <c r="F8" i="81" s="1"/>
  <c r="G7" i="111"/>
  <c r="G8" i="111" s="1"/>
  <c r="F7" i="111"/>
  <c r="F8" i="111" s="1"/>
  <c r="E7" i="84"/>
  <c r="E8" i="84" s="1"/>
  <c r="E7" i="83"/>
  <c r="E8" i="83" s="1"/>
  <c r="E7" i="82"/>
  <c r="E8" i="82" s="1"/>
  <c r="E7" i="81"/>
  <c r="E8" i="81" s="1"/>
  <c r="E7" i="132"/>
  <c r="E7" i="131"/>
  <c r="E8" i="131" s="1"/>
  <c r="E7" i="97"/>
  <c r="E7" i="94"/>
  <c r="E8" i="94" s="1"/>
  <c r="E7" i="91"/>
  <c r="E8" i="91" s="1"/>
  <c r="E7" i="110"/>
  <c r="E8" i="110" s="1"/>
  <c r="B65" i="91"/>
  <c r="F7" i="132"/>
  <c r="F8" i="132" s="1"/>
  <c r="F7" i="85"/>
  <c r="F22" i="85" s="1"/>
  <c r="G7" i="110"/>
  <c r="G8" i="110" s="1"/>
  <c r="D7" i="94"/>
  <c r="D8" i="94" s="1"/>
  <c r="D7" i="111"/>
  <c r="D8" i="111" s="1"/>
  <c r="B52" i="109"/>
  <c r="B52" i="111"/>
  <c r="B32" i="94"/>
  <c r="B32" i="97"/>
  <c r="B32" i="84"/>
  <c r="B32" i="120"/>
  <c r="B32" i="180"/>
  <c r="F7" i="110"/>
  <c r="F8" i="110" s="1"/>
  <c r="M22" i="184"/>
  <c r="K22" i="219"/>
  <c r="B65" i="109"/>
  <c r="B52" i="110"/>
  <c r="B10" i="110" s="1"/>
  <c r="B65" i="111"/>
  <c r="B11" i="111" s="1"/>
  <c r="B32" i="91"/>
  <c r="B6" i="91" s="1"/>
  <c r="B65" i="93"/>
  <c r="B32" i="131"/>
  <c r="B52" i="132"/>
  <c r="B32" i="82"/>
  <c r="B6" i="82" s="1"/>
  <c r="B52" i="85"/>
  <c r="B65" i="133"/>
  <c r="B52" i="86"/>
  <c r="B52" i="123"/>
  <c r="B52" i="141"/>
  <c r="B52" i="178"/>
  <c r="B52" i="179"/>
  <c r="B32" i="181"/>
  <c r="B32" i="182"/>
  <c r="G7" i="183"/>
  <c r="G8" i="183" s="1"/>
  <c r="B32" i="108"/>
  <c r="B65" i="108"/>
  <c r="B11" i="108" s="1"/>
  <c r="E7" i="109"/>
  <c r="E8" i="109" s="1"/>
  <c r="B32" i="110"/>
  <c r="B6" i="110" s="1"/>
  <c r="D7" i="110"/>
  <c r="D8" i="110" s="1"/>
  <c r="E7" i="111"/>
  <c r="E8" i="111" s="1"/>
  <c r="B52" i="91"/>
  <c r="F7" i="91"/>
  <c r="F8" i="91" s="1"/>
  <c r="E7" i="93"/>
  <c r="E8" i="93" s="1"/>
  <c r="G7" i="94"/>
  <c r="G8" i="94" s="1"/>
  <c r="B65" i="94"/>
  <c r="B11" i="94" s="1"/>
  <c r="E8" i="97"/>
  <c r="G7" i="97"/>
  <c r="G8" i="97" s="1"/>
  <c r="B65" i="97"/>
  <c r="B52" i="131"/>
  <c r="B32" i="132"/>
  <c r="G7" i="81"/>
  <c r="G8" i="81" s="1"/>
  <c r="B65" i="81"/>
  <c r="B52" i="82"/>
  <c r="F7" i="82"/>
  <c r="F8" i="82" s="1"/>
  <c r="G7" i="83"/>
  <c r="G22" i="83" s="1"/>
  <c r="B65" i="83"/>
  <c r="G7" i="84"/>
  <c r="G8" i="84" s="1"/>
  <c r="B65" i="84"/>
  <c r="B32" i="85"/>
  <c r="B6" i="85" s="1"/>
  <c r="B65" i="120"/>
  <c r="B65" i="121"/>
  <c r="B65" i="122"/>
  <c r="B32" i="86"/>
  <c r="B32" i="123"/>
  <c r="B32" i="141"/>
  <c r="B32" i="178"/>
  <c r="B6" i="178" s="1"/>
  <c r="B32" i="179"/>
  <c r="B65" i="180"/>
  <c r="B65" i="181"/>
  <c r="B52" i="108"/>
  <c r="B32" i="109"/>
  <c r="B65" i="110"/>
  <c r="B32" i="111"/>
  <c r="B6" i="111" s="1"/>
  <c r="B32" i="93"/>
  <c r="B52" i="94"/>
  <c r="B10" i="94" s="1"/>
  <c r="B52" i="97"/>
  <c r="B65" i="132"/>
  <c r="B52" i="81"/>
  <c r="B52" i="83"/>
  <c r="F7" i="83"/>
  <c r="B52" i="84"/>
  <c r="F7" i="84"/>
  <c r="F8" i="84" s="1"/>
  <c r="B65" i="85"/>
  <c r="B52" i="120"/>
  <c r="B52" i="121"/>
  <c r="B52" i="122"/>
  <c r="B32" i="133"/>
  <c r="B6" i="133" s="1"/>
  <c r="B65" i="86"/>
  <c r="B65" i="123"/>
  <c r="B65" i="141"/>
  <c r="B65" i="178"/>
  <c r="B65" i="179"/>
  <c r="B52" i="180"/>
  <c r="B52" i="181"/>
  <c r="B52" i="182"/>
  <c r="F7" i="94"/>
  <c r="F22" i="94" s="1"/>
  <c r="F7" i="97"/>
  <c r="F8" i="97" s="1"/>
  <c r="F7" i="131"/>
  <c r="F22" i="131" s="1"/>
  <c r="F7" i="123"/>
  <c r="F8" i="123" s="1"/>
  <c r="F8" i="109"/>
  <c r="F8" i="83"/>
  <c r="F7" i="183"/>
  <c r="F22" i="197"/>
  <c r="E8" i="132"/>
  <c r="F11" i="200"/>
  <c r="G7" i="200"/>
  <c r="G8" i="200" s="1"/>
  <c r="E11" i="185"/>
  <c r="F7" i="185"/>
  <c r="F8" i="185" s="1"/>
  <c r="E7" i="183"/>
  <c r="E8" i="183" s="1"/>
  <c r="G7" i="186"/>
  <c r="G8" i="186" s="1"/>
  <c r="F7" i="194"/>
  <c r="F8" i="194" s="1"/>
  <c r="E7" i="191"/>
  <c r="F7" i="184"/>
  <c r="F22" i="198"/>
  <c r="E22" i="198" s="1"/>
  <c r="F8" i="198"/>
  <c r="G7" i="93"/>
  <c r="G8" i="93" s="1"/>
  <c r="C10" i="121"/>
  <c r="B10" i="121" s="1"/>
  <c r="D7" i="188"/>
  <c r="G7" i="194"/>
  <c r="G8" i="194" s="1"/>
  <c r="F7" i="191"/>
  <c r="F8" i="191" s="1"/>
  <c r="E7" i="188"/>
  <c r="E8" i="188" s="1"/>
  <c r="D22" i="197"/>
  <c r="D8" i="197"/>
  <c r="F7" i="93"/>
  <c r="F8" i="93" s="1"/>
  <c r="E7" i="186"/>
  <c r="E8" i="186" s="1"/>
  <c r="G7" i="191"/>
  <c r="G8" i="191" s="1"/>
  <c r="F7" i="186"/>
  <c r="E8" i="197"/>
  <c r="E22" i="197"/>
  <c r="D7" i="191"/>
  <c r="G7" i="195"/>
  <c r="G8" i="195" s="1"/>
  <c r="G7" i="184"/>
  <c r="G8" i="184" s="1"/>
  <c r="E7" i="194"/>
  <c r="E8" i="194" s="1"/>
  <c r="F7" i="188"/>
  <c r="F8" i="188" s="1"/>
  <c r="G7" i="188"/>
  <c r="G8" i="188" s="1"/>
  <c r="C8" i="197"/>
  <c r="C8" i="198"/>
  <c r="B21" i="141"/>
  <c r="B21" i="183"/>
  <c r="B7" i="183"/>
  <c r="M6" i="183" s="1"/>
  <c r="L6" i="183" s="1"/>
  <c r="K6" i="183" s="1"/>
  <c r="J6" i="183" s="1"/>
  <c r="I6" i="183" s="1"/>
  <c r="H6" i="183" s="1"/>
  <c r="J23" i="82"/>
  <c r="L22" i="219"/>
  <c r="F10" i="219"/>
  <c r="F10" i="233" s="1"/>
  <c r="G7" i="219"/>
  <c r="G22" i="219" s="1"/>
  <c r="J23" i="111"/>
  <c r="L23" i="190"/>
  <c r="I23" i="85"/>
  <c r="I11" i="121"/>
  <c r="I23" i="121" s="1"/>
  <c r="F22" i="109"/>
  <c r="C23" i="186"/>
  <c r="M23" i="184"/>
  <c r="M11" i="93"/>
  <c r="M23" i="93" s="1"/>
  <c r="L23" i="93" s="1"/>
  <c r="M11" i="121"/>
  <c r="M23" i="121" s="1"/>
  <c r="H11" i="178"/>
  <c r="H23" i="178" s="1"/>
  <c r="M23" i="94"/>
  <c r="H11" i="81"/>
  <c r="C6" i="82"/>
  <c r="D22" i="186"/>
  <c r="L11" i="178"/>
  <c r="J11" i="131"/>
  <c r="J23" i="131" s="1"/>
  <c r="E22" i="109"/>
  <c r="L11" i="133"/>
  <c r="G11" i="141"/>
  <c r="G7" i="141" s="1"/>
  <c r="G8" i="141" s="1"/>
  <c r="K11" i="141"/>
  <c r="I23" i="184"/>
  <c r="H23" i="184" s="1"/>
  <c r="G23" i="184" s="1"/>
  <c r="F23" i="184" s="1"/>
  <c r="E23" i="184" s="1"/>
  <c r="D23" i="184" s="1"/>
  <c r="C6" i="85"/>
  <c r="L11" i="121"/>
  <c r="C23" i="184"/>
  <c r="B23" i="184" s="1"/>
  <c r="H11" i="121"/>
  <c r="G11" i="121" s="1"/>
  <c r="F11" i="121" s="1"/>
  <c r="E11" i="121" s="1"/>
  <c r="D11" i="121" s="1"/>
  <c r="C11" i="121" s="1"/>
  <c r="G11" i="178"/>
  <c r="G23" i="178" s="1"/>
  <c r="K11" i="178"/>
  <c r="K23" i="178" s="1"/>
  <c r="J11" i="122"/>
  <c r="J23" i="122" s="1"/>
  <c r="J7" i="183"/>
  <c r="I7" i="183"/>
  <c r="H23" i="186"/>
  <c r="C11" i="91"/>
  <c r="C23" i="91" s="1"/>
  <c r="H11" i="97"/>
  <c r="H23" i="97" s="1"/>
  <c r="G23" i="97" s="1"/>
  <c r="F23" i="97" s="1"/>
  <c r="E23" i="97" s="1"/>
  <c r="L11" i="81"/>
  <c r="K11" i="81" s="1"/>
  <c r="J11" i="81" s="1"/>
  <c r="M23" i="192"/>
  <c r="C6" i="180"/>
  <c r="J23" i="185"/>
  <c r="C10" i="108"/>
  <c r="I11" i="122"/>
  <c r="H11" i="122" s="1"/>
  <c r="H23" i="122" s="1"/>
  <c r="K11" i="133"/>
  <c r="K23" i="133" s="1"/>
  <c r="K11" i="181"/>
  <c r="J11" i="181" s="1"/>
  <c r="J23" i="181" s="1"/>
  <c r="G23" i="186"/>
  <c r="F23" i="186" s="1"/>
  <c r="M23" i="183"/>
  <c r="M23" i="191"/>
  <c r="L23" i="191" s="1"/>
  <c r="M23" i="189"/>
  <c r="G23" i="194"/>
  <c r="F23" i="194" s="1"/>
  <c r="E23" i="194" s="1"/>
  <c r="M10" i="108"/>
  <c r="C6" i="91"/>
  <c r="C11" i="132"/>
  <c r="K11" i="132"/>
  <c r="J11" i="132" s="1"/>
  <c r="I11" i="132" s="1"/>
  <c r="I23" i="132" s="1"/>
  <c r="C11" i="82"/>
  <c r="B11" i="82" s="1"/>
  <c r="C11" i="85"/>
  <c r="K11" i="85"/>
  <c r="J11" i="85" s="1"/>
  <c r="J23" i="85" s="1"/>
  <c r="C6" i="133"/>
  <c r="C6" i="178"/>
  <c r="I11" i="180"/>
  <c r="H11" i="180" s="1"/>
  <c r="G11" i="180" s="1"/>
  <c r="G7" i="180" s="1"/>
  <c r="G8" i="180" s="1"/>
  <c r="L11" i="182"/>
  <c r="K11" i="182" s="1"/>
  <c r="J11" i="182" s="1"/>
  <c r="F8" i="183"/>
  <c r="K23" i="187"/>
  <c r="H23" i="185"/>
  <c r="G23" i="185" s="1"/>
  <c r="F23" i="185" s="1"/>
  <c r="C11" i="110"/>
  <c r="B11" i="110" s="1"/>
  <c r="I11" i="111"/>
  <c r="H11" i="111" s="1"/>
  <c r="H23" i="111" s="1"/>
  <c r="G23" i="111" s="1"/>
  <c r="F23" i="111" s="1"/>
  <c r="E23" i="111" s="1"/>
  <c r="D23" i="111" s="1"/>
  <c r="C23" i="111" s="1"/>
  <c r="I6" i="93"/>
  <c r="C11" i="93"/>
  <c r="B11" i="93" s="1"/>
  <c r="M10" i="93" s="1"/>
  <c r="K11" i="93"/>
  <c r="J11" i="93" s="1"/>
  <c r="I11" i="93" s="1"/>
  <c r="I23" i="93" s="1"/>
  <c r="D23" i="97"/>
  <c r="C11" i="81"/>
  <c r="I11" i="82"/>
  <c r="H11" i="82" s="1"/>
  <c r="H23" i="82" s="1"/>
  <c r="G23" i="82" s="1"/>
  <c r="F23" i="82" s="1"/>
  <c r="E23" i="82" s="1"/>
  <c r="D23" i="82" s="1"/>
  <c r="C11" i="84"/>
  <c r="K11" i="84"/>
  <c r="E11" i="123"/>
  <c r="E7" i="123" s="1"/>
  <c r="E8" i="123" s="1"/>
  <c r="C10" i="109"/>
  <c r="D7" i="109"/>
  <c r="D22" i="109" s="1"/>
  <c r="C6" i="109"/>
  <c r="C10" i="91"/>
  <c r="D7" i="91"/>
  <c r="D22" i="91" s="1"/>
  <c r="C10" i="93"/>
  <c r="D7" i="93"/>
  <c r="D8" i="93" s="1"/>
  <c r="J11" i="91"/>
  <c r="I11" i="91" s="1"/>
  <c r="H11" i="91" s="1"/>
  <c r="I6" i="111"/>
  <c r="C6" i="93"/>
  <c r="L10" i="108"/>
  <c r="K10" i="108" s="1"/>
  <c r="J10" i="108" s="1"/>
  <c r="I10" i="108" s="1"/>
  <c r="H10" i="108" s="1"/>
  <c r="I6" i="109"/>
  <c r="C11" i="109"/>
  <c r="B11" i="109" s="1"/>
  <c r="M10" i="109" s="1"/>
  <c r="K11" i="109"/>
  <c r="J11" i="109" s="1"/>
  <c r="I11" i="109" s="1"/>
  <c r="I23" i="109" s="1"/>
  <c r="L11" i="110"/>
  <c r="K11" i="110" s="1"/>
  <c r="J11" i="110" s="1"/>
  <c r="M10" i="111"/>
  <c r="H23" i="93"/>
  <c r="G23" i="93" s="1"/>
  <c r="F23" i="93" s="1"/>
  <c r="E23" i="93" s="1"/>
  <c r="D23" i="93" s="1"/>
  <c r="I6" i="110"/>
  <c r="H6" i="110" s="1"/>
  <c r="B10" i="111"/>
  <c r="C7" i="111"/>
  <c r="C22" i="111" s="1"/>
  <c r="I6" i="91"/>
  <c r="B11" i="91"/>
  <c r="M10" i="91" s="1"/>
  <c r="H6" i="93"/>
  <c r="L10" i="93"/>
  <c r="M10" i="110"/>
  <c r="B6" i="94"/>
  <c r="C6" i="131"/>
  <c r="C10" i="81"/>
  <c r="D7" i="81"/>
  <c r="D22" i="81" s="1"/>
  <c r="C10" i="84"/>
  <c r="D7" i="84"/>
  <c r="D8" i="84" s="1"/>
  <c r="C21" i="108"/>
  <c r="K21" i="108"/>
  <c r="C21" i="109"/>
  <c r="G21" i="109"/>
  <c r="C21" i="110"/>
  <c r="I23" i="110"/>
  <c r="H23" i="110" s="1"/>
  <c r="G23" i="110" s="1"/>
  <c r="F23" i="110" s="1"/>
  <c r="E23" i="110" s="1"/>
  <c r="D23" i="110" s="1"/>
  <c r="M11" i="111"/>
  <c r="L11" i="111" s="1"/>
  <c r="K11" i="111" s="1"/>
  <c r="J21" i="111"/>
  <c r="C21" i="91"/>
  <c r="K21" i="93"/>
  <c r="L11" i="94"/>
  <c r="K11" i="94" s="1"/>
  <c r="J11" i="94" s="1"/>
  <c r="I11" i="94" s="1"/>
  <c r="H11" i="94" s="1"/>
  <c r="H23" i="94" s="1"/>
  <c r="G23" i="94" s="1"/>
  <c r="F23" i="94" s="1"/>
  <c r="E23" i="94" s="1"/>
  <c r="D23" i="94" s="1"/>
  <c r="C23" i="94" s="1"/>
  <c r="C11" i="97"/>
  <c r="L23" i="132"/>
  <c r="C11" i="83"/>
  <c r="E22" i="85"/>
  <c r="F8" i="85"/>
  <c r="E8" i="85" s="1"/>
  <c r="H11" i="85"/>
  <c r="H23" i="85" s="1"/>
  <c r="G23" i="85" s="1"/>
  <c r="F23" i="85" s="1"/>
  <c r="E23" i="85" s="1"/>
  <c r="D23" i="85" s="1"/>
  <c r="C10" i="97"/>
  <c r="D7" i="97"/>
  <c r="D8" i="97" s="1"/>
  <c r="C6" i="81"/>
  <c r="C10" i="83"/>
  <c r="D7" i="83"/>
  <c r="D8" i="83" s="1"/>
  <c r="C6" i="84"/>
  <c r="C10" i="120"/>
  <c r="C6" i="121"/>
  <c r="M11" i="108"/>
  <c r="L11" i="108" s="1"/>
  <c r="K11" i="108" s="1"/>
  <c r="J11" i="108" s="1"/>
  <c r="I11" i="108" s="1"/>
  <c r="H11" i="108" s="1"/>
  <c r="H23" i="108" s="1"/>
  <c r="G23" i="108" s="1"/>
  <c r="F23" i="108" s="1"/>
  <c r="E23" i="108" s="1"/>
  <c r="D23" i="108" s="1"/>
  <c r="C23" i="108" s="1"/>
  <c r="J21" i="108"/>
  <c r="M11" i="109"/>
  <c r="M23" i="109" s="1"/>
  <c r="L23" i="109" s="1"/>
  <c r="J21" i="109"/>
  <c r="H23" i="109"/>
  <c r="G23" i="109" s="1"/>
  <c r="F23" i="109" s="1"/>
  <c r="E23" i="109" s="1"/>
  <c r="D23" i="109" s="1"/>
  <c r="J21" i="110"/>
  <c r="M6" i="111"/>
  <c r="M6" i="91"/>
  <c r="M11" i="91"/>
  <c r="L11" i="91" s="1"/>
  <c r="F21" i="93"/>
  <c r="J21" i="93"/>
  <c r="M10" i="132"/>
  <c r="M10" i="82"/>
  <c r="M10" i="85"/>
  <c r="C6" i="97"/>
  <c r="C10" i="132"/>
  <c r="D7" i="132"/>
  <c r="D8" i="132" s="1"/>
  <c r="C10" i="82"/>
  <c r="D7" i="82"/>
  <c r="D22" i="82" s="1"/>
  <c r="C6" i="83"/>
  <c r="C10" i="85"/>
  <c r="D7" i="85"/>
  <c r="D22" i="85" s="1"/>
  <c r="C6" i="120"/>
  <c r="E21" i="108"/>
  <c r="I21" i="108"/>
  <c r="M21" i="108"/>
  <c r="I21" i="110"/>
  <c r="G22" i="111"/>
  <c r="M6" i="93"/>
  <c r="I21" i="93"/>
  <c r="M10" i="94"/>
  <c r="C11" i="131"/>
  <c r="B11" i="131" s="1"/>
  <c r="M10" i="131" s="1"/>
  <c r="C7" i="94"/>
  <c r="C22" i="94" s="1"/>
  <c r="C10" i="131"/>
  <c r="D7" i="131"/>
  <c r="D22" i="131" s="1"/>
  <c r="C6" i="132"/>
  <c r="M6" i="109"/>
  <c r="L21" i="109"/>
  <c r="M6" i="110"/>
  <c r="H21" i="110"/>
  <c r="M23" i="110"/>
  <c r="C21" i="111"/>
  <c r="D21" i="91"/>
  <c r="H21" i="93"/>
  <c r="I11" i="131"/>
  <c r="H11" i="131" s="1"/>
  <c r="H23" i="131" s="1"/>
  <c r="G23" i="131" s="1"/>
  <c r="F23" i="131" s="1"/>
  <c r="E23" i="131" s="1"/>
  <c r="D23" i="131" s="1"/>
  <c r="M10" i="81"/>
  <c r="J11" i="84"/>
  <c r="I11" i="84" s="1"/>
  <c r="C10" i="133"/>
  <c r="C6" i="86"/>
  <c r="C10" i="141"/>
  <c r="C10" i="178"/>
  <c r="C10" i="179"/>
  <c r="C10" i="180"/>
  <c r="C6" i="181"/>
  <c r="C6" i="182"/>
  <c r="E21" i="94"/>
  <c r="I21" i="94"/>
  <c r="M21" i="94"/>
  <c r="I21" i="97"/>
  <c r="M21" i="97"/>
  <c r="D21" i="131"/>
  <c r="H21" i="131"/>
  <c r="L21" i="131"/>
  <c r="I21" i="132"/>
  <c r="H23" i="132"/>
  <c r="G23" i="132" s="1"/>
  <c r="F23" i="132" s="1"/>
  <c r="E23" i="132" s="1"/>
  <c r="D23" i="132" s="1"/>
  <c r="M6" i="81"/>
  <c r="F21" i="81"/>
  <c r="I23" i="81"/>
  <c r="M11" i="82"/>
  <c r="L11" i="82" s="1"/>
  <c r="K11" i="82" s="1"/>
  <c r="J21" i="82"/>
  <c r="H21" i="83"/>
  <c r="C21" i="84"/>
  <c r="C21" i="85"/>
  <c r="H21" i="120"/>
  <c r="M6" i="121"/>
  <c r="I21" i="121"/>
  <c r="J23" i="180"/>
  <c r="I23" i="180" s="1"/>
  <c r="C6" i="141"/>
  <c r="C6" i="179"/>
  <c r="B6" i="180"/>
  <c r="M6" i="94"/>
  <c r="H21" i="94"/>
  <c r="L21" i="94"/>
  <c r="M6" i="97"/>
  <c r="H21" i="97"/>
  <c r="L21" i="97"/>
  <c r="G22" i="97"/>
  <c r="M6" i="131"/>
  <c r="C21" i="131"/>
  <c r="G21" i="131"/>
  <c r="K21" i="131"/>
  <c r="M6" i="132"/>
  <c r="H21" i="132"/>
  <c r="L21" i="132"/>
  <c r="I21" i="81"/>
  <c r="M21" i="82"/>
  <c r="M6" i="83"/>
  <c r="C21" i="83"/>
  <c r="G21" i="83"/>
  <c r="M23" i="84"/>
  <c r="L23" i="84" s="1"/>
  <c r="F21" i="85"/>
  <c r="J21" i="85"/>
  <c r="M23" i="85"/>
  <c r="L23" i="85" s="1"/>
  <c r="C21" i="120"/>
  <c r="C23" i="121"/>
  <c r="C11" i="122"/>
  <c r="F11" i="180"/>
  <c r="E11" i="180" s="1"/>
  <c r="D11" i="180" s="1"/>
  <c r="C11" i="180" s="1"/>
  <c r="B11" i="180" s="1"/>
  <c r="M10" i="180" s="1"/>
  <c r="I11" i="182"/>
  <c r="H11" i="182" s="1"/>
  <c r="G11" i="182" s="1"/>
  <c r="F11" i="182" s="1"/>
  <c r="E11" i="182" s="1"/>
  <c r="D11" i="182" s="1"/>
  <c r="C11" i="182" s="1"/>
  <c r="B11" i="182" s="1"/>
  <c r="C10" i="122"/>
  <c r="D7" i="122"/>
  <c r="D22" i="122" s="1"/>
  <c r="C10" i="123"/>
  <c r="C21" i="94"/>
  <c r="G21" i="94"/>
  <c r="C21" i="97"/>
  <c r="I23" i="97"/>
  <c r="M11" i="131"/>
  <c r="L11" i="131" s="1"/>
  <c r="L23" i="131" s="1"/>
  <c r="K23" i="131" s="1"/>
  <c r="F21" i="131"/>
  <c r="J21" i="131"/>
  <c r="M23" i="81"/>
  <c r="M6" i="82"/>
  <c r="D21" i="82"/>
  <c r="M11" i="83"/>
  <c r="L11" i="83" s="1"/>
  <c r="K11" i="83" s="1"/>
  <c r="J11" i="83" s="1"/>
  <c r="I11" i="83" s="1"/>
  <c r="H11" i="83" s="1"/>
  <c r="H23" i="83" s="1"/>
  <c r="G23" i="83" s="1"/>
  <c r="F23" i="83" s="1"/>
  <c r="E23" i="83" s="1"/>
  <c r="D23" i="83" s="1"/>
  <c r="J21" i="83"/>
  <c r="E21" i="85"/>
  <c r="I21" i="85"/>
  <c r="L11" i="120"/>
  <c r="K11" i="120" s="1"/>
  <c r="J11" i="120" s="1"/>
  <c r="I11" i="120" s="1"/>
  <c r="H11" i="120" s="1"/>
  <c r="J21" i="120"/>
  <c r="C21" i="121"/>
  <c r="K21" i="121"/>
  <c r="G11" i="122"/>
  <c r="F11" i="122" s="1"/>
  <c r="E11" i="122" s="1"/>
  <c r="E7" i="122" s="1"/>
  <c r="J11" i="133"/>
  <c r="I11" i="133" s="1"/>
  <c r="H11" i="133" s="1"/>
  <c r="G11" i="133" s="1"/>
  <c r="F11" i="133" s="1"/>
  <c r="E11" i="133" s="1"/>
  <c r="D11" i="133" s="1"/>
  <c r="C11" i="133" s="1"/>
  <c r="F11" i="178"/>
  <c r="E11" i="178" s="1"/>
  <c r="D11" i="178" s="1"/>
  <c r="C11" i="178" s="1"/>
  <c r="B11" i="178" s="1"/>
  <c r="M10" i="178" s="1"/>
  <c r="J11" i="178"/>
  <c r="J23" i="178" s="1"/>
  <c r="I11" i="181"/>
  <c r="H11" i="181" s="1"/>
  <c r="G11" i="181" s="1"/>
  <c r="F11" i="181" s="1"/>
  <c r="E11" i="181" s="1"/>
  <c r="D11" i="181" s="1"/>
  <c r="C11" i="181" s="1"/>
  <c r="C6" i="122"/>
  <c r="C10" i="86"/>
  <c r="C6" i="123"/>
  <c r="C10" i="181"/>
  <c r="C10" i="182"/>
  <c r="M11" i="97"/>
  <c r="L11" i="97" s="1"/>
  <c r="K11" i="97" s="1"/>
  <c r="J11" i="97" s="1"/>
  <c r="J23" i="97" s="1"/>
  <c r="M11" i="132"/>
  <c r="M23" i="132" s="1"/>
  <c r="C21" i="81"/>
  <c r="K21" i="81"/>
  <c r="C21" i="82"/>
  <c r="I21" i="83"/>
  <c r="M21" i="83"/>
  <c r="M6" i="85"/>
  <c r="L6" i="85" s="1"/>
  <c r="D21" i="85"/>
  <c r="I21" i="120"/>
  <c r="D11" i="123"/>
  <c r="C11" i="123" s="1"/>
  <c r="F11" i="141"/>
  <c r="E11" i="141" s="1"/>
  <c r="D11" i="141" s="1"/>
  <c r="C11" i="141" s="1"/>
  <c r="J11" i="141"/>
  <c r="I11" i="141" s="1"/>
  <c r="I23" i="141" s="1"/>
  <c r="K10" i="198"/>
  <c r="L7" i="198"/>
  <c r="L22" i="198" s="1"/>
  <c r="J6" i="219"/>
  <c r="K8" i="219"/>
  <c r="K11" i="192"/>
  <c r="J11" i="192" s="1"/>
  <c r="I11" i="192" s="1"/>
  <c r="H11" i="192" s="1"/>
  <c r="G11" i="192" s="1"/>
  <c r="L23" i="192"/>
  <c r="I11" i="189"/>
  <c r="H11" i="189" s="1"/>
  <c r="G11" i="189" s="1"/>
  <c r="J23" i="189"/>
  <c r="K10" i="196"/>
  <c r="L7" i="196"/>
  <c r="L6" i="196"/>
  <c r="B6" i="192"/>
  <c r="B10" i="195"/>
  <c r="B10" i="193"/>
  <c r="B10" i="191"/>
  <c r="B7" i="191" s="1"/>
  <c r="C7" i="191"/>
  <c r="C22" i="191" s="1"/>
  <c r="B10" i="185"/>
  <c r="J11" i="193"/>
  <c r="K23" i="193"/>
  <c r="F11" i="190"/>
  <c r="G23" i="190"/>
  <c r="K10" i="185"/>
  <c r="L7" i="185"/>
  <c r="L22" i="185" s="1"/>
  <c r="B10" i="184"/>
  <c r="B7" i="184" s="1"/>
  <c r="C7" i="184"/>
  <c r="C21" i="122"/>
  <c r="D21" i="133"/>
  <c r="H21" i="133"/>
  <c r="L21" i="133"/>
  <c r="M23" i="133"/>
  <c r="M6" i="86"/>
  <c r="M11" i="86"/>
  <c r="L11" i="86" s="1"/>
  <c r="K11" i="86" s="1"/>
  <c r="J11" i="86" s="1"/>
  <c r="I11" i="86" s="1"/>
  <c r="H11" i="86" s="1"/>
  <c r="G11" i="86" s="1"/>
  <c r="F11" i="86" s="1"/>
  <c r="E11" i="86" s="1"/>
  <c r="D11" i="86" s="1"/>
  <c r="C11" i="86" s="1"/>
  <c r="B11" i="86" s="1"/>
  <c r="M10" i="86" s="1"/>
  <c r="J21" i="86"/>
  <c r="D21" i="123"/>
  <c r="L21" i="123"/>
  <c r="M11" i="141"/>
  <c r="M23" i="141" s="1"/>
  <c r="L23" i="141" s="1"/>
  <c r="F21" i="141"/>
  <c r="J21" i="141"/>
  <c r="C21" i="178"/>
  <c r="G21" i="178"/>
  <c r="K21" i="178"/>
  <c r="I23" i="178"/>
  <c r="C21" i="180"/>
  <c r="K21" i="180"/>
  <c r="C21" i="181"/>
  <c r="E21" i="182"/>
  <c r="I21" i="182"/>
  <c r="C7" i="183"/>
  <c r="C22" i="183" s="1"/>
  <c r="K7" i="183"/>
  <c r="K8" i="183" s="1"/>
  <c r="C21" i="183"/>
  <c r="B22" i="197"/>
  <c r="I23" i="191"/>
  <c r="H23" i="191" s="1"/>
  <c r="G23" i="191" s="1"/>
  <c r="F23" i="191" s="1"/>
  <c r="E23" i="191" s="1"/>
  <c r="D23" i="191" s="1"/>
  <c r="C23" i="191" s="1"/>
  <c r="B23" i="191" s="1"/>
  <c r="B8" i="197"/>
  <c r="J23" i="190"/>
  <c r="J23" i="191"/>
  <c r="L10" i="188"/>
  <c r="L6" i="200"/>
  <c r="B6" i="189"/>
  <c r="B6" i="187"/>
  <c r="B6" i="185"/>
  <c r="B6" i="194"/>
  <c r="B6" i="191"/>
  <c r="B10" i="189"/>
  <c r="B10" i="187"/>
  <c r="L10" i="186"/>
  <c r="M7" i="186"/>
  <c r="M22" i="186" s="1"/>
  <c r="C11" i="194"/>
  <c r="B11" i="194" s="1"/>
  <c r="M10" i="194" s="1"/>
  <c r="D23" i="194"/>
  <c r="M11" i="122"/>
  <c r="M23" i="122" s="1"/>
  <c r="L23" i="122" s="1"/>
  <c r="K23" i="122" s="1"/>
  <c r="F21" i="122"/>
  <c r="J21" i="122"/>
  <c r="M6" i="133"/>
  <c r="C21" i="133"/>
  <c r="K21" i="133"/>
  <c r="E21" i="86"/>
  <c r="M21" i="86"/>
  <c r="M6" i="123"/>
  <c r="C21" i="123"/>
  <c r="M6" i="141"/>
  <c r="I21" i="141"/>
  <c r="H23" i="141"/>
  <c r="F21" i="178"/>
  <c r="J21" i="178"/>
  <c r="M23" i="178"/>
  <c r="M11" i="180"/>
  <c r="L11" i="180" s="1"/>
  <c r="J21" i="180"/>
  <c r="M23" i="181"/>
  <c r="L23" i="181" s="1"/>
  <c r="J21" i="181"/>
  <c r="H21" i="182"/>
  <c r="M23" i="182"/>
  <c r="F23" i="183"/>
  <c r="E23" i="183" s="1"/>
  <c r="D23" i="183" s="1"/>
  <c r="C23" i="183" s="1"/>
  <c r="B23" i="183" s="1"/>
  <c r="F21" i="183"/>
  <c r="B22" i="183"/>
  <c r="H23" i="195"/>
  <c r="G23" i="195" s="1"/>
  <c r="L6" i="198"/>
  <c r="M8" i="198"/>
  <c r="E11" i="195"/>
  <c r="F23" i="195"/>
  <c r="D11" i="200"/>
  <c r="B6" i="196"/>
  <c r="B10" i="194"/>
  <c r="B10" i="192"/>
  <c r="B10" i="190"/>
  <c r="M21" i="122"/>
  <c r="J21" i="133"/>
  <c r="M11" i="123"/>
  <c r="L11" i="123" s="1"/>
  <c r="K11" i="123" s="1"/>
  <c r="J11" i="123" s="1"/>
  <c r="I11" i="123" s="1"/>
  <c r="H11" i="123" s="1"/>
  <c r="G11" i="123" s="1"/>
  <c r="G7" i="123" s="1"/>
  <c r="G8" i="123" s="1"/>
  <c r="J21" i="123"/>
  <c r="D21" i="141"/>
  <c r="H21" i="141"/>
  <c r="E21" i="178"/>
  <c r="I21" i="178"/>
  <c r="M11" i="179"/>
  <c r="L11" i="179" s="1"/>
  <c r="K11" i="179" s="1"/>
  <c r="K23" i="180"/>
  <c r="E21" i="181"/>
  <c r="I21" i="181"/>
  <c r="C21" i="182"/>
  <c r="K21" i="182"/>
  <c r="M21" i="183"/>
  <c r="B8" i="198"/>
  <c r="D23" i="188"/>
  <c r="C23" i="188" s="1"/>
  <c r="B23" i="188" s="1"/>
  <c r="K23" i="191"/>
  <c r="I11" i="187"/>
  <c r="H11" i="187" s="1"/>
  <c r="G11" i="187" s="1"/>
  <c r="J23" i="187"/>
  <c r="L10" i="191"/>
  <c r="M7" i="191"/>
  <c r="L6" i="197"/>
  <c r="K6" i="197" s="1"/>
  <c r="M8" i="197"/>
  <c r="K10" i="197"/>
  <c r="L7" i="197"/>
  <c r="L22" i="197" s="1"/>
  <c r="B6" i="186"/>
  <c r="B6" i="195"/>
  <c r="B6" i="193"/>
  <c r="B6" i="190"/>
  <c r="B10" i="188"/>
  <c r="B7" i="188" s="1"/>
  <c r="B8" i="188" s="1"/>
  <c r="C7" i="188"/>
  <c r="C22" i="188" s="1"/>
  <c r="B10" i="186"/>
  <c r="C7" i="186"/>
  <c r="C22" i="186" s="1"/>
  <c r="K10" i="184"/>
  <c r="L7" i="184"/>
  <c r="L22" i="184" s="1"/>
  <c r="M6" i="122"/>
  <c r="L21" i="122"/>
  <c r="E21" i="133"/>
  <c r="K21" i="86"/>
  <c r="I21" i="123"/>
  <c r="D21" i="178"/>
  <c r="H21" i="178"/>
  <c r="I21" i="179"/>
  <c r="D21" i="180"/>
  <c r="D21" i="181"/>
  <c r="D7" i="183"/>
  <c r="D8" i="183" s="1"/>
  <c r="L7" i="183"/>
  <c r="L22" i="183" s="1"/>
  <c r="H23" i="183"/>
  <c r="G23" i="183" s="1"/>
  <c r="L23" i="183"/>
  <c r="K23" i="183" s="1"/>
  <c r="J23" i="183" s="1"/>
  <c r="I23" i="183" s="1"/>
  <c r="H21" i="183"/>
  <c r="L21" i="183"/>
  <c r="F22" i="183"/>
  <c r="E22" i="183" s="1"/>
  <c r="B22" i="198"/>
  <c r="M23" i="195"/>
  <c r="L23" i="195" s="1"/>
  <c r="M23" i="188"/>
  <c r="L23" i="188" s="1"/>
  <c r="K23" i="188" s="1"/>
  <c r="J23" i="188" s="1"/>
  <c r="I23" i="188" s="1"/>
  <c r="H23" i="188" s="1"/>
  <c r="G23" i="188" s="1"/>
  <c r="F23" i="188" s="1"/>
  <c r="E23" i="188" s="1"/>
  <c r="H23" i="200"/>
  <c r="G23" i="200" s="1"/>
  <c r="F23" i="200" s="1"/>
  <c r="M23" i="187"/>
  <c r="L23" i="187" s="1"/>
  <c r="K23" i="195"/>
  <c r="J23" i="195" s="1"/>
  <c r="I23" i="195" s="1"/>
  <c r="L23" i="189"/>
  <c r="K23" i="189" s="1"/>
  <c r="K23" i="194"/>
  <c r="J23" i="194" s="1"/>
  <c r="G7" i="108"/>
  <c r="F7" i="108"/>
  <c r="E7" i="108"/>
  <c r="E22" i="108" s="1"/>
  <c r="D7" i="108"/>
  <c r="D22" i="108" s="1"/>
  <c r="J6" i="108"/>
  <c r="G6" i="108"/>
  <c r="F6" i="108"/>
  <c r="E6" i="108"/>
  <c r="D6" i="108"/>
  <c r="B64" i="65"/>
  <c r="B64" i="232" s="1"/>
  <c r="B63" i="65"/>
  <c r="B63" i="232" s="1"/>
  <c r="B62" i="65"/>
  <c r="B62" i="232" s="1"/>
  <c r="B61" i="65"/>
  <c r="B61" i="232" s="1"/>
  <c r="B60" i="65"/>
  <c r="B60" i="232" s="1"/>
  <c r="B59" i="65"/>
  <c r="B59" i="232" s="1"/>
  <c r="J58" i="68"/>
  <c r="I58" i="68"/>
  <c r="H58" i="68"/>
  <c r="F58" i="68"/>
  <c r="D58" i="68"/>
  <c r="B58" i="65"/>
  <c r="L57" i="68"/>
  <c r="J57" i="68"/>
  <c r="I57" i="68"/>
  <c r="H57" i="68"/>
  <c r="F57" i="68"/>
  <c r="D57" i="68"/>
  <c r="B57" i="65"/>
  <c r="L56" i="68"/>
  <c r="J56" i="68"/>
  <c r="I56" i="68"/>
  <c r="H56" i="68"/>
  <c r="D56" i="68"/>
  <c r="B56" i="65"/>
  <c r="L55" i="68"/>
  <c r="J55" i="68"/>
  <c r="I55" i="68"/>
  <c r="H55" i="68"/>
  <c r="F55" i="68"/>
  <c r="D55" i="68"/>
  <c r="B55" i="65"/>
  <c r="M65" i="65"/>
  <c r="L65" i="65"/>
  <c r="L11" i="65" s="1"/>
  <c r="K65" i="65"/>
  <c r="J65" i="65"/>
  <c r="I65" i="65"/>
  <c r="H65" i="65"/>
  <c r="G65" i="65"/>
  <c r="G11" i="65" s="1"/>
  <c r="F65" i="65"/>
  <c r="F11" i="65" s="1"/>
  <c r="E65" i="65"/>
  <c r="E11" i="65" s="1"/>
  <c r="D65" i="65"/>
  <c r="D11" i="65" s="1"/>
  <c r="C65" i="65"/>
  <c r="B54" i="65"/>
  <c r="M51" i="68"/>
  <c r="K51" i="68"/>
  <c r="J51" i="68"/>
  <c r="I51" i="68"/>
  <c r="G51" i="68"/>
  <c r="E51" i="68"/>
  <c r="C51" i="68"/>
  <c r="B51" i="65"/>
  <c r="M50" i="68"/>
  <c r="J50" i="68"/>
  <c r="I50" i="68"/>
  <c r="G50" i="68"/>
  <c r="E50" i="68"/>
  <c r="C50" i="68"/>
  <c r="B50" i="65"/>
  <c r="M49" i="68"/>
  <c r="K49" i="68"/>
  <c r="I49" i="68"/>
  <c r="G49" i="68"/>
  <c r="F49" i="68"/>
  <c r="E49" i="68"/>
  <c r="C49" i="68"/>
  <c r="B49" i="65"/>
  <c r="B49" i="232" s="1"/>
  <c r="M48" i="68"/>
  <c r="K48" i="68"/>
  <c r="J48" i="68"/>
  <c r="I48" i="68"/>
  <c r="G48" i="68"/>
  <c r="E48" i="68"/>
  <c r="C48" i="68"/>
  <c r="B48" i="65"/>
  <c r="B48" i="232" s="1"/>
  <c r="M47" i="68"/>
  <c r="K47" i="68"/>
  <c r="J47" i="68"/>
  <c r="I47" i="68"/>
  <c r="G47" i="68"/>
  <c r="E47" i="68"/>
  <c r="C47" i="68"/>
  <c r="B47" i="65"/>
  <c r="M46" i="68"/>
  <c r="G46" i="68"/>
  <c r="F46" i="68"/>
  <c r="E46" i="68"/>
  <c r="C46" i="68"/>
  <c r="B46" i="65"/>
  <c r="B46" i="232" s="1"/>
  <c r="M45" i="68"/>
  <c r="K45" i="68"/>
  <c r="J45" i="68"/>
  <c r="I45" i="68"/>
  <c r="F45" i="68"/>
  <c r="E45" i="68"/>
  <c r="C45" i="68"/>
  <c r="B45" i="65"/>
  <c r="B45" i="232" s="1"/>
  <c r="M44" i="68"/>
  <c r="K44" i="68"/>
  <c r="J44" i="68"/>
  <c r="I44" i="68"/>
  <c r="G44" i="68"/>
  <c r="E44" i="68"/>
  <c r="C44" i="68"/>
  <c r="B44" i="65"/>
  <c r="M43" i="68"/>
  <c r="K43" i="68"/>
  <c r="I43" i="68"/>
  <c r="G43" i="68"/>
  <c r="F43" i="68"/>
  <c r="E43" i="68"/>
  <c r="C43" i="68"/>
  <c r="B43" i="65"/>
  <c r="B43" i="232" s="1"/>
  <c r="M42" i="68"/>
  <c r="K42" i="68"/>
  <c r="I42" i="68"/>
  <c r="G42" i="68"/>
  <c r="F42" i="68"/>
  <c r="E42" i="68"/>
  <c r="C42" i="68"/>
  <c r="B42" i="65"/>
  <c r="B42" i="232" s="1"/>
  <c r="M41" i="68"/>
  <c r="K41" i="68"/>
  <c r="J41" i="68"/>
  <c r="I41" i="68"/>
  <c r="E41" i="68"/>
  <c r="C41" i="68"/>
  <c r="B41" i="65"/>
  <c r="M40" i="68"/>
  <c r="K40" i="68"/>
  <c r="I40" i="68"/>
  <c r="G40" i="68"/>
  <c r="F40" i="68"/>
  <c r="E40" i="68"/>
  <c r="B40" i="65"/>
  <c r="M39" i="68"/>
  <c r="K39" i="68"/>
  <c r="I39" i="68"/>
  <c r="G39" i="68"/>
  <c r="F39" i="68"/>
  <c r="E39" i="68"/>
  <c r="C39" i="68"/>
  <c r="B39" i="65"/>
  <c r="B39" i="232" s="1"/>
  <c r="M38" i="68"/>
  <c r="K38" i="68"/>
  <c r="J38" i="68"/>
  <c r="I38" i="68"/>
  <c r="G38" i="68"/>
  <c r="E38" i="68"/>
  <c r="C38" i="68"/>
  <c r="B38" i="65"/>
  <c r="M37" i="68"/>
  <c r="K37" i="68"/>
  <c r="I37" i="68"/>
  <c r="G37" i="68"/>
  <c r="E37" i="68"/>
  <c r="C37" i="68"/>
  <c r="B37" i="65"/>
  <c r="M36" i="68"/>
  <c r="K36" i="68"/>
  <c r="I36" i="68"/>
  <c r="G36" i="68"/>
  <c r="F36" i="68"/>
  <c r="E36" i="68"/>
  <c r="B36" i="65"/>
  <c r="M35" i="68"/>
  <c r="K35" i="68"/>
  <c r="J35" i="68"/>
  <c r="I35" i="68"/>
  <c r="G35" i="68"/>
  <c r="E35" i="68"/>
  <c r="C35" i="68"/>
  <c r="B35" i="65"/>
  <c r="M52" i="65"/>
  <c r="L52" i="65"/>
  <c r="K52" i="65"/>
  <c r="J52" i="65"/>
  <c r="J10" i="65" s="1"/>
  <c r="I52" i="65"/>
  <c r="H52" i="65"/>
  <c r="G52" i="65"/>
  <c r="G10" i="65" s="1"/>
  <c r="F52" i="65"/>
  <c r="F10" i="65" s="1"/>
  <c r="F7" i="65" s="1"/>
  <c r="E52" i="65"/>
  <c r="E10" i="65" s="1"/>
  <c r="D52" i="65"/>
  <c r="D10" i="65" s="1"/>
  <c r="D10" i="232" s="1"/>
  <c r="C52" i="65"/>
  <c r="B34" i="65"/>
  <c r="L31" i="68"/>
  <c r="J31" i="68"/>
  <c r="H31" i="68"/>
  <c r="G31" i="68"/>
  <c r="F31" i="68"/>
  <c r="D31" i="68"/>
  <c r="B31" i="65"/>
  <c r="B31" i="232" s="1"/>
  <c r="L30" i="68"/>
  <c r="J30" i="68"/>
  <c r="H30" i="68"/>
  <c r="G30" i="68"/>
  <c r="F30" i="68"/>
  <c r="D30" i="68"/>
  <c r="B30" i="65"/>
  <c r="L29" i="68"/>
  <c r="K29" i="68"/>
  <c r="J29" i="68"/>
  <c r="G29" i="68"/>
  <c r="F29" i="68"/>
  <c r="D29" i="68"/>
  <c r="B29" i="65"/>
  <c r="B29" i="232" s="1"/>
  <c r="L28" i="68"/>
  <c r="K28" i="68"/>
  <c r="J28" i="68"/>
  <c r="H28" i="68"/>
  <c r="F28" i="68"/>
  <c r="D28" i="68"/>
  <c r="C28" i="68"/>
  <c r="B28" i="65"/>
  <c r="L27" i="68"/>
  <c r="K27" i="68"/>
  <c r="J27" i="68"/>
  <c r="B27" i="65"/>
  <c r="B27" i="232" s="1"/>
  <c r="B26" i="65"/>
  <c r="B26" i="232" s="1"/>
  <c r="M32" i="65"/>
  <c r="L32" i="65"/>
  <c r="K32" i="65"/>
  <c r="J32" i="65"/>
  <c r="I32" i="65"/>
  <c r="H32" i="65"/>
  <c r="G32" i="65"/>
  <c r="G6" i="65" s="1"/>
  <c r="G6" i="232" s="1"/>
  <c r="F32" i="65"/>
  <c r="F6" i="65" s="1"/>
  <c r="E32" i="65"/>
  <c r="E6" i="65" s="1"/>
  <c r="D32" i="65"/>
  <c r="D6" i="65" s="1"/>
  <c r="D6" i="232" s="1"/>
  <c r="C32" i="65"/>
  <c r="B25" i="65"/>
  <c r="B25" i="232" s="1"/>
  <c r="B18" i="65"/>
  <c r="B17" i="65"/>
  <c r="B16" i="65"/>
  <c r="B15" i="65"/>
  <c r="M21" i="65"/>
  <c r="L21" i="65"/>
  <c r="K21" i="65"/>
  <c r="I21" i="65"/>
  <c r="H21" i="65"/>
  <c r="G21" i="65"/>
  <c r="F23" i="65"/>
  <c r="E21" i="65"/>
  <c r="B12" i="65"/>
  <c r="B12" i="232" s="1"/>
  <c r="M64" i="68"/>
  <c r="L64" i="68"/>
  <c r="K64" i="68"/>
  <c r="J64" i="68"/>
  <c r="I64" i="68"/>
  <c r="H64" i="68"/>
  <c r="G64" i="68"/>
  <c r="F64" i="68"/>
  <c r="E64" i="68"/>
  <c r="D64" i="68"/>
  <c r="C64" i="68"/>
  <c r="B64" i="68"/>
  <c r="M63" i="68"/>
  <c r="L63" i="68"/>
  <c r="K63" i="68"/>
  <c r="J63" i="68"/>
  <c r="I63" i="68"/>
  <c r="H63" i="68"/>
  <c r="G63" i="68"/>
  <c r="F63" i="68"/>
  <c r="E63" i="68"/>
  <c r="D63" i="68"/>
  <c r="C63" i="68"/>
  <c r="B63" i="68"/>
  <c r="M62" i="68"/>
  <c r="L62" i="68"/>
  <c r="K62" i="68"/>
  <c r="J62" i="68"/>
  <c r="I62" i="68"/>
  <c r="H62" i="68"/>
  <c r="G62" i="68"/>
  <c r="F62" i="68"/>
  <c r="E62" i="68"/>
  <c r="D62" i="68"/>
  <c r="C62" i="68"/>
  <c r="M61" i="68"/>
  <c r="L61" i="68"/>
  <c r="K61" i="68"/>
  <c r="J61" i="68"/>
  <c r="I61" i="68"/>
  <c r="H61" i="68"/>
  <c r="G61" i="68"/>
  <c r="F61" i="68"/>
  <c r="E61" i="68"/>
  <c r="D61" i="68"/>
  <c r="C61" i="68"/>
  <c r="B61" i="68"/>
  <c r="M60" i="68"/>
  <c r="L60" i="68"/>
  <c r="K60" i="68"/>
  <c r="J60" i="68"/>
  <c r="I60" i="68"/>
  <c r="H60" i="68"/>
  <c r="G60" i="68"/>
  <c r="F60" i="68"/>
  <c r="E60" i="68"/>
  <c r="D60" i="68"/>
  <c r="C60" i="68"/>
  <c r="B60" i="68"/>
  <c r="M59" i="68"/>
  <c r="L59" i="68"/>
  <c r="K59" i="68"/>
  <c r="J59" i="68"/>
  <c r="I59" i="68"/>
  <c r="H59" i="68"/>
  <c r="G59" i="68"/>
  <c r="F59" i="68"/>
  <c r="E59" i="68"/>
  <c r="D59" i="68"/>
  <c r="C59" i="68"/>
  <c r="B59" i="68"/>
  <c r="M58" i="68"/>
  <c r="L58" i="68"/>
  <c r="K58" i="68" s="1"/>
  <c r="G58" i="68"/>
  <c r="E58" i="68"/>
  <c r="C58" i="68"/>
  <c r="M57" i="68"/>
  <c r="K57" i="68"/>
  <c r="G57" i="68"/>
  <c r="E57" i="68"/>
  <c r="C57" i="68"/>
  <c r="M56" i="68"/>
  <c r="K56" i="68"/>
  <c r="G56" i="68"/>
  <c r="F56" i="68"/>
  <c r="E56" i="68"/>
  <c r="C56" i="68"/>
  <c r="M55" i="68"/>
  <c r="K55" i="68"/>
  <c r="G55" i="68"/>
  <c r="E55" i="68"/>
  <c r="C55" i="68"/>
  <c r="K54" i="68"/>
  <c r="I54" i="68"/>
  <c r="G54" i="68"/>
  <c r="C54" i="68"/>
  <c r="B54" i="68"/>
  <c r="L51" i="68"/>
  <c r="H51" i="68"/>
  <c r="F51" i="68"/>
  <c r="D51" i="68"/>
  <c r="L50" i="68"/>
  <c r="K50" i="68"/>
  <c r="H50" i="68"/>
  <c r="F50" i="68"/>
  <c r="D50" i="68"/>
  <c r="L49" i="68"/>
  <c r="J49" i="68"/>
  <c r="H49" i="68"/>
  <c r="D49" i="68"/>
  <c r="L48" i="68"/>
  <c r="H48" i="68"/>
  <c r="F48" i="68"/>
  <c r="D48" i="68"/>
  <c r="B48" i="68"/>
  <c r="L47" i="68"/>
  <c r="H47" i="68"/>
  <c r="F47" i="68"/>
  <c r="D47" i="68"/>
  <c r="L46" i="68"/>
  <c r="K46" i="68"/>
  <c r="J46" i="68"/>
  <c r="D46" i="68"/>
  <c r="B46" i="68"/>
  <c r="L45" i="68"/>
  <c r="H45" i="68"/>
  <c r="G45" i="68"/>
  <c r="D45" i="68"/>
  <c r="B45" i="68"/>
  <c r="L44" i="68"/>
  <c r="H44" i="68"/>
  <c r="F44" i="68"/>
  <c r="D44" i="68"/>
  <c r="L43" i="68"/>
  <c r="J43" i="68"/>
  <c r="H43" i="68"/>
  <c r="D43" i="68"/>
  <c r="L42" i="68"/>
  <c r="J42" i="68"/>
  <c r="H42" i="68"/>
  <c r="D42" i="68"/>
  <c r="L41" i="68"/>
  <c r="H41" i="68"/>
  <c r="G41" i="68"/>
  <c r="F41" i="68"/>
  <c r="D41" i="68"/>
  <c r="L40" i="68"/>
  <c r="J40" i="68"/>
  <c r="H40" i="68"/>
  <c r="D40" i="68"/>
  <c r="C40" i="68"/>
  <c r="L39" i="68"/>
  <c r="J39" i="68"/>
  <c r="H39" i="68"/>
  <c r="D39" i="68"/>
  <c r="L38" i="68"/>
  <c r="H38" i="68"/>
  <c r="F38" i="68"/>
  <c r="D38" i="68"/>
  <c r="L37" i="68"/>
  <c r="J37" i="68"/>
  <c r="H37" i="68"/>
  <c r="F37" i="68"/>
  <c r="D37" i="68"/>
  <c r="L36" i="68"/>
  <c r="J36" i="68"/>
  <c r="H36" i="68"/>
  <c r="D36" i="68"/>
  <c r="C36" i="68"/>
  <c r="L35" i="68"/>
  <c r="H35" i="68"/>
  <c r="F35" i="68"/>
  <c r="D35" i="68"/>
  <c r="L34" i="68"/>
  <c r="K34" i="68"/>
  <c r="H34" i="68"/>
  <c r="F34" i="68"/>
  <c r="D34" i="68"/>
  <c r="M31" i="68"/>
  <c r="K31" i="68"/>
  <c r="I31" i="68"/>
  <c r="E31" i="68"/>
  <c r="C31" i="68"/>
  <c r="M30" i="68"/>
  <c r="K30" i="68"/>
  <c r="I30" i="68"/>
  <c r="E30" i="68"/>
  <c r="C30" i="68"/>
  <c r="M29" i="68"/>
  <c r="I29" i="68"/>
  <c r="H29" i="68"/>
  <c r="E29" i="68"/>
  <c r="C29" i="68"/>
  <c r="B29" i="68"/>
  <c r="M28" i="68"/>
  <c r="I28" i="68"/>
  <c r="G28" i="68"/>
  <c r="E28" i="68"/>
  <c r="M27" i="68"/>
  <c r="I27" i="68"/>
  <c r="F22" i="93" l="1"/>
  <c r="M7" i="93"/>
  <c r="B10" i="108"/>
  <c r="B11" i="84"/>
  <c r="B39" i="68"/>
  <c r="J8" i="183"/>
  <c r="B11" i="123"/>
  <c r="M10" i="123" s="1"/>
  <c r="B11" i="181"/>
  <c r="E22" i="81"/>
  <c r="B11" i="133"/>
  <c r="M10" i="133" s="1"/>
  <c r="B8" i="183"/>
  <c r="G22" i="183"/>
  <c r="B23" i="121"/>
  <c r="E22" i="94"/>
  <c r="B11" i="132"/>
  <c r="B11" i="121"/>
  <c r="M10" i="121" s="1"/>
  <c r="L10" i="121" s="1"/>
  <c r="K10" i="121" s="1"/>
  <c r="J10" i="121" s="1"/>
  <c r="I10" i="121" s="1"/>
  <c r="H10" i="121" s="1"/>
  <c r="H7" i="121" s="1"/>
  <c r="M7" i="183"/>
  <c r="M8" i="183" s="1"/>
  <c r="L23" i="178"/>
  <c r="B31" i="68"/>
  <c r="B43" i="68"/>
  <c r="I8" i="183"/>
  <c r="H23" i="180"/>
  <c r="B42" i="68"/>
  <c r="B23" i="94"/>
  <c r="B7" i="94"/>
  <c r="B22" i="94" s="1"/>
  <c r="K52" i="68"/>
  <c r="G23" i="180"/>
  <c r="G23" i="122"/>
  <c r="F23" i="122" s="1"/>
  <c r="G8" i="109"/>
  <c r="L11" i="232"/>
  <c r="L23" i="232" s="1"/>
  <c r="B7" i="194"/>
  <c r="M6" i="194" s="1"/>
  <c r="K23" i="141"/>
  <c r="B11" i="83"/>
  <c r="M10" i="83" s="1"/>
  <c r="M7" i="83" s="1"/>
  <c r="M22" i="83" s="1"/>
  <c r="B7" i="108"/>
  <c r="M6" i="108" s="1"/>
  <c r="B23" i="108"/>
  <c r="I23" i="122"/>
  <c r="K23" i="84"/>
  <c r="B11" i="81"/>
  <c r="F22" i="81"/>
  <c r="B49" i="68"/>
  <c r="B62" i="68"/>
  <c r="E6" i="232"/>
  <c r="E23" i="185"/>
  <c r="B11" i="85"/>
  <c r="E22" i="131"/>
  <c r="B38" i="68"/>
  <c r="B38" i="232"/>
  <c r="B21" i="232"/>
  <c r="G7" i="65"/>
  <c r="G22" i="65" s="1"/>
  <c r="G10" i="232"/>
  <c r="B41" i="68"/>
  <c r="B41" i="232"/>
  <c r="B56" i="68"/>
  <c r="B56" i="232"/>
  <c r="L22" i="196"/>
  <c r="F10" i="232"/>
  <c r="B34" i="68"/>
  <c r="B34" i="232"/>
  <c r="B36" i="68"/>
  <c r="B36" i="232"/>
  <c r="B44" i="68"/>
  <c r="B44" i="232"/>
  <c r="I11" i="196"/>
  <c r="J11" i="233"/>
  <c r="J23" i="233" s="1"/>
  <c r="F6" i="232"/>
  <c r="L6" i="233"/>
  <c r="B28" i="68"/>
  <c r="B28" i="232"/>
  <c r="E7" i="65"/>
  <c r="E8" i="65" s="1"/>
  <c r="E10" i="232"/>
  <c r="B37" i="68"/>
  <c r="B37" i="232"/>
  <c r="B47" i="68"/>
  <c r="B47" i="232"/>
  <c r="B50" i="68"/>
  <c r="B50" i="232"/>
  <c r="B57" i="68"/>
  <c r="B57" i="232"/>
  <c r="B35" i="68"/>
  <c r="B35" i="232"/>
  <c r="B30" i="68"/>
  <c r="B30" i="232"/>
  <c r="B40" i="68"/>
  <c r="B40" i="232"/>
  <c r="B51" i="68"/>
  <c r="B51" i="232"/>
  <c r="B65" i="65"/>
  <c r="B54" i="232"/>
  <c r="B55" i="68"/>
  <c r="B55" i="232"/>
  <c r="B58" i="68"/>
  <c r="B58" i="232"/>
  <c r="F22" i="123"/>
  <c r="F8" i="131"/>
  <c r="F22" i="97"/>
  <c r="E22" i="97" s="1"/>
  <c r="F8" i="94"/>
  <c r="F22" i="111"/>
  <c r="E22" i="111" s="1"/>
  <c r="D22" i="111" s="1"/>
  <c r="E23" i="122"/>
  <c r="D23" i="122" s="1"/>
  <c r="E22" i="93"/>
  <c r="F22" i="83"/>
  <c r="E22" i="83" s="1"/>
  <c r="D8" i="122"/>
  <c r="D22" i="94"/>
  <c r="F23" i="182"/>
  <c r="B11" i="141"/>
  <c r="M10" i="141" s="1"/>
  <c r="M7" i="141" s="1"/>
  <c r="M22" i="141" s="1"/>
  <c r="J23" i="132"/>
  <c r="F22" i="84"/>
  <c r="E22" i="84" s="1"/>
  <c r="K23" i="132"/>
  <c r="J7" i="108"/>
  <c r="J22" i="108" s="1"/>
  <c r="G23" i="141"/>
  <c r="L23" i="81"/>
  <c r="B11" i="122"/>
  <c r="M10" i="122" s="1"/>
  <c r="M7" i="122" s="1"/>
  <c r="M22" i="122" s="1"/>
  <c r="K23" i="85"/>
  <c r="K65" i="68"/>
  <c r="L23" i="182"/>
  <c r="B11" i="97"/>
  <c r="M10" i="97" s="1"/>
  <c r="M7" i="97" s="1"/>
  <c r="M22" i="97" s="1"/>
  <c r="G22" i="94"/>
  <c r="C7" i="110"/>
  <c r="C22" i="110" s="1"/>
  <c r="B32" i="65"/>
  <c r="D7" i="180"/>
  <c r="D22" i="180" s="1"/>
  <c r="H7" i="108"/>
  <c r="H22" i="108" s="1"/>
  <c r="G22" i="108" s="1"/>
  <c r="F22" i="108" s="1"/>
  <c r="D7" i="121"/>
  <c r="D8" i="121" s="1"/>
  <c r="D7" i="181"/>
  <c r="D22" i="181" s="1"/>
  <c r="B7" i="121"/>
  <c r="B22" i="121" s="1"/>
  <c r="H8" i="183"/>
  <c r="F8" i="65"/>
  <c r="C8" i="191"/>
  <c r="F8" i="108"/>
  <c r="C65" i="68"/>
  <c r="M22" i="188"/>
  <c r="D8" i="81"/>
  <c r="M7" i="108"/>
  <c r="L8" i="183"/>
  <c r="I65" i="68"/>
  <c r="D7" i="182"/>
  <c r="D8" i="182" s="1"/>
  <c r="D8" i="109"/>
  <c r="D8" i="85"/>
  <c r="C23" i="132"/>
  <c r="B23" i="132" s="1"/>
  <c r="C7" i="121"/>
  <c r="C22" i="121" s="1"/>
  <c r="C7" i="108"/>
  <c r="C22" i="108" s="1"/>
  <c r="C23" i="85"/>
  <c r="E22" i="122"/>
  <c r="E8" i="122"/>
  <c r="F11" i="187"/>
  <c r="F7" i="187" s="1"/>
  <c r="G7" i="187"/>
  <c r="G8" i="187" s="1"/>
  <c r="F11" i="189"/>
  <c r="G7" i="189"/>
  <c r="G8" i="189" s="1"/>
  <c r="D22" i="188"/>
  <c r="D8" i="188"/>
  <c r="E11" i="200"/>
  <c r="F7" i="200"/>
  <c r="F8" i="200" s="1"/>
  <c r="H52" i="68"/>
  <c r="F52" i="68"/>
  <c r="G65" i="68"/>
  <c r="E22" i="123"/>
  <c r="D7" i="86"/>
  <c r="D8" i="86" s="1"/>
  <c r="G7" i="182"/>
  <c r="G8" i="182" s="1"/>
  <c r="E7" i="86"/>
  <c r="F7" i="86"/>
  <c r="F8" i="86" s="1"/>
  <c r="F7" i="182"/>
  <c r="G7" i="178"/>
  <c r="G22" i="178" s="1"/>
  <c r="E7" i="133"/>
  <c r="E7" i="121"/>
  <c r="E8" i="121" s="1"/>
  <c r="C11" i="200"/>
  <c r="C7" i="200" s="1"/>
  <c r="D7" i="200"/>
  <c r="E11" i="190"/>
  <c r="F7" i="190"/>
  <c r="D22" i="191"/>
  <c r="D8" i="191"/>
  <c r="F8" i="186"/>
  <c r="F22" i="186"/>
  <c r="E22" i="186" s="1"/>
  <c r="E22" i="191"/>
  <c r="E8" i="191"/>
  <c r="D52" i="68"/>
  <c r="L52" i="68"/>
  <c r="C8" i="186"/>
  <c r="D7" i="141"/>
  <c r="D7" i="133"/>
  <c r="D8" i="91"/>
  <c r="F7" i="122"/>
  <c r="G7" i="122"/>
  <c r="G8" i="122" s="1"/>
  <c r="F7" i="121"/>
  <c r="F8" i="121" s="1"/>
  <c r="E7" i="181"/>
  <c r="F11" i="192"/>
  <c r="G7" i="192"/>
  <c r="G8" i="192" s="1"/>
  <c r="F22" i="184"/>
  <c r="E22" i="184" s="1"/>
  <c r="F8" i="184"/>
  <c r="D11" i="185"/>
  <c r="D23" i="185" s="1"/>
  <c r="E7" i="185"/>
  <c r="G8" i="108"/>
  <c r="C7" i="194"/>
  <c r="C8" i="194" s="1"/>
  <c r="D7" i="123"/>
  <c r="D8" i="123" s="1"/>
  <c r="D8" i="82"/>
  <c r="G7" i="181"/>
  <c r="G8" i="181" s="1"/>
  <c r="F7" i="133"/>
  <c r="F8" i="133" s="1"/>
  <c r="E7" i="141"/>
  <c r="E8" i="141" s="1"/>
  <c r="F7" i="141"/>
  <c r="F8" i="141" s="1"/>
  <c r="F7" i="180"/>
  <c r="F8" i="180" s="1"/>
  <c r="D11" i="195"/>
  <c r="E7" i="195"/>
  <c r="E8" i="195" s="1"/>
  <c r="D7" i="178"/>
  <c r="D8" i="131"/>
  <c r="E7" i="178"/>
  <c r="G7" i="133"/>
  <c r="G8" i="133" s="1"/>
  <c r="G7" i="121"/>
  <c r="G8" i="121" s="1"/>
  <c r="E7" i="182"/>
  <c r="E8" i="182" s="1"/>
  <c r="E7" i="180"/>
  <c r="E8" i="180" s="1"/>
  <c r="F7" i="178"/>
  <c r="G7" i="86"/>
  <c r="F7" i="181"/>
  <c r="F8" i="181" s="1"/>
  <c r="C8" i="111"/>
  <c r="C22" i="184"/>
  <c r="C8" i="184"/>
  <c r="C8" i="94"/>
  <c r="C8" i="188"/>
  <c r="C8" i="183"/>
  <c r="B21" i="65"/>
  <c r="K23" i="181"/>
  <c r="F23" i="180"/>
  <c r="E23" i="180" s="1"/>
  <c r="D23" i="180" s="1"/>
  <c r="B23" i="111"/>
  <c r="B7" i="111"/>
  <c r="B22" i="111" s="1"/>
  <c r="C23" i="82"/>
  <c r="B23" i="82" s="1"/>
  <c r="B23" i="91"/>
  <c r="B52" i="65"/>
  <c r="J34" i="68"/>
  <c r="J52" i="68" s="1"/>
  <c r="L23" i="121"/>
  <c r="K23" i="121" s="1"/>
  <c r="J23" i="121" s="1"/>
  <c r="B7" i="110"/>
  <c r="B22" i="110" s="1"/>
  <c r="M10" i="190"/>
  <c r="M7" i="190" s="1"/>
  <c r="M22" i="190" s="1"/>
  <c r="E54" i="68"/>
  <c r="E65" i="68" s="1"/>
  <c r="M54" i="68"/>
  <c r="M65" i="68" s="1"/>
  <c r="L23" i="133"/>
  <c r="C23" i="83"/>
  <c r="B23" i="181"/>
  <c r="E10" i="219"/>
  <c r="E10" i="233" s="1"/>
  <c r="F7" i="219"/>
  <c r="F22" i="219" s="1"/>
  <c r="I7" i="121"/>
  <c r="I22" i="121" s="1"/>
  <c r="H22" i="121" s="1"/>
  <c r="C23" i="180"/>
  <c r="B23" i="180" s="1"/>
  <c r="M23" i="111"/>
  <c r="L23" i="111" s="1"/>
  <c r="K23" i="111" s="1"/>
  <c r="L23" i="108"/>
  <c r="I23" i="111"/>
  <c r="C34" i="68"/>
  <c r="C52" i="68" s="1"/>
  <c r="L23" i="110"/>
  <c r="K23" i="110" s="1"/>
  <c r="J23" i="110" s="1"/>
  <c r="F54" i="68"/>
  <c r="F65" i="68" s="1"/>
  <c r="G34" i="68"/>
  <c r="G52" i="68" s="1"/>
  <c r="J54" i="68"/>
  <c r="J65" i="68" s="1"/>
  <c r="I23" i="82"/>
  <c r="C23" i="131"/>
  <c r="B23" i="131" s="1"/>
  <c r="D54" i="68"/>
  <c r="D65" i="68" s="1"/>
  <c r="H54" i="68"/>
  <c r="H65" i="68" s="1"/>
  <c r="L54" i="68"/>
  <c r="L65" i="68" s="1"/>
  <c r="K7" i="108"/>
  <c r="K22" i="108" s="1"/>
  <c r="K22" i="183"/>
  <c r="J22" i="183" s="1"/>
  <c r="I22" i="183" s="1"/>
  <c r="J23" i="93"/>
  <c r="I7" i="108"/>
  <c r="I22" i="108" s="1"/>
  <c r="D22" i="123"/>
  <c r="J23" i="84"/>
  <c r="I23" i="84" s="1"/>
  <c r="H23" i="84" s="1"/>
  <c r="G23" i="84" s="1"/>
  <c r="F23" i="84" s="1"/>
  <c r="E23" i="84" s="1"/>
  <c r="D23" i="84" s="1"/>
  <c r="C23" i="84" s="1"/>
  <c r="B23" i="84" s="1"/>
  <c r="D22" i="84"/>
  <c r="E34" i="68"/>
  <c r="E52" i="68" s="1"/>
  <c r="I34" i="68"/>
  <c r="I52" i="68" s="1"/>
  <c r="M34" i="68"/>
  <c r="M52" i="68" s="1"/>
  <c r="L7" i="108"/>
  <c r="L22" i="108" s="1"/>
  <c r="H23" i="81"/>
  <c r="G23" i="81" s="1"/>
  <c r="F23" i="81" s="1"/>
  <c r="E23" i="81" s="1"/>
  <c r="D23" i="81" s="1"/>
  <c r="C23" i="81" s="1"/>
  <c r="F23" i="178"/>
  <c r="I23" i="91"/>
  <c r="H23" i="91" s="1"/>
  <c r="G23" i="91" s="1"/>
  <c r="F23" i="91" s="1"/>
  <c r="E23" i="91" s="1"/>
  <c r="D23" i="91" s="1"/>
  <c r="K23" i="81"/>
  <c r="J23" i="81" s="1"/>
  <c r="I23" i="182"/>
  <c r="L7" i="121"/>
  <c r="D22" i="97"/>
  <c r="C23" i="122"/>
  <c r="K23" i="109"/>
  <c r="C23" i="110"/>
  <c r="B23" i="110" s="1"/>
  <c r="M7" i="121"/>
  <c r="M22" i="121" s="1"/>
  <c r="H23" i="121"/>
  <c r="G23" i="121" s="1"/>
  <c r="F23" i="121" s="1"/>
  <c r="E23" i="121" s="1"/>
  <c r="D23" i="121" s="1"/>
  <c r="K7" i="121"/>
  <c r="K22" i="121" s="1"/>
  <c r="J7" i="121"/>
  <c r="J22" i="121" s="1"/>
  <c r="I23" i="131"/>
  <c r="K11" i="65"/>
  <c r="I23" i="120"/>
  <c r="I23" i="108"/>
  <c r="M23" i="108"/>
  <c r="K23" i="93"/>
  <c r="K23" i="182"/>
  <c r="J23" i="182" s="1"/>
  <c r="J23" i="109"/>
  <c r="M23" i="123"/>
  <c r="H23" i="86"/>
  <c r="G23" i="86" s="1"/>
  <c r="F23" i="86" s="1"/>
  <c r="E23" i="86" s="1"/>
  <c r="D23" i="86" s="1"/>
  <c r="C23" i="86" s="1"/>
  <c r="B23" i="86" s="1"/>
  <c r="L23" i="94"/>
  <c r="K23" i="94" s="1"/>
  <c r="C23" i="93"/>
  <c r="B23" i="93" s="1"/>
  <c r="E23" i="65"/>
  <c r="J23" i="83"/>
  <c r="D23" i="123"/>
  <c r="C23" i="123" s="1"/>
  <c r="B23" i="123" s="1"/>
  <c r="C11" i="65"/>
  <c r="K23" i="97"/>
  <c r="K23" i="108"/>
  <c r="G23" i="65"/>
  <c r="I23" i="86"/>
  <c r="I23" i="123"/>
  <c r="H23" i="123" s="1"/>
  <c r="G23" i="123" s="1"/>
  <c r="F23" i="123" s="1"/>
  <c r="E23" i="123" s="1"/>
  <c r="M23" i="131"/>
  <c r="D22" i="93"/>
  <c r="C10" i="65"/>
  <c r="C10" i="232" s="1"/>
  <c r="D7" i="65"/>
  <c r="C6" i="65"/>
  <c r="I10" i="65"/>
  <c r="L10" i="65"/>
  <c r="B11" i="65"/>
  <c r="J11" i="65"/>
  <c r="L10" i="123"/>
  <c r="M7" i="123"/>
  <c r="M22" i="123" s="1"/>
  <c r="L10" i="180"/>
  <c r="M7" i="180"/>
  <c r="M22" i="180" s="1"/>
  <c r="L10" i="122"/>
  <c r="L10" i="84"/>
  <c r="M22" i="84"/>
  <c r="L6" i="110"/>
  <c r="B6" i="132"/>
  <c r="B10" i="85"/>
  <c r="C7" i="85"/>
  <c r="C22" i="85" s="1"/>
  <c r="B10" i="82"/>
  <c r="B7" i="82" s="1"/>
  <c r="B22" i="82" s="1"/>
  <c r="C7" i="82"/>
  <c r="B6" i="97"/>
  <c r="L10" i="132"/>
  <c r="M7" i="132"/>
  <c r="M22" i="132" s="1"/>
  <c r="L6" i="91"/>
  <c r="B10" i="120"/>
  <c r="B10" i="83"/>
  <c r="B7" i="83" s="1"/>
  <c r="C7" i="83"/>
  <c r="C22" i="83" s="1"/>
  <c r="B10" i="97"/>
  <c r="C7" i="97"/>
  <c r="C22" i="97" s="1"/>
  <c r="B10" i="81"/>
  <c r="B7" i="81" s="1"/>
  <c r="B22" i="81" s="1"/>
  <c r="C7" i="81"/>
  <c r="C22" i="81" s="1"/>
  <c r="K10" i="93"/>
  <c r="L7" i="93"/>
  <c r="L22" i="93" s="1"/>
  <c r="L10" i="91"/>
  <c r="M7" i="91"/>
  <c r="M22" i="91" s="1"/>
  <c r="L10" i="111"/>
  <c r="M7" i="111"/>
  <c r="M22" i="111" s="1"/>
  <c r="B10" i="93"/>
  <c r="B7" i="93" s="1"/>
  <c r="C7" i="93"/>
  <c r="C8" i="93" s="1"/>
  <c r="B10" i="109"/>
  <c r="B7" i="109" s="1"/>
  <c r="B22" i="109" s="1"/>
  <c r="C7" i="109"/>
  <c r="C22" i="109" s="1"/>
  <c r="C21" i="65"/>
  <c r="D23" i="65"/>
  <c r="L23" i="65"/>
  <c r="E8" i="108"/>
  <c r="L8" i="197"/>
  <c r="I23" i="187"/>
  <c r="H23" i="187" s="1"/>
  <c r="G23" i="187" s="1"/>
  <c r="D23" i="200"/>
  <c r="M23" i="180"/>
  <c r="L23" i="180" s="1"/>
  <c r="M23" i="179"/>
  <c r="L23" i="179" s="1"/>
  <c r="C23" i="194"/>
  <c r="B23" i="194" s="1"/>
  <c r="B8" i="191"/>
  <c r="B22" i="184"/>
  <c r="F23" i="190"/>
  <c r="K23" i="192"/>
  <c r="J23" i="192" s="1"/>
  <c r="I23" i="192" s="1"/>
  <c r="H23" i="192" s="1"/>
  <c r="G23" i="192" s="1"/>
  <c r="H23" i="133"/>
  <c r="G23" i="133" s="1"/>
  <c r="F23" i="133" s="1"/>
  <c r="E23" i="133" s="1"/>
  <c r="D23" i="133" s="1"/>
  <c r="C23" i="133" s="1"/>
  <c r="B23" i="133" s="1"/>
  <c r="D23" i="181"/>
  <c r="C23" i="181" s="1"/>
  <c r="I23" i="83"/>
  <c r="J23" i="141"/>
  <c r="L23" i="123"/>
  <c r="K23" i="123" s="1"/>
  <c r="J23" i="123" s="1"/>
  <c r="M23" i="120"/>
  <c r="L23" i="120" s="1"/>
  <c r="K23" i="120" s="1"/>
  <c r="K23" i="83"/>
  <c r="J23" i="94"/>
  <c r="C23" i="97"/>
  <c r="M23" i="82"/>
  <c r="L23" i="82" s="1"/>
  <c r="K23" i="82" s="1"/>
  <c r="J23" i="108"/>
  <c r="L6" i="108"/>
  <c r="L6" i="122"/>
  <c r="B7" i="186"/>
  <c r="B8" i="186" s="1"/>
  <c r="J10" i="197"/>
  <c r="K7" i="197"/>
  <c r="K22" i="197" s="1"/>
  <c r="K10" i="191"/>
  <c r="L7" i="191"/>
  <c r="J11" i="179"/>
  <c r="I11" i="179" s="1"/>
  <c r="K23" i="179"/>
  <c r="L6" i="192"/>
  <c r="L10" i="195"/>
  <c r="K10" i="186"/>
  <c r="L7" i="186"/>
  <c r="L22" i="186" s="1"/>
  <c r="L6" i="189"/>
  <c r="K6" i="200"/>
  <c r="L6" i="86"/>
  <c r="J10" i="185"/>
  <c r="K7" i="185"/>
  <c r="K22" i="185" s="1"/>
  <c r="I11" i="193"/>
  <c r="J23" i="193"/>
  <c r="M6" i="191"/>
  <c r="B22" i="191"/>
  <c r="L6" i="195"/>
  <c r="K6" i="196"/>
  <c r="L8" i="196"/>
  <c r="C11" i="189"/>
  <c r="I6" i="219"/>
  <c r="J8" i="219"/>
  <c r="K6" i="85"/>
  <c r="B10" i="182"/>
  <c r="B7" i="182" s="1"/>
  <c r="C7" i="182"/>
  <c r="C22" i="182" s="1"/>
  <c r="B6" i="123"/>
  <c r="B6" i="122"/>
  <c r="L10" i="181"/>
  <c r="M22" i="181"/>
  <c r="L10" i="178"/>
  <c r="M7" i="178"/>
  <c r="M22" i="178" s="1"/>
  <c r="G11" i="120"/>
  <c r="H23" i="120"/>
  <c r="L6" i="84"/>
  <c r="B10" i="122"/>
  <c r="C7" i="122"/>
  <c r="C22" i="122" s="1"/>
  <c r="L6" i="120"/>
  <c r="L6" i="131"/>
  <c r="L6" i="121"/>
  <c r="M8" i="121"/>
  <c r="B6" i="182"/>
  <c r="B10" i="180"/>
  <c r="B7" i="180" s="1"/>
  <c r="B8" i="180" s="1"/>
  <c r="C7" i="180"/>
  <c r="C22" i="180" s="1"/>
  <c r="B10" i="178"/>
  <c r="C7" i="178"/>
  <c r="B6" i="86"/>
  <c r="L10" i="81"/>
  <c r="M7" i="81"/>
  <c r="M22" i="81" s="1"/>
  <c r="L10" i="131"/>
  <c r="M7" i="131"/>
  <c r="M22" i="131" s="1"/>
  <c r="L6" i="111"/>
  <c r="L10" i="97"/>
  <c r="H6" i="109"/>
  <c r="F21" i="65"/>
  <c r="J21" i="65"/>
  <c r="B8" i="194"/>
  <c r="M22" i="191"/>
  <c r="I23" i="181"/>
  <c r="H23" i="181" s="1"/>
  <c r="G23" i="181" s="1"/>
  <c r="F23" i="181" s="1"/>
  <c r="E23" i="181" s="1"/>
  <c r="E23" i="178"/>
  <c r="D23" i="178" s="1"/>
  <c r="C23" i="178" s="1"/>
  <c r="B23" i="178" s="1"/>
  <c r="J23" i="133"/>
  <c r="I23" i="133" s="1"/>
  <c r="J23" i="120"/>
  <c r="L23" i="97"/>
  <c r="M23" i="83"/>
  <c r="L23" i="83" s="1"/>
  <c r="M23" i="97"/>
  <c r="M23" i="91"/>
  <c r="L23" i="91" s="1"/>
  <c r="K23" i="91" s="1"/>
  <c r="J23" i="91" s="1"/>
  <c r="M22" i="93"/>
  <c r="C6" i="108"/>
  <c r="D8" i="108"/>
  <c r="I6" i="108"/>
  <c r="L6" i="123"/>
  <c r="K6" i="123" s="1"/>
  <c r="L6" i="133"/>
  <c r="L10" i="86"/>
  <c r="M7" i="86"/>
  <c r="M22" i="86" s="1"/>
  <c r="L6" i="81"/>
  <c r="L6" i="109"/>
  <c r="B10" i="131"/>
  <c r="B7" i="131" s="1"/>
  <c r="B22" i="131" s="1"/>
  <c r="C7" i="131"/>
  <c r="C22" i="131" s="1"/>
  <c r="B6" i="120"/>
  <c r="B6" i="83"/>
  <c r="B10" i="132"/>
  <c r="B7" i="132" s="1"/>
  <c r="C7" i="132"/>
  <c r="C8" i="132" s="1"/>
  <c r="L10" i="85"/>
  <c r="M7" i="85"/>
  <c r="M22" i="85" s="1"/>
  <c r="B6" i="121"/>
  <c r="B6" i="84"/>
  <c r="B6" i="81"/>
  <c r="B10" i="84"/>
  <c r="B7" i="84" s="1"/>
  <c r="C7" i="84"/>
  <c r="C22" i="84" s="1"/>
  <c r="B6" i="131"/>
  <c r="L10" i="110"/>
  <c r="M7" i="110"/>
  <c r="M22" i="110" s="1"/>
  <c r="H6" i="91"/>
  <c r="B10" i="91"/>
  <c r="B7" i="91" s="1"/>
  <c r="B22" i="91" s="1"/>
  <c r="C7" i="91"/>
  <c r="C22" i="91" s="1"/>
  <c r="B6" i="109"/>
  <c r="F22" i="65"/>
  <c r="D22" i="183"/>
  <c r="E23" i="195"/>
  <c r="D23" i="195" s="1"/>
  <c r="I23" i="189"/>
  <c r="H23" i="189" s="1"/>
  <c r="G23" i="189" s="1"/>
  <c r="F23" i="189" s="1"/>
  <c r="J23" i="86"/>
  <c r="H23" i="182"/>
  <c r="G23" i="182" s="1"/>
  <c r="E23" i="182"/>
  <c r="D23" i="182" s="1"/>
  <c r="C23" i="182" s="1"/>
  <c r="B23" i="182" s="1"/>
  <c r="M23" i="86"/>
  <c r="L23" i="86" s="1"/>
  <c r="K23" i="86" s="1"/>
  <c r="D22" i="83"/>
  <c r="I23" i="94"/>
  <c r="C23" i="109"/>
  <c r="B23" i="109" s="1"/>
  <c r="J10" i="184"/>
  <c r="K7" i="184"/>
  <c r="K22" i="184" s="1"/>
  <c r="B22" i="188"/>
  <c r="J6" i="197"/>
  <c r="E11" i="187"/>
  <c r="L6" i="190"/>
  <c r="L6" i="194"/>
  <c r="B11" i="200"/>
  <c r="K6" i="198"/>
  <c r="L8" i="198"/>
  <c r="L6" i="141"/>
  <c r="L10" i="194"/>
  <c r="M7" i="194"/>
  <c r="M8" i="194" s="1"/>
  <c r="L6" i="187"/>
  <c r="K10" i="188"/>
  <c r="L7" i="188"/>
  <c r="L22" i="188" s="1"/>
  <c r="B8" i="184"/>
  <c r="L10" i="190"/>
  <c r="M6" i="185"/>
  <c r="J10" i="196"/>
  <c r="K7" i="196"/>
  <c r="L10" i="192"/>
  <c r="J10" i="198"/>
  <c r="K7" i="198"/>
  <c r="K22" i="198" s="1"/>
  <c r="L10" i="141"/>
  <c r="B10" i="181"/>
  <c r="B7" i="181" s="1"/>
  <c r="C7" i="181"/>
  <c r="C22" i="181" s="1"/>
  <c r="B10" i="86"/>
  <c r="B7" i="86" s="1"/>
  <c r="C7" i="86"/>
  <c r="C22" i="86" s="1"/>
  <c r="L10" i="133"/>
  <c r="M7" i="133"/>
  <c r="M8" i="133" s="1"/>
  <c r="L6" i="82"/>
  <c r="B10" i="123"/>
  <c r="B7" i="123" s="1"/>
  <c r="C7" i="123"/>
  <c r="C22" i="123" s="1"/>
  <c r="L10" i="182"/>
  <c r="L6" i="83"/>
  <c r="L6" i="132"/>
  <c r="L6" i="97"/>
  <c r="L6" i="94"/>
  <c r="B6" i="179"/>
  <c r="B6" i="141"/>
  <c r="B6" i="181"/>
  <c r="B10" i="179"/>
  <c r="B10" i="141"/>
  <c r="B7" i="141" s="1"/>
  <c r="C7" i="141"/>
  <c r="C22" i="141" s="1"/>
  <c r="B10" i="133"/>
  <c r="B7" i="133" s="1"/>
  <c r="B22" i="133" s="1"/>
  <c r="C7" i="133"/>
  <c r="C22" i="133" s="1"/>
  <c r="L10" i="94"/>
  <c r="M7" i="94"/>
  <c r="M22" i="94" s="1"/>
  <c r="L6" i="93"/>
  <c r="M8" i="93"/>
  <c r="L10" i="82"/>
  <c r="M7" i="82"/>
  <c r="M22" i="82" s="1"/>
  <c r="L10" i="83"/>
  <c r="L10" i="109"/>
  <c r="M7" i="109"/>
  <c r="M8" i="109" s="1"/>
  <c r="B6" i="93"/>
  <c r="H6" i="111"/>
  <c r="D21" i="65"/>
  <c r="F23" i="141"/>
  <c r="E23" i="141" s="1"/>
  <c r="D23" i="141" s="1"/>
  <c r="C23" i="141" s="1"/>
  <c r="H27" i="68"/>
  <c r="G27" i="68"/>
  <c r="F27" i="68"/>
  <c r="E27" i="68"/>
  <c r="D27" i="68"/>
  <c r="C27" i="68"/>
  <c r="B27" i="68"/>
  <c r="M26" i="68"/>
  <c r="L26" i="68"/>
  <c r="K26" i="68"/>
  <c r="J26" i="68"/>
  <c r="I26" i="68"/>
  <c r="H26" i="68"/>
  <c r="G26" i="68"/>
  <c r="F26" i="68"/>
  <c r="E26" i="68"/>
  <c r="D26" i="68"/>
  <c r="C26" i="68"/>
  <c r="B26" i="68"/>
  <c r="M25" i="68"/>
  <c r="K25" i="68"/>
  <c r="J25" i="68"/>
  <c r="I25" i="68"/>
  <c r="H25" i="68"/>
  <c r="G25" i="68"/>
  <c r="F25" i="68"/>
  <c r="E25" i="68"/>
  <c r="D25" i="68"/>
  <c r="C25" i="68"/>
  <c r="B25" i="68"/>
  <c r="M20" i="68"/>
  <c r="M21" i="68" s="1"/>
  <c r="L20" i="68"/>
  <c r="K20" i="68"/>
  <c r="J20" i="68"/>
  <c r="I20" i="68"/>
  <c r="H20" i="68"/>
  <c r="G20" i="68"/>
  <c r="F20" i="68"/>
  <c r="E20" i="68"/>
  <c r="D20" i="68"/>
  <c r="B20" i="68"/>
  <c r="B18" i="68"/>
  <c r="B17" i="68"/>
  <c r="B16" i="68"/>
  <c r="B15" i="68"/>
  <c r="M14" i="68"/>
  <c r="L14" i="68"/>
  <c r="K14" i="68"/>
  <c r="J14" i="68"/>
  <c r="I14" i="68"/>
  <c r="H14" i="68"/>
  <c r="G14" i="68"/>
  <c r="F14" i="68"/>
  <c r="E14" i="68"/>
  <c r="D14" i="68"/>
  <c r="C14" i="68"/>
  <c r="B14" i="68"/>
  <c r="L12" i="68"/>
  <c r="K12" i="68"/>
  <c r="J12" i="68"/>
  <c r="I12" i="68"/>
  <c r="H12" i="68"/>
  <c r="G12" i="68"/>
  <c r="F12" i="68"/>
  <c r="E12" i="68"/>
  <c r="D12" i="68"/>
  <c r="C12" i="68"/>
  <c r="C21" i="68" s="1"/>
  <c r="M22" i="108" l="1"/>
  <c r="B8" i="94"/>
  <c r="B23" i="141"/>
  <c r="E22" i="65"/>
  <c r="B8" i="121"/>
  <c r="B23" i="83"/>
  <c r="G8" i="65"/>
  <c r="M22" i="183"/>
  <c r="M8" i="94"/>
  <c r="M8" i="108"/>
  <c r="B8" i="93"/>
  <c r="B22" i="108"/>
  <c r="B23" i="81"/>
  <c r="E23" i="190"/>
  <c r="D8" i="181"/>
  <c r="B23" i="85"/>
  <c r="B23" i="97"/>
  <c r="B7" i="97"/>
  <c r="B22" i="97" s="1"/>
  <c r="B23" i="122"/>
  <c r="B7" i="122"/>
  <c r="B32" i="232"/>
  <c r="J8" i="108"/>
  <c r="J32" i="68"/>
  <c r="B65" i="68"/>
  <c r="B52" i="68"/>
  <c r="K32" i="68"/>
  <c r="D8" i="180"/>
  <c r="F23" i="192"/>
  <c r="C23" i="65"/>
  <c r="H11" i="196"/>
  <c r="I11" i="233"/>
  <c r="I23" i="233" s="1"/>
  <c r="B65" i="232"/>
  <c r="I23" i="196"/>
  <c r="B23" i="65"/>
  <c r="D22" i="65"/>
  <c r="K23" i="65"/>
  <c r="K11" i="232"/>
  <c r="K23" i="232" s="1"/>
  <c r="K22" i="196"/>
  <c r="I11" i="65"/>
  <c r="I11" i="232" s="1"/>
  <c r="I23" i="232" s="1"/>
  <c r="J11" i="232"/>
  <c r="J23" i="232" s="1"/>
  <c r="B8" i="181"/>
  <c r="K6" i="233"/>
  <c r="C6" i="232"/>
  <c r="B52" i="232"/>
  <c r="H32" i="68"/>
  <c r="M23" i="233"/>
  <c r="M11" i="232"/>
  <c r="M23" i="232" s="1"/>
  <c r="M23" i="65"/>
  <c r="B8" i="110"/>
  <c r="B8" i="111"/>
  <c r="G22" i="121"/>
  <c r="M8" i="122"/>
  <c r="C8" i="110"/>
  <c r="M8" i="111"/>
  <c r="B22" i="141"/>
  <c r="B22" i="123"/>
  <c r="C8" i="182"/>
  <c r="C32" i="68"/>
  <c r="M8" i="132"/>
  <c r="M8" i="82"/>
  <c r="C23" i="200"/>
  <c r="B23" i="200" s="1"/>
  <c r="M8" i="123"/>
  <c r="M8" i="97"/>
  <c r="M8" i="83"/>
  <c r="K8" i="197"/>
  <c r="G32" i="68"/>
  <c r="F32" i="68"/>
  <c r="F22" i="121"/>
  <c r="E22" i="121" s="1"/>
  <c r="D22" i="121" s="1"/>
  <c r="F23" i="187"/>
  <c r="D22" i="86"/>
  <c r="D8" i="65"/>
  <c r="D32" i="68"/>
  <c r="C22" i="93"/>
  <c r="B22" i="93" s="1"/>
  <c r="C8" i="121"/>
  <c r="C8" i="83"/>
  <c r="C8" i="81"/>
  <c r="F22" i="178"/>
  <c r="F8" i="178"/>
  <c r="C11" i="185"/>
  <c r="C23" i="185" s="1"/>
  <c r="D7" i="185"/>
  <c r="E11" i="192"/>
  <c r="E23" i="192" s="1"/>
  <c r="F7" i="192"/>
  <c r="F22" i="122"/>
  <c r="F8" i="122"/>
  <c r="D22" i="200"/>
  <c r="D8" i="200"/>
  <c r="E7" i="200"/>
  <c r="E23" i="200"/>
  <c r="E11" i="189"/>
  <c r="E23" i="189" s="1"/>
  <c r="F7" i="189"/>
  <c r="F8" i="189" s="1"/>
  <c r="E32" i="68"/>
  <c r="I32" i="68"/>
  <c r="C8" i="181"/>
  <c r="M8" i="81"/>
  <c r="M8" i="86"/>
  <c r="J7" i="65"/>
  <c r="F11" i="120"/>
  <c r="F23" i="120" s="1"/>
  <c r="G7" i="120"/>
  <c r="G8" i="86"/>
  <c r="G22" i="86"/>
  <c r="F22" i="86" s="1"/>
  <c r="C11" i="195"/>
  <c r="C23" i="195" s="1"/>
  <c r="D7" i="195"/>
  <c r="D8" i="195" s="1"/>
  <c r="E22" i="185"/>
  <c r="E8" i="185"/>
  <c r="D22" i="141"/>
  <c r="D8" i="141"/>
  <c r="D11" i="190"/>
  <c r="D23" i="190" s="1"/>
  <c r="E7" i="190"/>
  <c r="E22" i="133"/>
  <c r="E8" i="133"/>
  <c r="E8" i="86"/>
  <c r="E22" i="86"/>
  <c r="M8" i="141"/>
  <c r="M8" i="91"/>
  <c r="D11" i="187"/>
  <c r="E7" i="187"/>
  <c r="D22" i="133"/>
  <c r="D8" i="133"/>
  <c r="F8" i="190"/>
  <c r="F22" i="190"/>
  <c r="F22" i="187"/>
  <c r="F8" i="187"/>
  <c r="M8" i="131"/>
  <c r="M8" i="110"/>
  <c r="B11" i="189"/>
  <c r="M22" i="189" s="1"/>
  <c r="C7" i="189"/>
  <c r="E8" i="178"/>
  <c r="E22" i="178"/>
  <c r="D22" i="178"/>
  <c r="D8" i="178"/>
  <c r="E8" i="181"/>
  <c r="E22" i="181"/>
  <c r="C22" i="200"/>
  <c r="C8" i="200"/>
  <c r="F8" i="182"/>
  <c r="F22" i="182"/>
  <c r="E22" i="182" s="1"/>
  <c r="D22" i="182" s="1"/>
  <c r="C8" i="141"/>
  <c r="C8" i="86"/>
  <c r="C8" i="122"/>
  <c r="C8" i="85"/>
  <c r="C22" i="82"/>
  <c r="C8" i="82"/>
  <c r="C22" i="178"/>
  <c r="C8" i="178"/>
  <c r="C8" i="84"/>
  <c r="C8" i="123"/>
  <c r="C8" i="133"/>
  <c r="C8" i="91"/>
  <c r="C8" i="109"/>
  <c r="C8" i="131"/>
  <c r="C8" i="97"/>
  <c r="C8" i="180"/>
  <c r="M10" i="200"/>
  <c r="M7" i="200" s="1"/>
  <c r="M22" i="200" s="1"/>
  <c r="B7" i="200"/>
  <c r="D10" i="219"/>
  <c r="E7" i="219"/>
  <c r="E22" i="219" s="1"/>
  <c r="L22" i="121"/>
  <c r="I21" i="68"/>
  <c r="F21" i="68"/>
  <c r="J21" i="68"/>
  <c r="G21" i="68"/>
  <c r="K21" i="68"/>
  <c r="B22" i="86"/>
  <c r="B8" i="109"/>
  <c r="B8" i="91"/>
  <c r="B8" i="82"/>
  <c r="B22" i="122"/>
  <c r="B8" i="141"/>
  <c r="B22" i="84"/>
  <c r="B8" i="122"/>
  <c r="E21" i="68"/>
  <c r="E23" i="187"/>
  <c r="B8" i="131"/>
  <c r="B8" i="81"/>
  <c r="L22" i="191"/>
  <c r="B8" i="182"/>
  <c r="B8" i="123"/>
  <c r="B22" i="83"/>
  <c r="B8" i="84"/>
  <c r="B8" i="83"/>
  <c r="B8" i="132"/>
  <c r="B8" i="86"/>
  <c r="B8" i="133"/>
  <c r="M8" i="85"/>
  <c r="B7" i="85"/>
  <c r="L25" i="68"/>
  <c r="L32" i="68" s="1"/>
  <c r="M32" i="68"/>
  <c r="K10" i="109"/>
  <c r="L7" i="109"/>
  <c r="L22" i="109" s="1"/>
  <c r="K10" i="82"/>
  <c r="L7" i="82"/>
  <c r="L22" i="82" s="1"/>
  <c r="K10" i="94"/>
  <c r="L7" i="94"/>
  <c r="L22" i="94" s="1"/>
  <c r="K6" i="97"/>
  <c r="J6" i="97" s="1"/>
  <c r="K6" i="83"/>
  <c r="K10" i="133"/>
  <c r="L7" i="133"/>
  <c r="L22" i="133" s="1"/>
  <c r="B22" i="181"/>
  <c r="I10" i="198"/>
  <c r="J7" i="198"/>
  <c r="J22" i="198" s="1"/>
  <c r="I10" i="196"/>
  <c r="J7" i="196"/>
  <c r="L6" i="185"/>
  <c r="L6" i="184"/>
  <c r="K6" i="187"/>
  <c r="K6" i="141"/>
  <c r="L10" i="200"/>
  <c r="L10" i="233" s="1"/>
  <c r="K6" i="190"/>
  <c r="I6" i="197"/>
  <c r="I10" i="184"/>
  <c r="J7" i="184"/>
  <c r="J22" i="184" s="1"/>
  <c r="K6" i="109"/>
  <c r="K10" i="86"/>
  <c r="L7" i="86"/>
  <c r="L22" i="86" s="1"/>
  <c r="J6" i="123"/>
  <c r="I6" i="123" s="1"/>
  <c r="B6" i="108"/>
  <c r="B8" i="108" s="1"/>
  <c r="C8" i="108"/>
  <c r="K10" i="91"/>
  <c r="L7" i="91"/>
  <c r="L22" i="91" s="1"/>
  <c r="K6" i="91"/>
  <c r="K6" i="110"/>
  <c r="K10" i="122"/>
  <c r="L7" i="122"/>
  <c r="L22" i="122" s="1"/>
  <c r="K10" i="123"/>
  <c r="L7" i="123"/>
  <c r="L22" i="123" s="1"/>
  <c r="B10" i="65"/>
  <c r="C7" i="65"/>
  <c r="D21" i="68"/>
  <c r="H21" i="68"/>
  <c r="L21" i="68"/>
  <c r="G23" i="120"/>
  <c r="C23" i="189"/>
  <c r="J23" i="179"/>
  <c r="J23" i="65"/>
  <c r="K10" i="97"/>
  <c r="L7" i="97"/>
  <c r="L22" i="97" s="1"/>
  <c r="K10" i="131"/>
  <c r="L7" i="131"/>
  <c r="L22" i="131" s="1"/>
  <c r="M6" i="180"/>
  <c r="B22" i="180"/>
  <c r="K6" i="121"/>
  <c r="L8" i="121"/>
  <c r="K6" i="120"/>
  <c r="K6" i="84"/>
  <c r="K10" i="178"/>
  <c r="L7" i="178"/>
  <c r="L22" i="178" s="1"/>
  <c r="B22" i="182"/>
  <c r="H6" i="219"/>
  <c r="I8" i="219"/>
  <c r="J6" i="196"/>
  <c r="K8" i="196"/>
  <c r="L6" i="191"/>
  <c r="M8" i="191"/>
  <c r="I10" i="185"/>
  <c r="J7" i="185"/>
  <c r="J22" i="185" s="1"/>
  <c r="J6" i="200"/>
  <c r="J10" i="186"/>
  <c r="K7" i="186"/>
  <c r="K22" i="186" s="1"/>
  <c r="K6" i="192"/>
  <c r="J10" i="191"/>
  <c r="K7" i="191"/>
  <c r="K22" i="191" s="1"/>
  <c r="K6" i="108"/>
  <c r="L8" i="108"/>
  <c r="M22" i="194"/>
  <c r="B32" i="68"/>
  <c r="L6" i="65"/>
  <c r="K10" i="83"/>
  <c r="L7" i="83"/>
  <c r="L22" i="83" s="1"/>
  <c r="K6" i="93"/>
  <c r="L8" i="93"/>
  <c r="L6" i="179"/>
  <c r="K6" i="94"/>
  <c r="K6" i="132"/>
  <c r="K10" i="182"/>
  <c r="L7" i="182"/>
  <c r="K6" i="82"/>
  <c r="K10" i="141"/>
  <c r="L7" i="141"/>
  <c r="L22" i="141" s="1"/>
  <c r="K10" i="192"/>
  <c r="L7" i="192"/>
  <c r="L22" i="192" s="1"/>
  <c r="K10" i="190"/>
  <c r="L7" i="190"/>
  <c r="L22" i="190" s="1"/>
  <c r="J10" i="188"/>
  <c r="K7" i="188"/>
  <c r="K22" i="188" s="1"/>
  <c r="K10" i="194"/>
  <c r="L7" i="194"/>
  <c r="L22" i="194" s="1"/>
  <c r="J6" i="198"/>
  <c r="K8" i="198"/>
  <c r="K6" i="194"/>
  <c r="B11" i="187"/>
  <c r="L6" i="188"/>
  <c r="K6" i="188" s="1"/>
  <c r="K10" i="110"/>
  <c r="L7" i="110"/>
  <c r="L22" i="110" s="1"/>
  <c r="K10" i="85"/>
  <c r="L7" i="85"/>
  <c r="K6" i="81"/>
  <c r="K6" i="133"/>
  <c r="H6" i="108"/>
  <c r="H8" i="108" s="1"/>
  <c r="I8" i="108"/>
  <c r="M6" i="186"/>
  <c r="B22" i="186"/>
  <c r="K10" i="111"/>
  <c r="L7" i="111"/>
  <c r="L22" i="111" s="1"/>
  <c r="J10" i="93"/>
  <c r="K7" i="93"/>
  <c r="K22" i="93" s="1"/>
  <c r="K10" i="132"/>
  <c r="L7" i="132"/>
  <c r="L22" i="132" s="1"/>
  <c r="K10" i="84"/>
  <c r="L22" i="84"/>
  <c r="K10" i="180"/>
  <c r="L7" i="180"/>
  <c r="L22" i="180" s="1"/>
  <c r="H11" i="65"/>
  <c r="K10" i="65"/>
  <c r="L7" i="65"/>
  <c r="H10" i="65"/>
  <c r="B6" i="65"/>
  <c r="K6" i="193"/>
  <c r="K6" i="111"/>
  <c r="K10" i="81"/>
  <c r="L7" i="81"/>
  <c r="L22" i="81" s="1"/>
  <c r="B7" i="178"/>
  <c r="K6" i="131"/>
  <c r="E11" i="120"/>
  <c r="K10" i="181"/>
  <c r="L7" i="181"/>
  <c r="L22" i="181" s="1"/>
  <c r="J6" i="85"/>
  <c r="L10" i="189"/>
  <c r="K6" i="195"/>
  <c r="H11" i="193"/>
  <c r="G11" i="193" s="1"/>
  <c r="I23" i="193"/>
  <c r="K6" i="86"/>
  <c r="K6" i="189"/>
  <c r="K10" i="195"/>
  <c r="L7" i="195"/>
  <c r="L22" i="195" s="1"/>
  <c r="H11" i="179"/>
  <c r="G11" i="179" s="1"/>
  <c r="I23" i="179"/>
  <c r="I10" i="197"/>
  <c r="J7" i="197"/>
  <c r="J22" i="197" s="1"/>
  <c r="K6" i="122"/>
  <c r="M22" i="109"/>
  <c r="M22" i="182"/>
  <c r="M22" i="133"/>
  <c r="B12" i="68"/>
  <c r="B21" i="68" s="1"/>
  <c r="M11" i="68"/>
  <c r="M23" i="68" s="1"/>
  <c r="L11" i="68"/>
  <c r="K11" i="68"/>
  <c r="K23" i="68" s="1"/>
  <c r="J11" i="68"/>
  <c r="G10" i="68"/>
  <c r="F10" i="68" s="1"/>
  <c r="E10" i="68"/>
  <c r="B8" i="97" l="1"/>
  <c r="I11" i="68"/>
  <c r="I23" i="65"/>
  <c r="L8" i="133"/>
  <c r="I7" i="65"/>
  <c r="B6" i="232"/>
  <c r="G11" i="232"/>
  <c r="G23" i="232" s="1"/>
  <c r="L8" i="194"/>
  <c r="L8" i="111"/>
  <c r="L8" i="94"/>
  <c r="B7" i="65"/>
  <c r="B8" i="65" s="1"/>
  <c r="B10" i="232"/>
  <c r="J22" i="65"/>
  <c r="I22" i="65"/>
  <c r="K7" i="65"/>
  <c r="K6" i="65"/>
  <c r="I6" i="196"/>
  <c r="J6" i="233"/>
  <c r="C22" i="65"/>
  <c r="D10" i="68"/>
  <c r="D10" i="233"/>
  <c r="F7" i="120"/>
  <c r="F8" i="120" s="1"/>
  <c r="G8" i="120"/>
  <c r="L22" i="65"/>
  <c r="H7" i="65"/>
  <c r="H23" i="65"/>
  <c r="H11" i="232"/>
  <c r="H23" i="232" s="1"/>
  <c r="J22" i="196"/>
  <c r="G11" i="196"/>
  <c r="H11" i="233"/>
  <c r="H23" i="233" s="1"/>
  <c r="H23" i="196"/>
  <c r="M22" i="65"/>
  <c r="B23" i="189"/>
  <c r="D23" i="187"/>
  <c r="B7" i="189"/>
  <c r="B8" i="189" s="1"/>
  <c r="L8" i="86"/>
  <c r="L8" i="122"/>
  <c r="L8" i="131"/>
  <c r="C8" i="65"/>
  <c r="L8" i="110"/>
  <c r="L8" i="192"/>
  <c r="L8" i="109"/>
  <c r="C22" i="189"/>
  <c r="C8" i="189"/>
  <c r="C11" i="187"/>
  <c r="D7" i="187"/>
  <c r="C11" i="190"/>
  <c r="C23" i="190" s="1"/>
  <c r="D7" i="190"/>
  <c r="D11" i="189"/>
  <c r="E7" i="189"/>
  <c r="E8" i="189" s="1"/>
  <c r="D11" i="192"/>
  <c r="D23" i="192" s="1"/>
  <c r="E7" i="192"/>
  <c r="E8" i="192" s="1"/>
  <c r="L8" i="81"/>
  <c r="L8" i="82"/>
  <c r="L8" i="132"/>
  <c r="L8" i="84"/>
  <c r="L8" i="91"/>
  <c r="L8" i="190"/>
  <c r="L8" i="141"/>
  <c r="L8" i="83"/>
  <c r="D11" i="120"/>
  <c r="E7" i="120"/>
  <c r="E8" i="187"/>
  <c r="E22" i="187"/>
  <c r="E22" i="190"/>
  <c r="E8" i="190"/>
  <c r="F8" i="192"/>
  <c r="F22" i="192"/>
  <c r="E22" i="192" s="1"/>
  <c r="L22" i="85"/>
  <c r="L8" i="85"/>
  <c r="B11" i="195"/>
  <c r="B23" i="195" s="1"/>
  <c r="C7" i="195"/>
  <c r="F22" i="120"/>
  <c r="E8" i="200"/>
  <c r="E22" i="200"/>
  <c r="B11" i="185"/>
  <c r="C7" i="185"/>
  <c r="L8" i="195"/>
  <c r="K8" i="93"/>
  <c r="J8" i="197"/>
  <c r="L8" i="97"/>
  <c r="F11" i="179"/>
  <c r="G7" i="179"/>
  <c r="F11" i="193"/>
  <c r="F7" i="193" s="1"/>
  <c r="G7" i="193"/>
  <c r="G8" i="193" s="1"/>
  <c r="D8" i="185"/>
  <c r="D22" i="185"/>
  <c r="L8" i="123"/>
  <c r="B23" i="187"/>
  <c r="M6" i="200"/>
  <c r="B8" i="200"/>
  <c r="B22" i="200"/>
  <c r="B7" i="187"/>
  <c r="C10" i="219"/>
  <c r="C10" i="233" s="1"/>
  <c r="D7" i="219"/>
  <c r="H11" i="68"/>
  <c r="H23" i="68" s="1"/>
  <c r="J23" i="68"/>
  <c r="I23" i="68"/>
  <c r="B22" i="85"/>
  <c r="B8" i="85"/>
  <c r="L8" i="188"/>
  <c r="J8" i="196"/>
  <c r="E23" i="120"/>
  <c r="D23" i="120" s="1"/>
  <c r="J10" i="180"/>
  <c r="K7" i="180"/>
  <c r="K22" i="180" s="1"/>
  <c r="H10" i="197"/>
  <c r="H7" i="197" s="1"/>
  <c r="I7" i="197"/>
  <c r="I22" i="197" s="1"/>
  <c r="J10" i="195"/>
  <c r="K7" i="195"/>
  <c r="K22" i="195" s="1"/>
  <c r="J6" i="86"/>
  <c r="J6" i="195"/>
  <c r="I6" i="85"/>
  <c r="B11" i="120"/>
  <c r="J10" i="122"/>
  <c r="K7" i="122"/>
  <c r="K22" i="122" s="1"/>
  <c r="J10" i="86"/>
  <c r="K7" i="86"/>
  <c r="K22" i="86" s="1"/>
  <c r="H10" i="184"/>
  <c r="H7" i="184" s="1"/>
  <c r="I7" i="184"/>
  <c r="I22" i="184" s="1"/>
  <c r="J6" i="190"/>
  <c r="J6" i="141"/>
  <c r="K6" i="184"/>
  <c r="L8" i="184"/>
  <c r="H10" i="196"/>
  <c r="I7" i="196"/>
  <c r="I8" i="196" s="1"/>
  <c r="L6" i="181"/>
  <c r="J6" i="83"/>
  <c r="J10" i="94"/>
  <c r="K7" i="94"/>
  <c r="K22" i="94" s="1"/>
  <c r="J10" i="109"/>
  <c r="K7" i="109"/>
  <c r="K22" i="109" s="1"/>
  <c r="H23" i="179"/>
  <c r="G23" i="179" s="1"/>
  <c r="F23" i="179" s="1"/>
  <c r="L22" i="182"/>
  <c r="K8" i="108"/>
  <c r="M6" i="178"/>
  <c r="B22" i="178"/>
  <c r="B8" i="178"/>
  <c r="J10" i="84"/>
  <c r="K7" i="84"/>
  <c r="K22" i="84" s="1"/>
  <c r="I10" i="93"/>
  <c r="J7" i="93"/>
  <c r="J22" i="93" s="1"/>
  <c r="L6" i="186"/>
  <c r="M8" i="186"/>
  <c r="J6" i="133"/>
  <c r="J10" i="85"/>
  <c r="K7" i="85"/>
  <c r="J6" i="188"/>
  <c r="K8" i="188"/>
  <c r="J6" i="194"/>
  <c r="J10" i="194"/>
  <c r="K7" i="194"/>
  <c r="K22" i="194" s="1"/>
  <c r="J10" i="190"/>
  <c r="K7" i="190"/>
  <c r="K22" i="190" s="1"/>
  <c r="J10" i="141"/>
  <c r="K7" i="141"/>
  <c r="K22" i="141" s="1"/>
  <c r="J10" i="182"/>
  <c r="K7" i="182"/>
  <c r="K22" i="182" s="1"/>
  <c r="J6" i="94"/>
  <c r="J6" i="65"/>
  <c r="I10" i="191"/>
  <c r="J7" i="191"/>
  <c r="J22" i="191" s="1"/>
  <c r="I10" i="186"/>
  <c r="J7" i="186"/>
  <c r="J22" i="186" s="1"/>
  <c r="H10" i="185"/>
  <c r="H7" i="185" s="1"/>
  <c r="I7" i="185"/>
  <c r="I22" i="185" s="1"/>
  <c r="H6" i="196"/>
  <c r="L6" i="182"/>
  <c r="J6" i="84"/>
  <c r="J6" i="121"/>
  <c r="K8" i="121"/>
  <c r="J10" i="131"/>
  <c r="K7" i="131"/>
  <c r="K22" i="131" s="1"/>
  <c r="J6" i="122"/>
  <c r="L10" i="179"/>
  <c r="J6" i="189"/>
  <c r="E11" i="193"/>
  <c r="K10" i="189"/>
  <c r="L7" i="189"/>
  <c r="J10" i="181"/>
  <c r="K7" i="181"/>
  <c r="K22" i="181" s="1"/>
  <c r="J6" i="131"/>
  <c r="J10" i="81"/>
  <c r="K7" i="81"/>
  <c r="K22" i="81" s="1"/>
  <c r="J6" i="193"/>
  <c r="I6" i="193" s="1"/>
  <c r="H6" i="193" s="1"/>
  <c r="J10" i="123"/>
  <c r="K7" i="123"/>
  <c r="J10" i="91"/>
  <c r="K7" i="91"/>
  <c r="K22" i="91" s="1"/>
  <c r="H6" i="123"/>
  <c r="H6" i="197"/>
  <c r="K10" i="200"/>
  <c r="K10" i="233" s="1"/>
  <c r="L7" i="200"/>
  <c r="L7" i="233" s="1"/>
  <c r="J6" i="187"/>
  <c r="K6" i="185"/>
  <c r="J6" i="185" s="1"/>
  <c r="I6" i="185" s="1"/>
  <c r="L8" i="185"/>
  <c r="H10" i="198"/>
  <c r="H7" i="198" s="1"/>
  <c r="H22" i="198" s="1"/>
  <c r="G22" i="198" s="1"/>
  <c r="I7" i="198"/>
  <c r="I22" i="198" s="1"/>
  <c r="J10" i="133"/>
  <c r="K7" i="133"/>
  <c r="K8" i="133" s="1"/>
  <c r="I6" i="97"/>
  <c r="H6" i="97" s="1"/>
  <c r="J10" i="82"/>
  <c r="K7" i="82"/>
  <c r="K22" i="82" s="1"/>
  <c r="L8" i="65"/>
  <c r="J10" i="132"/>
  <c r="K7" i="132"/>
  <c r="K22" i="132" s="1"/>
  <c r="J10" i="111"/>
  <c r="K7" i="111"/>
  <c r="K22" i="111" s="1"/>
  <c r="J6" i="81"/>
  <c r="J10" i="110"/>
  <c r="K7" i="110"/>
  <c r="K22" i="110" s="1"/>
  <c r="L10" i="187"/>
  <c r="M22" i="187"/>
  <c r="I6" i="198"/>
  <c r="J8" i="198"/>
  <c r="I10" i="188"/>
  <c r="J7" i="188"/>
  <c r="J22" i="188" s="1"/>
  <c r="J10" i="192"/>
  <c r="K7" i="192"/>
  <c r="K22" i="192" s="1"/>
  <c r="J6" i="82"/>
  <c r="J6" i="132"/>
  <c r="K6" i="179"/>
  <c r="J10" i="83"/>
  <c r="K7" i="83"/>
  <c r="K22" i="83" s="1"/>
  <c r="J6" i="192"/>
  <c r="I6" i="200"/>
  <c r="K6" i="191"/>
  <c r="L8" i="191"/>
  <c r="G6" i="219"/>
  <c r="H8" i="219"/>
  <c r="J10" i="178"/>
  <c r="K7" i="178"/>
  <c r="K22" i="178" s="1"/>
  <c r="J6" i="120"/>
  <c r="L6" i="180"/>
  <c r="M8" i="180"/>
  <c r="J10" i="97"/>
  <c r="K7" i="97"/>
  <c r="K22" i="97" s="1"/>
  <c r="H23" i="193"/>
  <c r="G23" i="193" s="1"/>
  <c r="L23" i="68"/>
  <c r="N52" i="217"/>
  <c r="M52" i="217"/>
  <c r="L52" i="217"/>
  <c r="K52" i="217"/>
  <c r="J52" i="217"/>
  <c r="I52" i="217"/>
  <c r="H52" i="217"/>
  <c r="G52" i="217"/>
  <c r="F52" i="217"/>
  <c r="E52" i="217" s="1"/>
  <c r="D52" i="217"/>
  <c r="O51" i="217" s="1"/>
  <c r="N51" i="217"/>
  <c r="M51" i="217"/>
  <c r="L51" i="217"/>
  <c r="K51" i="217"/>
  <c r="J51" i="217"/>
  <c r="I51" i="217"/>
  <c r="H51" i="217"/>
  <c r="G51" i="217"/>
  <c r="F51" i="217"/>
  <c r="E51" i="217"/>
  <c r="D51" i="217"/>
  <c r="O50" i="217" s="1"/>
  <c r="N50" i="217"/>
  <c r="M50" i="217"/>
  <c r="L50" i="217"/>
  <c r="K50" i="217"/>
  <c r="J50" i="217" s="1"/>
  <c r="I50" i="217"/>
  <c r="H50" i="217"/>
  <c r="G50" i="217"/>
  <c r="F50" i="217"/>
  <c r="E50" i="217"/>
  <c r="D50" i="217"/>
  <c r="O49" i="217" s="1"/>
  <c r="N49" i="217"/>
  <c r="M49" i="217"/>
  <c r="L49" i="217"/>
  <c r="K49" i="217"/>
  <c r="J49" i="217" s="1"/>
  <c r="I49" i="217"/>
  <c r="H49" i="217"/>
  <c r="G49" i="217"/>
  <c r="F49" i="217"/>
  <c r="E49" i="217"/>
  <c r="D49" i="217"/>
  <c r="O48" i="217" s="1"/>
  <c r="N48" i="217"/>
  <c r="M48" i="217"/>
  <c r="L48" i="217"/>
  <c r="K48" i="217"/>
  <c r="J48" i="217"/>
  <c r="I48" i="217"/>
  <c r="H48" i="217"/>
  <c r="G48" i="217"/>
  <c r="F48" i="217"/>
  <c r="E48" i="217"/>
  <c r="D48" i="217"/>
  <c r="O47" i="217" s="1"/>
  <c r="N47" i="217"/>
  <c r="M47" i="217"/>
  <c r="L47" i="217"/>
  <c r="K47" i="217"/>
  <c r="J47" i="217" s="1"/>
  <c r="I47" i="217"/>
  <c r="H47" i="217"/>
  <c r="G47" i="217"/>
  <c r="F47" i="217"/>
  <c r="E47" i="217"/>
  <c r="D47" i="217"/>
  <c r="O46" i="217" s="1"/>
  <c r="N46" i="217"/>
  <c r="M46" i="217"/>
  <c r="L46" i="217"/>
  <c r="K46" i="217"/>
  <c r="J46" i="217" s="1"/>
  <c r="I46" i="217"/>
  <c r="H46" i="217"/>
  <c r="G46" i="217"/>
  <c r="F46" i="217"/>
  <c r="E46" i="217"/>
  <c r="D46" i="217"/>
  <c r="O45" i="217" s="1"/>
  <c r="N45" i="217"/>
  <c r="M45" i="217"/>
  <c r="L45" i="217"/>
  <c r="K45" i="217"/>
  <c r="J45" i="217" s="1"/>
  <c r="I45" i="217"/>
  <c r="H45" i="217"/>
  <c r="G45" i="217"/>
  <c r="F45" i="217"/>
  <c r="E45" i="217"/>
  <c r="D45" i="217"/>
  <c r="O44" i="217" s="1"/>
  <c r="N44" i="217"/>
  <c r="M44" i="217"/>
  <c r="L44" i="217"/>
  <c r="K44" i="217"/>
  <c r="J44" i="217" s="1"/>
  <c r="I44" i="217"/>
  <c r="H44" i="217"/>
  <c r="G44" i="217"/>
  <c r="F44" i="217"/>
  <c r="E44" i="217"/>
  <c r="D44" i="217"/>
  <c r="O43" i="217" s="1"/>
  <c r="N43" i="217"/>
  <c r="M43" i="217"/>
  <c r="L43" i="217"/>
  <c r="K43" i="217"/>
  <c r="J43" i="217" s="1"/>
  <c r="I43" i="217"/>
  <c r="H43" i="217"/>
  <c r="G43" i="217"/>
  <c r="F43" i="217"/>
  <c r="E43" i="217"/>
  <c r="D43" i="217"/>
  <c r="O42" i="217" s="1"/>
  <c r="N42" i="217"/>
  <c r="M42" i="217"/>
  <c r="L42" i="217"/>
  <c r="K42" i="217"/>
  <c r="J42" i="217" s="1"/>
  <c r="I42" i="217"/>
  <c r="H42" i="217"/>
  <c r="G42" i="217"/>
  <c r="F42" i="217"/>
  <c r="E42" i="217"/>
  <c r="D42" i="217"/>
  <c r="O41" i="217" s="1"/>
  <c r="N41" i="217"/>
  <c r="M41" i="217"/>
  <c r="L41" i="217"/>
  <c r="K41" i="217"/>
  <c r="J41" i="217" s="1"/>
  <c r="I41" i="217"/>
  <c r="H41" i="217"/>
  <c r="G41" i="217"/>
  <c r="F41" i="217"/>
  <c r="E41" i="217"/>
  <c r="D41" i="217"/>
  <c r="O40" i="217" s="1"/>
  <c r="N40" i="217"/>
  <c r="M40" i="217"/>
  <c r="L40" i="217"/>
  <c r="K40" i="217"/>
  <c r="J40" i="217" s="1"/>
  <c r="I40" i="217"/>
  <c r="H40" i="217"/>
  <c r="G40" i="217"/>
  <c r="F40" i="217"/>
  <c r="E40" i="217"/>
  <c r="D40" i="217"/>
  <c r="O39" i="217" s="1"/>
  <c r="N39" i="217"/>
  <c r="M39" i="217"/>
  <c r="L39" i="217"/>
  <c r="K39" i="217"/>
  <c r="J39" i="217" s="1"/>
  <c r="I39" i="217"/>
  <c r="H39" i="217"/>
  <c r="G39" i="217"/>
  <c r="F39" i="217"/>
  <c r="E39" i="217"/>
  <c r="D39" i="217"/>
  <c r="O38" i="217" s="1"/>
  <c r="N38" i="217"/>
  <c r="M38" i="217"/>
  <c r="L38" i="217"/>
  <c r="K38" i="217"/>
  <c r="J38" i="217" s="1"/>
  <c r="I38" i="217"/>
  <c r="H38" i="217"/>
  <c r="G38" i="217"/>
  <c r="F38" i="217"/>
  <c r="E38" i="217"/>
  <c r="D38" i="217"/>
  <c r="O37" i="217" s="1"/>
  <c r="N37" i="217"/>
  <c r="M37" i="217"/>
  <c r="L37" i="217"/>
  <c r="K37" i="217"/>
  <c r="J37" i="217" s="1"/>
  <c r="I37" i="217"/>
  <c r="H37" i="217"/>
  <c r="G37" i="217"/>
  <c r="F37" i="217"/>
  <c r="E37" i="217"/>
  <c r="D37" i="217"/>
  <c r="O36" i="217" s="1"/>
  <c r="N36" i="217"/>
  <c r="M36" i="217"/>
  <c r="L36" i="217"/>
  <c r="K36" i="217"/>
  <c r="J36" i="217" s="1"/>
  <c r="I36" i="217"/>
  <c r="H36" i="217"/>
  <c r="G36" i="217"/>
  <c r="F36" i="217"/>
  <c r="E36" i="217"/>
  <c r="D36" i="217"/>
  <c r="O35" i="217" s="1"/>
  <c r="N35" i="217"/>
  <c r="M35" i="217"/>
  <c r="L35" i="217"/>
  <c r="K35" i="217"/>
  <c r="J35" i="217" s="1"/>
  <c r="I35" i="217"/>
  <c r="H35" i="217"/>
  <c r="G35" i="217"/>
  <c r="F35" i="217"/>
  <c r="E35" i="217"/>
  <c r="D35" i="217"/>
  <c r="O34" i="217" s="1"/>
  <c r="N34" i="217"/>
  <c r="M34" i="217"/>
  <c r="L34" i="217"/>
  <c r="K34" i="217"/>
  <c r="J34" i="217" s="1"/>
  <c r="I34" i="217"/>
  <c r="H34" i="217"/>
  <c r="G34" i="217"/>
  <c r="F34" i="217"/>
  <c r="E34" i="217"/>
  <c r="D34" i="217"/>
  <c r="O33" i="217" s="1"/>
  <c r="N33" i="217"/>
  <c r="M33" i="217"/>
  <c r="L33" i="217"/>
  <c r="K33" i="217"/>
  <c r="J33" i="217" s="1"/>
  <c r="I33" i="217"/>
  <c r="H33" i="217"/>
  <c r="G33" i="217"/>
  <c r="F33" i="217"/>
  <c r="E33" i="217"/>
  <c r="D33" i="217"/>
  <c r="O32" i="217" s="1"/>
  <c r="N32" i="217"/>
  <c r="M32" i="217"/>
  <c r="L32" i="217"/>
  <c r="K32" i="217"/>
  <c r="J32" i="217" s="1"/>
  <c r="I32" i="217"/>
  <c r="H32" i="217"/>
  <c r="G32" i="217"/>
  <c r="F32" i="217"/>
  <c r="E32" i="217"/>
  <c r="D32" i="217"/>
  <c r="O31" i="217" s="1"/>
  <c r="N31" i="217"/>
  <c r="M31" i="217"/>
  <c r="L31" i="217"/>
  <c r="K31" i="217"/>
  <c r="J31" i="217" s="1"/>
  <c r="I31" i="217"/>
  <c r="H31" i="217"/>
  <c r="G31" i="217"/>
  <c r="F31" i="217"/>
  <c r="E31" i="217"/>
  <c r="D31" i="217"/>
  <c r="O30" i="217" s="1"/>
  <c r="N30" i="217"/>
  <c r="M30" i="217"/>
  <c r="L30" i="217"/>
  <c r="K30" i="217"/>
  <c r="J30" i="217" s="1"/>
  <c r="I30" i="217"/>
  <c r="H30" i="217"/>
  <c r="G30" i="217"/>
  <c r="F30" i="217"/>
  <c r="E30" i="217"/>
  <c r="D30" i="217"/>
  <c r="O29" i="217" s="1"/>
  <c r="N29" i="217"/>
  <c r="M29" i="217"/>
  <c r="L29" i="217"/>
  <c r="K29" i="217"/>
  <c r="J29" i="217" s="1"/>
  <c r="I29" i="217"/>
  <c r="H29" i="217"/>
  <c r="G29" i="217"/>
  <c r="F29" i="217"/>
  <c r="E29" i="217"/>
  <c r="D29" i="217"/>
  <c r="O28" i="217" s="1"/>
  <c r="N28" i="217"/>
  <c r="M28" i="217"/>
  <c r="L28" i="217"/>
  <c r="K28" i="217"/>
  <c r="J28" i="217" s="1"/>
  <c r="I28" i="217"/>
  <c r="H28" i="217"/>
  <c r="G28" i="217"/>
  <c r="F28" i="217"/>
  <c r="E28" i="217"/>
  <c r="D28" i="217"/>
  <c r="O27" i="217" s="1"/>
  <c r="N27" i="217"/>
  <c r="M27" i="217"/>
  <c r="L27" i="217"/>
  <c r="K27" i="217"/>
  <c r="J27" i="217" s="1"/>
  <c r="I27" i="217"/>
  <c r="H27" i="217"/>
  <c r="G27" i="217"/>
  <c r="F27" i="217"/>
  <c r="E27" i="217"/>
  <c r="D27" i="217"/>
  <c r="O26" i="217" s="1"/>
  <c r="N26" i="217"/>
  <c r="M26" i="217"/>
  <c r="L26" i="217"/>
  <c r="K26" i="217"/>
  <c r="J26" i="217" s="1"/>
  <c r="I26" i="217"/>
  <c r="H26" i="217"/>
  <c r="G26" i="217"/>
  <c r="F26" i="217"/>
  <c r="E26" i="217"/>
  <c r="D26" i="217"/>
  <c r="O25" i="217" s="1"/>
  <c r="N25" i="217"/>
  <c r="M25" i="217"/>
  <c r="L25" i="217"/>
  <c r="K25" i="217"/>
  <c r="J25" i="217" s="1"/>
  <c r="I25" i="217"/>
  <c r="H25" i="217"/>
  <c r="G25" i="217"/>
  <c r="F25" i="217"/>
  <c r="E25" i="217"/>
  <c r="D25" i="217"/>
  <c r="O24" i="217" s="1"/>
  <c r="N24" i="217"/>
  <c r="M24" i="217"/>
  <c r="L24" i="217"/>
  <c r="K24" i="217"/>
  <c r="J24" i="217" s="1"/>
  <c r="I24" i="217"/>
  <c r="H24" i="217"/>
  <c r="G24" i="217"/>
  <c r="F24" i="217"/>
  <c r="E24" i="217"/>
  <c r="D24" i="217"/>
  <c r="O23" i="217" s="1"/>
  <c r="N23" i="217"/>
  <c r="M23" i="217"/>
  <c r="L23" i="217"/>
  <c r="K23" i="217"/>
  <c r="J23" i="217" s="1"/>
  <c r="I23" i="217"/>
  <c r="H23" i="217"/>
  <c r="G23" i="217"/>
  <c r="F23" i="217"/>
  <c r="E23" i="217"/>
  <c r="D23" i="217"/>
  <c r="O22" i="217" s="1"/>
  <c r="N22" i="217"/>
  <c r="M22" i="217"/>
  <c r="L22" i="217"/>
  <c r="K22" i="217"/>
  <c r="J22" i="217" s="1"/>
  <c r="I22" i="217"/>
  <c r="H22" i="217"/>
  <c r="G22" i="217"/>
  <c r="F22" i="217"/>
  <c r="E22" i="217"/>
  <c r="D22" i="217"/>
  <c r="O21" i="217" s="1"/>
  <c r="N21" i="217"/>
  <c r="M21" i="217"/>
  <c r="L21" i="217"/>
  <c r="K21" i="217"/>
  <c r="J21" i="217" s="1"/>
  <c r="I21" i="217"/>
  <c r="H21" i="217"/>
  <c r="G21" i="217"/>
  <c r="F21" i="217"/>
  <c r="E21" i="217"/>
  <c r="D21" i="217"/>
  <c r="O20" i="217" s="1"/>
  <c r="N20" i="217"/>
  <c r="M20" i="217"/>
  <c r="L20" i="217"/>
  <c r="K20" i="217"/>
  <c r="J20" i="217" s="1"/>
  <c r="I20" i="217"/>
  <c r="H20" i="217"/>
  <c r="G20" i="217"/>
  <c r="F20" i="217"/>
  <c r="E20" i="217"/>
  <c r="D20" i="217"/>
  <c r="O19" i="217" s="1"/>
  <c r="N19" i="217"/>
  <c r="M19" i="217"/>
  <c r="L19" i="217"/>
  <c r="K19" i="217"/>
  <c r="J19" i="217" s="1"/>
  <c r="I19" i="217"/>
  <c r="H19" i="217"/>
  <c r="G19" i="217"/>
  <c r="F19" i="217"/>
  <c r="E19" i="217"/>
  <c r="D19" i="217"/>
  <c r="O18" i="217" s="1"/>
  <c r="N18" i="217"/>
  <c r="M18" i="217"/>
  <c r="L18" i="217"/>
  <c r="K18" i="217"/>
  <c r="J18" i="217" s="1"/>
  <c r="I18" i="217"/>
  <c r="H18" i="217"/>
  <c r="G18" i="217"/>
  <c r="F18" i="217"/>
  <c r="E18" i="217"/>
  <c r="D18" i="217"/>
  <c r="O17" i="217" s="1"/>
  <c r="N17" i="217"/>
  <c r="M17" i="217"/>
  <c r="L17" i="217"/>
  <c r="K17" i="217"/>
  <c r="J17" i="217" s="1"/>
  <c r="I17" i="217"/>
  <c r="H17" i="217"/>
  <c r="G17" i="217"/>
  <c r="F17" i="217"/>
  <c r="E17" i="217"/>
  <c r="D17" i="217"/>
  <c r="O16" i="217" s="1"/>
  <c r="N16" i="217"/>
  <c r="M16" i="217"/>
  <c r="L16" i="217"/>
  <c r="K16" i="217"/>
  <c r="J16" i="217" s="1"/>
  <c r="I16" i="217"/>
  <c r="H16" i="217"/>
  <c r="G16" i="217"/>
  <c r="F16" i="217"/>
  <c r="E16" i="217"/>
  <c r="D16" i="217"/>
  <c r="O15" i="217" s="1"/>
  <c r="N15" i="217"/>
  <c r="M15" i="217"/>
  <c r="L15" i="217"/>
  <c r="K15" i="217"/>
  <c r="J15" i="217" s="1"/>
  <c r="I15" i="217"/>
  <c r="H15" i="217"/>
  <c r="G15" i="217"/>
  <c r="F15" i="217"/>
  <c r="E15" i="217"/>
  <c r="D15" i="217"/>
  <c r="O14" i="217" s="1"/>
  <c r="N14" i="217"/>
  <c r="M14" i="217"/>
  <c r="L14" i="217"/>
  <c r="K14" i="217"/>
  <c r="J14" i="217" s="1"/>
  <c r="I14" i="217"/>
  <c r="H14" i="217"/>
  <c r="G14" i="217"/>
  <c r="F14" i="217"/>
  <c r="E14" i="217"/>
  <c r="D14" i="217"/>
  <c r="O13" i="217" s="1"/>
  <c r="N13" i="217"/>
  <c r="M13" i="217"/>
  <c r="L13" i="217"/>
  <c r="K13" i="217"/>
  <c r="J13" i="217" s="1"/>
  <c r="I13" i="217"/>
  <c r="H13" i="217"/>
  <c r="G13" i="217"/>
  <c r="F13" i="217"/>
  <c r="E13" i="217"/>
  <c r="D13" i="217"/>
  <c r="O12" i="217" s="1"/>
  <c r="N12" i="217"/>
  <c r="M12" i="217"/>
  <c r="L12" i="217"/>
  <c r="K12" i="217"/>
  <c r="J12" i="217" s="1"/>
  <c r="I12" i="217"/>
  <c r="H12" i="217"/>
  <c r="G12" i="217"/>
  <c r="F12" i="217"/>
  <c r="E12" i="217"/>
  <c r="D12" i="217"/>
  <c r="O11" i="217" s="1"/>
  <c r="N11" i="217"/>
  <c r="M11" i="217"/>
  <c r="L11" i="217"/>
  <c r="K11" i="217"/>
  <c r="J11" i="217" s="1"/>
  <c r="I11" i="217"/>
  <c r="H11" i="217"/>
  <c r="G11" i="217"/>
  <c r="F11" i="217"/>
  <c r="E11" i="217"/>
  <c r="D11" i="217"/>
  <c r="O10" i="217" s="1"/>
  <c r="N10" i="217"/>
  <c r="M10" i="217"/>
  <c r="L10" i="217"/>
  <c r="K10" i="217"/>
  <c r="J10" i="217" s="1"/>
  <c r="I10" i="217"/>
  <c r="H10" i="217"/>
  <c r="G10" i="217"/>
  <c r="F10" i="217"/>
  <c r="E10" i="217"/>
  <c r="D10" i="217"/>
  <c r="O9" i="217"/>
  <c r="N9" i="217"/>
  <c r="M9" i="217"/>
  <c r="L9" i="217"/>
  <c r="K9" i="217"/>
  <c r="J9" i="217"/>
  <c r="I9" i="217"/>
  <c r="H9" i="217"/>
  <c r="G9" i="217"/>
  <c r="F9" i="217"/>
  <c r="E9" i="217"/>
  <c r="D9" i="217"/>
  <c r="O8" i="217"/>
  <c r="N8" i="217"/>
  <c r="M8" i="217"/>
  <c r="L8" i="217"/>
  <c r="K8" i="217"/>
  <c r="J8" i="217"/>
  <c r="I8" i="217"/>
  <c r="H8" i="217"/>
  <c r="G8" i="217"/>
  <c r="F8" i="217"/>
  <c r="E8" i="217"/>
  <c r="D8" i="217"/>
  <c r="O7" i="217" s="1"/>
  <c r="N7" i="217"/>
  <c r="M7" i="217"/>
  <c r="L7" i="217"/>
  <c r="K7" i="217"/>
  <c r="J7" i="217"/>
  <c r="I7" i="217"/>
  <c r="H7" i="217"/>
  <c r="G7" i="217"/>
  <c r="F7" i="217"/>
  <c r="E7" i="217"/>
  <c r="D7" i="217"/>
  <c r="B22" i="189" l="1"/>
  <c r="K8" i="65"/>
  <c r="M8" i="200"/>
  <c r="K8" i="97"/>
  <c r="G23" i="196"/>
  <c r="G7" i="232"/>
  <c r="G8" i="232" s="1"/>
  <c r="F11" i="232"/>
  <c r="F23" i="232" s="1"/>
  <c r="I22" i="196"/>
  <c r="F11" i="196"/>
  <c r="F11" i="68" s="1"/>
  <c r="F23" i="68" s="1"/>
  <c r="G11" i="233"/>
  <c r="G23" i="233" s="1"/>
  <c r="G7" i="196"/>
  <c r="G11" i="68"/>
  <c r="G23" i="68" s="1"/>
  <c r="B22" i="65"/>
  <c r="H22" i="65"/>
  <c r="G6" i="68"/>
  <c r="G6" i="233"/>
  <c r="L22" i="233"/>
  <c r="L8" i="233"/>
  <c r="H7" i="196"/>
  <c r="H8" i="196" s="1"/>
  <c r="K22" i="65"/>
  <c r="I6" i="233"/>
  <c r="F23" i="193"/>
  <c r="B10" i="219"/>
  <c r="B10" i="233" s="1"/>
  <c r="C10" i="68"/>
  <c r="M10" i="185"/>
  <c r="M7" i="185" s="1"/>
  <c r="M8" i="185" s="1"/>
  <c r="B7" i="185"/>
  <c r="F53" i="217"/>
  <c r="N53" i="217"/>
  <c r="B23" i="185"/>
  <c r="M10" i="195"/>
  <c r="M7" i="195" s="1"/>
  <c r="M22" i="195" s="1"/>
  <c r="B7" i="195"/>
  <c r="K8" i="192"/>
  <c r="K8" i="195"/>
  <c r="E22" i="120"/>
  <c r="E8" i="120"/>
  <c r="I53" i="217"/>
  <c r="M53" i="217"/>
  <c r="K8" i="81"/>
  <c r="H53" i="217"/>
  <c r="K8" i="132"/>
  <c r="H8" i="197"/>
  <c r="G8" i="197" s="1"/>
  <c r="G8" i="179"/>
  <c r="G7" i="68"/>
  <c r="G22" i="68" s="1"/>
  <c r="G53" i="217"/>
  <c r="K8" i="82"/>
  <c r="K8" i="141"/>
  <c r="K8" i="84"/>
  <c r="K8" i="194"/>
  <c r="K8" i="86"/>
  <c r="L22" i="189"/>
  <c r="L8" i="189"/>
  <c r="D8" i="187"/>
  <c r="D22" i="187"/>
  <c r="K22" i="133"/>
  <c r="I8" i="197"/>
  <c r="K8" i="131"/>
  <c r="K8" i="122"/>
  <c r="K8" i="94"/>
  <c r="K8" i="109"/>
  <c r="D11" i="193"/>
  <c r="E7" i="193"/>
  <c r="E8" i="193" s="1"/>
  <c r="F8" i="193"/>
  <c r="F22" i="193"/>
  <c r="C22" i="195"/>
  <c r="C8" i="195"/>
  <c r="C11" i="192"/>
  <c r="D7" i="192"/>
  <c r="B11" i="190"/>
  <c r="C7" i="190"/>
  <c r="K8" i="83"/>
  <c r="K8" i="91"/>
  <c r="L22" i="200"/>
  <c r="L8" i="200"/>
  <c r="K22" i="123"/>
  <c r="K8" i="123"/>
  <c r="K22" i="85"/>
  <c r="K8" i="85"/>
  <c r="D22" i="190"/>
  <c r="D8" i="190"/>
  <c r="K8" i="111"/>
  <c r="J8" i="93"/>
  <c r="E11" i="179"/>
  <c r="F7" i="179"/>
  <c r="F7" i="232" s="1"/>
  <c r="C8" i="185"/>
  <c r="C22" i="185"/>
  <c r="C11" i="120"/>
  <c r="D7" i="120"/>
  <c r="D7" i="189"/>
  <c r="D8" i="189" s="1"/>
  <c r="D23" i="189"/>
  <c r="C7" i="187"/>
  <c r="C23" i="187"/>
  <c r="K8" i="190"/>
  <c r="K8" i="110"/>
  <c r="E53" i="217"/>
  <c r="B22" i="187"/>
  <c r="B8" i="187"/>
  <c r="D53" i="217"/>
  <c r="O52" i="217" s="1"/>
  <c r="O53" i="217" s="1"/>
  <c r="M10" i="193"/>
  <c r="M7" i="193" s="1"/>
  <c r="M22" i="193" s="1"/>
  <c r="B7" i="120"/>
  <c r="B7" i="219"/>
  <c r="B10" i="68"/>
  <c r="B23" i="120"/>
  <c r="C7" i="219"/>
  <c r="C22" i="219" s="1"/>
  <c r="D22" i="219"/>
  <c r="L53" i="217"/>
  <c r="H22" i="184"/>
  <c r="G22" i="184" s="1"/>
  <c r="K53" i="217"/>
  <c r="J53" i="217"/>
  <c r="H22" i="185"/>
  <c r="G22" i="185" s="1"/>
  <c r="F22" i="185" s="1"/>
  <c r="H22" i="197"/>
  <c r="I10" i="131"/>
  <c r="J7" i="131"/>
  <c r="J22" i="131" s="1"/>
  <c r="I6" i="84"/>
  <c r="H10" i="186"/>
  <c r="H7" i="186" s="1"/>
  <c r="H22" i="186" s="1"/>
  <c r="G22" i="186" s="1"/>
  <c r="I7" i="186"/>
  <c r="I22" i="186" s="1"/>
  <c r="I6" i="65"/>
  <c r="J8" i="65"/>
  <c r="I10" i="182"/>
  <c r="J7" i="182"/>
  <c r="J22" i="182" s="1"/>
  <c r="I10" i="190"/>
  <c r="J7" i="190"/>
  <c r="J22" i="190" s="1"/>
  <c r="I6" i="194"/>
  <c r="I10" i="85"/>
  <c r="J7" i="85"/>
  <c r="K6" i="186"/>
  <c r="L8" i="186"/>
  <c r="I10" i="84"/>
  <c r="J7" i="84"/>
  <c r="J22" i="84" s="1"/>
  <c r="K6" i="180"/>
  <c r="L8" i="180"/>
  <c r="I10" i="178"/>
  <c r="J7" i="178"/>
  <c r="J22" i="178" s="1"/>
  <c r="J6" i="191"/>
  <c r="K8" i="191"/>
  <c r="I6" i="192"/>
  <c r="J6" i="179"/>
  <c r="I6" i="179" s="1"/>
  <c r="I6" i="82"/>
  <c r="H10" i="188"/>
  <c r="H7" i="188" s="1"/>
  <c r="H22" i="188" s="1"/>
  <c r="G22" i="188" s="1"/>
  <c r="F22" i="188" s="1"/>
  <c r="E22" i="188" s="1"/>
  <c r="I7" i="188"/>
  <c r="I22" i="188" s="1"/>
  <c r="K10" i="187"/>
  <c r="L7" i="187"/>
  <c r="I6" i="81"/>
  <c r="I10" i="132"/>
  <c r="J7" i="132"/>
  <c r="J22" i="132" s="1"/>
  <c r="I10" i="82"/>
  <c r="J7" i="82"/>
  <c r="J22" i="82" s="1"/>
  <c r="I10" i="133"/>
  <c r="J7" i="133"/>
  <c r="J22" i="133" s="1"/>
  <c r="H6" i="185"/>
  <c r="H8" i="185" s="1"/>
  <c r="I8" i="185"/>
  <c r="J10" i="200"/>
  <c r="J10" i="233" s="1"/>
  <c r="K7" i="200"/>
  <c r="K7" i="233" s="1"/>
  <c r="I10" i="123"/>
  <c r="J7" i="123"/>
  <c r="I10" i="81"/>
  <c r="J7" i="81"/>
  <c r="J22" i="81" s="1"/>
  <c r="I10" i="181"/>
  <c r="J7" i="181"/>
  <c r="J22" i="181" s="1"/>
  <c r="L10" i="193"/>
  <c r="K10" i="179"/>
  <c r="L7" i="179"/>
  <c r="L8" i="179" s="1"/>
  <c r="L6" i="178"/>
  <c r="M8" i="178"/>
  <c r="I10" i="109"/>
  <c r="J7" i="109"/>
  <c r="I6" i="83"/>
  <c r="I6" i="141"/>
  <c r="I10" i="122"/>
  <c r="J7" i="122"/>
  <c r="J22" i="122" s="1"/>
  <c r="H6" i="85"/>
  <c r="I6" i="86"/>
  <c r="I10" i="180"/>
  <c r="J7" i="180"/>
  <c r="J22" i="180" s="1"/>
  <c r="I6" i="121"/>
  <c r="J8" i="121"/>
  <c r="K6" i="182"/>
  <c r="L8" i="182"/>
  <c r="H10" i="191"/>
  <c r="H7" i="191" s="1"/>
  <c r="H22" i="191" s="1"/>
  <c r="G22" i="191" s="1"/>
  <c r="F22" i="191" s="1"/>
  <c r="I7" i="191"/>
  <c r="I22" i="191" s="1"/>
  <c r="I6" i="94"/>
  <c r="I10" i="141"/>
  <c r="J7" i="141"/>
  <c r="J22" i="141" s="1"/>
  <c r="I10" i="194"/>
  <c r="J7" i="194"/>
  <c r="J22" i="194" s="1"/>
  <c r="I6" i="188"/>
  <c r="J8" i="188"/>
  <c r="I6" i="133"/>
  <c r="J8" i="133"/>
  <c r="H10" i="93"/>
  <c r="H7" i="93" s="1"/>
  <c r="I7" i="93"/>
  <c r="K8" i="185"/>
  <c r="J8" i="185" s="1"/>
  <c r="E23" i="193"/>
  <c r="I10" i="97"/>
  <c r="J7" i="97"/>
  <c r="I6" i="120"/>
  <c r="F6" i="219"/>
  <c r="G8" i="219"/>
  <c r="H6" i="200"/>
  <c r="I10" i="83"/>
  <c r="J7" i="83"/>
  <c r="J22" i="83" s="1"/>
  <c r="I6" i="132"/>
  <c r="I10" i="192"/>
  <c r="J7" i="192"/>
  <c r="J8" i="192" s="1"/>
  <c r="H6" i="198"/>
  <c r="H8" i="198" s="1"/>
  <c r="I8" i="198"/>
  <c r="I10" i="110"/>
  <c r="J7" i="110"/>
  <c r="I10" i="111"/>
  <c r="J7" i="111"/>
  <c r="I6" i="187"/>
  <c r="I10" i="91"/>
  <c r="J7" i="91"/>
  <c r="I6" i="131"/>
  <c r="J10" i="189"/>
  <c r="K7" i="189"/>
  <c r="I6" i="189"/>
  <c r="I6" i="122"/>
  <c r="I10" i="94"/>
  <c r="J7" i="94"/>
  <c r="J22" i="94" s="1"/>
  <c r="K6" i="181"/>
  <c r="L8" i="181"/>
  <c r="J6" i="184"/>
  <c r="I6" i="184" s="1"/>
  <c r="K8" i="184"/>
  <c r="I6" i="190"/>
  <c r="I10" i="86"/>
  <c r="J7" i="86"/>
  <c r="J22" i="86" s="1"/>
  <c r="L10" i="120"/>
  <c r="I6" i="195"/>
  <c r="I10" i="195"/>
  <c r="J7" i="195"/>
  <c r="J22" i="195" s="1"/>
  <c r="M22" i="185" l="1"/>
  <c r="G22" i="232"/>
  <c r="F22" i="232"/>
  <c r="F8" i="232"/>
  <c r="E11" i="196"/>
  <c r="E11" i="68" s="1"/>
  <c r="E23" i="68" s="1"/>
  <c r="F11" i="233"/>
  <c r="F23" i="233" s="1"/>
  <c r="F7" i="196"/>
  <c r="F7" i="68" s="1"/>
  <c r="F23" i="196"/>
  <c r="L10" i="68"/>
  <c r="L10" i="232"/>
  <c r="E23" i="179"/>
  <c r="E11" i="232"/>
  <c r="E23" i="232" s="1"/>
  <c r="F6" i="68"/>
  <c r="F6" i="233"/>
  <c r="K22" i="233"/>
  <c r="K8" i="233"/>
  <c r="H22" i="196"/>
  <c r="G22" i="196" s="1"/>
  <c r="G7" i="233"/>
  <c r="G22" i="233" s="1"/>
  <c r="G8" i="196"/>
  <c r="H6" i="233"/>
  <c r="J22" i="192"/>
  <c r="M6" i="195"/>
  <c r="M8" i="195" s="1"/>
  <c r="B22" i="195"/>
  <c r="B8" i="195"/>
  <c r="B7" i="190"/>
  <c r="D42" i="201" s="1"/>
  <c r="O41" i="201" s="1"/>
  <c r="B23" i="190"/>
  <c r="B8" i="185"/>
  <c r="B22" i="185"/>
  <c r="J8" i="131"/>
  <c r="J8" i="122"/>
  <c r="F8" i="179"/>
  <c r="J8" i="195"/>
  <c r="J8" i="132"/>
  <c r="J8" i="194"/>
  <c r="D23" i="193"/>
  <c r="J22" i="110"/>
  <c r="J8" i="110"/>
  <c r="J22" i="97"/>
  <c r="J8" i="97"/>
  <c r="I22" i="93"/>
  <c r="I8" i="93"/>
  <c r="K22" i="200"/>
  <c r="K8" i="200"/>
  <c r="L22" i="187"/>
  <c r="L8" i="187"/>
  <c r="D11" i="179"/>
  <c r="E7" i="179"/>
  <c r="C22" i="190"/>
  <c r="C8" i="190"/>
  <c r="J8" i="86"/>
  <c r="J8" i="83"/>
  <c r="J8" i="82"/>
  <c r="J8" i="84"/>
  <c r="J22" i="85"/>
  <c r="J8" i="85"/>
  <c r="C7" i="120"/>
  <c r="C23" i="120"/>
  <c r="B11" i="192"/>
  <c r="C7" i="192"/>
  <c r="E44" i="201" s="1"/>
  <c r="M22" i="120"/>
  <c r="K22" i="189"/>
  <c r="K8" i="189"/>
  <c r="J22" i="91"/>
  <c r="J8" i="91"/>
  <c r="J22" i="111"/>
  <c r="J8" i="111"/>
  <c r="J22" i="109"/>
  <c r="J8" i="109"/>
  <c r="J22" i="123"/>
  <c r="J8" i="123"/>
  <c r="C22" i="187"/>
  <c r="C8" i="187"/>
  <c r="D8" i="120"/>
  <c r="D22" i="120"/>
  <c r="D22" i="192"/>
  <c r="D8" i="192"/>
  <c r="J8" i="190"/>
  <c r="J8" i="94"/>
  <c r="J8" i="141"/>
  <c r="J8" i="81"/>
  <c r="C23" i="192"/>
  <c r="B23" i="192" s="1"/>
  <c r="E22" i="193"/>
  <c r="H22" i="93"/>
  <c r="G22" i="93" s="1"/>
  <c r="H8" i="93"/>
  <c r="C11" i="193"/>
  <c r="D7" i="193"/>
  <c r="F45" i="201" s="1"/>
  <c r="B22" i="120"/>
  <c r="B8" i="120"/>
  <c r="M6" i="219"/>
  <c r="B22" i="219"/>
  <c r="M6" i="193"/>
  <c r="H6" i="195"/>
  <c r="H10" i="94"/>
  <c r="H7" i="94" s="1"/>
  <c r="H22" i="94" s="1"/>
  <c r="I7" i="94"/>
  <c r="I22" i="94" s="1"/>
  <c r="H10" i="110"/>
  <c r="H7" i="110" s="1"/>
  <c r="J10" i="201" s="1"/>
  <c r="I7" i="110"/>
  <c r="K10" i="201" s="1"/>
  <c r="H10" i="83"/>
  <c r="H7" i="83" s="1"/>
  <c r="H22" i="83" s="1"/>
  <c r="I7" i="83"/>
  <c r="I22" i="83" s="1"/>
  <c r="H10" i="97"/>
  <c r="H7" i="97" s="1"/>
  <c r="H22" i="97" s="1"/>
  <c r="I7" i="97"/>
  <c r="K15" i="201" s="1"/>
  <c r="H10" i="180"/>
  <c r="H7" i="180" s="1"/>
  <c r="H22" i="180" s="1"/>
  <c r="G22" i="180" s="1"/>
  <c r="F22" i="180" s="1"/>
  <c r="E22" i="180" s="1"/>
  <c r="I7" i="180"/>
  <c r="I22" i="180" s="1"/>
  <c r="H10" i="109"/>
  <c r="I7" i="109"/>
  <c r="H10" i="181"/>
  <c r="H7" i="181" s="1"/>
  <c r="J33" i="201" s="1"/>
  <c r="I7" i="181"/>
  <c r="I22" i="181" s="1"/>
  <c r="H10" i="82"/>
  <c r="H7" i="82" s="1"/>
  <c r="H22" i="82" s="1"/>
  <c r="G22" i="82" s="1"/>
  <c r="F22" i="82" s="1"/>
  <c r="E22" i="82" s="1"/>
  <c r="I7" i="82"/>
  <c r="I22" i="82" s="1"/>
  <c r="H6" i="179"/>
  <c r="J6" i="180"/>
  <c r="K8" i="180"/>
  <c r="H10" i="84"/>
  <c r="H7" i="84" s="1"/>
  <c r="J21" i="201" s="1"/>
  <c r="I7" i="84"/>
  <c r="K21" i="201" s="1"/>
  <c r="H10" i="190"/>
  <c r="H7" i="190" s="1"/>
  <c r="J42" i="201" s="1"/>
  <c r="I7" i="190"/>
  <c r="I22" i="190" s="1"/>
  <c r="H10" i="195"/>
  <c r="H7" i="195" s="1"/>
  <c r="H22" i="195" s="1"/>
  <c r="G22" i="195" s="1"/>
  <c r="F22" i="195" s="1"/>
  <c r="E22" i="195" s="1"/>
  <c r="D22" i="195" s="1"/>
  <c r="I7" i="195"/>
  <c r="I22" i="195" s="1"/>
  <c r="K10" i="120"/>
  <c r="L7" i="120"/>
  <c r="J6" i="181"/>
  <c r="I6" i="181" s="1"/>
  <c r="K8" i="181"/>
  <c r="I10" i="189"/>
  <c r="J7" i="189"/>
  <c r="H6" i="133"/>
  <c r="H10" i="194"/>
  <c r="H7" i="194" s="1"/>
  <c r="H22" i="194" s="1"/>
  <c r="G22" i="194" s="1"/>
  <c r="F22" i="194" s="1"/>
  <c r="E22" i="194" s="1"/>
  <c r="D22" i="194" s="1"/>
  <c r="C22" i="194" s="1"/>
  <c r="B22" i="194" s="1"/>
  <c r="I7" i="194"/>
  <c r="I22" i="194" s="1"/>
  <c r="H6" i="94"/>
  <c r="J6" i="182"/>
  <c r="K8" i="182"/>
  <c r="H6" i="65"/>
  <c r="I8" i="65"/>
  <c r="H6" i="84"/>
  <c r="H6" i="184"/>
  <c r="H8" i="184" s="1"/>
  <c r="I8" i="184"/>
  <c r="H6" i="189"/>
  <c r="H6" i="187"/>
  <c r="E6" i="219"/>
  <c r="F8" i="219"/>
  <c r="H6" i="141"/>
  <c r="I6" i="191"/>
  <c r="J8" i="191"/>
  <c r="H10" i="85"/>
  <c r="H7" i="85" s="1"/>
  <c r="H22" i="85" s="1"/>
  <c r="G22" i="85" s="1"/>
  <c r="I7" i="85"/>
  <c r="H6" i="188"/>
  <c r="H8" i="188" s="1"/>
  <c r="I8" i="188"/>
  <c r="H10" i="141"/>
  <c r="H7" i="141" s="1"/>
  <c r="H22" i="141" s="1"/>
  <c r="G22" i="141" s="1"/>
  <c r="F22" i="141" s="1"/>
  <c r="E22" i="141" s="1"/>
  <c r="I7" i="141"/>
  <c r="I22" i="141" s="1"/>
  <c r="H6" i="121"/>
  <c r="H8" i="121" s="1"/>
  <c r="I8" i="121"/>
  <c r="H10" i="131"/>
  <c r="H7" i="131" s="1"/>
  <c r="H22" i="131" s="1"/>
  <c r="I7" i="131"/>
  <c r="I22" i="131" s="1"/>
  <c r="J8" i="184"/>
  <c r="L22" i="179"/>
  <c r="H10" i="86"/>
  <c r="H7" i="86" s="1"/>
  <c r="H22" i="86" s="1"/>
  <c r="I7" i="86"/>
  <c r="I22" i="86" s="1"/>
  <c r="H6" i="131"/>
  <c r="H10" i="192"/>
  <c r="H7" i="192" s="1"/>
  <c r="J44" i="201" s="1"/>
  <c r="I7" i="192"/>
  <c r="I22" i="192" s="1"/>
  <c r="J10" i="179"/>
  <c r="K7" i="179"/>
  <c r="H10" i="123"/>
  <c r="H7" i="123" s="1"/>
  <c r="I7" i="123"/>
  <c r="H6" i="81"/>
  <c r="H6" i="190"/>
  <c r="H6" i="122"/>
  <c r="H10" i="91"/>
  <c r="H7" i="91" s="1"/>
  <c r="H8" i="91" s="1"/>
  <c r="I7" i="91"/>
  <c r="H10" i="111"/>
  <c r="H7" i="111" s="1"/>
  <c r="J11" i="201" s="1"/>
  <c r="I11" i="201" s="1"/>
  <c r="I7" i="111"/>
  <c r="H6" i="132"/>
  <c r="H6" i="120"/>
  <c r="H6" i="86"/>
  <c r="I8" i="86"/>
  <c r="H10" i="122"/>
  <c r="H7" i="122" s="1"/>
  <c r="H22" i="122" s="1"/>
  <c r="G22" i="122" s="1"/>
  <c r="I7" i="122"/>
  <c r="I22" i="122" s="1"/>
  <c r="H6" i="83"/>
  <c r="K6" i="178"/>
  <c r="L8" i="178"/>
  <c r="K10" i="193"/>
  <c r="L7" i="193"/>
  <c r="L22" i="193" s="1"/>
  <c r="H10" i="81"/>
  <c r="H7" i="81" s="1"/>
  <c r="J18" i="201" s="1"/>
  <c r="I7" i="81"/>
  <c r="I22" i="81" s="1"/>
  <c r="I10" i="200"/>
  <c r="I10" i="233" s="1"/>
  <c r="J7" i="200"/>
  <c r="J7" i="233" s="1"/>
  <c r="H10" i="133"/>
  <c r="H7" i="133" s="1"/>
  <c r="H22" i="133" s="1"/>
  <c r="G22" i="133" s="1"/>
  <c r="F22" i="133" s="1"/>
  <c r="I7" i="133"/>
  <c r="K26" i="201" s="1"/>
  <c r="H10" i="132"/>
  <c r="H7" i="132" s="1"/>
  <c r="H22" i="132" s="1"/>
  <c r="G22" i="132" s="1"/>
  <c r="F22" i="132" s="1"/>
  <c r="E22" i="132" s="1"/>
  <c r="D22" i="132" s="1"/>
  <c r="C22" i="132" s="1"/>
  <c r="B22" i="132" s="1"/>
  <c r="I7" i="132"/>
  <c r="I22" i="132" s="1"/>
  <c r="J10" i="187"/>
  <c r="I10" i="187" s="1"/>
  <c r="K7" i="187"/>
  <c r="K8" i="187" s="1"/>
  <c r="H6" i="82"/>
  <c r="H6" i="192"/>
  <c r="H10" i="178"/>
  <c r="H7" i="178" s="1"/>
  <c r="H22" i="178" s="1"/>
  <c r="I7" i="178"/>
  <c r="I22" i="178" s="1"/>
  <c r="J6" i="186"/>
  <c r="K8" i="186"/>
  <c r="H6" i="194"/>
  <c r="H10" i="182"/>
  <c r="H7" i="182" s="1"/>
  <c r="H22" i="182" s="1"/>
  <c r="G22" i="182" s="1"/>
  <c r="I7" i="182"/>
  <c r="I22" i="182" s="1"/>
  <c r="N52" i="201"/>
  <c r="M52" i="201"/>
  <c r="L52" i="201"/>
  <c r="K52" i="201" s="1"/>
  <c r="J52" i="201"/>
  <c r="I52" i="201" s="1"/>
  <c r="H52" i="201" s="1"/>
  <c r="G52" i="201"/>
  <c r="F52" i="201"/>
  <c r="E52" i="201" s="1"/>
  <c r="D52" i="201"/>
  <c r="O51" i="201"/>
  <c r="N51" i="201" s="1"/>
  <c r="M51" i="201"/>
  <c r="I51" i="201"/>
  <c r="H51" i="201"/>
  <c r="G51" i="201" s="1"/>
  <c r="F51" i="201"/>
  <c r="E51" i="201" s="1"/>
  <c r="D51" i="201"/>
  <c r="O50" i="201"/>
  <c r="N50" i="201"/>
  <c r="M50" i="201"/>
  <c r="L50" i="201"/>
  <c r="K50" i="201"/>
  <c r="J50" i="201" s="1"/>
  <c r="I50" i="201"/>
  <c r="H50" i="201"/>
  <c r="G50" i="201"/>
  <c r="F50" i="201"/>
  <c r="E50" i="201" s="1"/>
  <c r="D50" i="201"/>
  <c r="O49" i="201" s="1"/>
  <c r="N49" i="201"/>
  <c r="M49" i="201"/>
  <c r="L49" i="201"/>
  <c r="K49" i="201" s="1"/>
  <c r="J49" i="201"/>
  <c r="I49" i="201"/>
  <c r="H49" i="201"/>
  <c r="G49" i="201"/>
  <c r="F49" i="201" s="1"/>
  <c r="E49" i="201" s="1"/>
  <c r="D49" i="201"/>
  <c r="M48" i="201"/>
  <c r="L48" i="201"/>
  <c r="K48" i="201"/>
  <c r="J48" i="201" s="1"/>
  <c r="I48" i="201"/>
  <c r="O47" i="201"/>
  <c r="N47" i="201"/>
  <c r="M47" i="201"/>
  <c r="L47" i="201"/>
  <c r="I47" i="201"/>
  <c r="H47" i="201"/>
  <c r="G47" i="201"/>
  <c r="F47" i="201"/>
  <c r="E47" i="201" s="1"/>
  <c r="D47" i="201"/>
  <c r="O46" i="201"/>
  <c r="N46" i="201" s="1"/>
  <c r="M46" i="201"/>
  <c r="L46" i="201"/>
  <c r="I46" i="201"/>
  <c r="H46" i="201"/>
  <c r="G46" i="201"/>
  <c r="F46" i="201"/>
  <c r="E46" i="201"/>
  <c r="D46" i="201"/>
  <c r="O45" i="201"/>
  <c r="I45" i="201"/>
  <c r="H45" i="201"/>
  <c r="G45" i="201"/>
  <c r="M44" i="201"/>
  <c r="L44" i="201"/>
  <c r="I44" i="201"/>
  <c r="H44" i="201" s="1"/>
  <c r="G44" i="201"/>
  <c r="F44" i="201"/>
  <c r="O43" i="201"/>
  <c r="N43" i="201"/>
  <c r="M43" i="201"/>
  <c r="L43" i="201"/>
  <c r="K43" i="201"/>
  <c r="J43" i="201"/>
  <c r="I43" i="201"/>
  <c r="H43" i="201"/>
  <c r="G43" i="201"/>
  <c r="F43" i="201" s="1"/>
  <c r="E43" i="201" s="1"/>
  <c r="D43" i="201"/>
  <c r="O42" i="201"/>
  <c r="N42" i="201"/>
  <c r="M42" i="201" s="1"/>
  <c r="L42" i="201"/>
  <c r="I42" i="201"/>
  <c r="H42" i="201"/>
  <c r="G42" i="201" s="1"/>
  <c r="F42" i="201"/>
  <c r="E42" i="201" s="1"/>
  <c r="N41" i="201"/>
  <c r="M41" i="201"/>
  <c r="I41" i="201"/>
  <c r="H41" i="201"/>
  <c r="G41" i="201"/>
  <c r="F41" i="201"/>
  <c r="E41" i="201" s="1"/>
  <c r="D41" i="201"/>
  <c r="O40" i="201"/>
  <c r="N40" i="201"/>
  <c r="M40" i="201"/>
  <c r="L40" i="201"/>
  <c r="K40" i="201"/>
  <c r="J40" i="201" s="1"/>
  <c r="I40" i="201"/>
  <c r="H40" i="201"/>
  <c r="G40" i="201"/>
  <c r="F40" i="201"/>
  <c r="E40" i="201"/>
  <c r="D40" i="201"/>
  <c r="O39" i="201"/>
  <c r="N39" i="201"/>
  <c r="I39" i="201"/>
  <c r="H39" i="201"/>
  <c r="G39" i="201"/>
  <c r="F39" i="201"/>
  <c r="E39" i="201" s="1"/>
  <c r="D39" i="201"/>
  <c r="O38" i="201"/>
  <c r="N38" i="201"/>
  <c r="M38" i="201"/>
  <c r="L38" i="201"/>
  <c r="K38" i="201"/>
  <c r="J38" i="201" s="1"/>
  <c r="I38" i="201"/>
  <c r="H38" i="201"/>
  <c r="G38" i="201"/>
  <c r="F38" i="201"/>
  <c r="E38" i="201" s="1"/>
  <c r="D38" i="201" s="1"/>
  <c r="O37" i="201"/>
  <c r="N37" i="201"/>
  <c r="M37" i="201"/>
  <c r="L37" i="201"/>
  <c r="K37" i="201" s="1"/>
  <c r="J37" i="201"/>
  <c r="I37" i="201"/>
  <c r="H37" i="201"/>
  <c r="G37" i="201"/>
  <c r="F37" i="201"/>
  <c r="E37" i="201"/>
  <c r="D37" i="201"/>
  <c r="O36" i="201"/>
  <c r="N36" i="201"/>
  <c r="M36" i="201" s="1"/>
  <c r="L36" i="201"/>
  <c r="K36" i="201"/>
  <c r="J36" i="201"/>
  <c r="I36" i="201"/>
  <c r="H36" i="201"/>
  <c r="G36" i="201"/>
  <c r="F36" i="201"/>
  <c r="E36" i="201" s="1"/>
  <c r="D36" i="201"/>
  <c r="O35" i="201"/>
  <c r="N35" i="201" s="1"/>
  <c r="M35" i="201"/>
  <c r="L35" i="201"/>
  <c r="K35" i="201"/>
  <c r="J35" i="201" s="1"/>
  <c r="I35" i="201"/>
  <c r="H35" i="201"/>
  <c r="G35" i="201"/>
  <c r="F35" i="201"/>
  <c r="E35" i="201" s="1"/>
  <c r="D35" i="201" s="1"/>
  <c r="O34" i="201"/>
  <c r="N34" i="201"/>
  <c r="M34" i="201" s="1"/>
  <c r="L34" i="201"/>
  <c r="I34" i="201"/>
  <c r="H34" i="201"/>
  <c r="G34" i="201"/>
  <c r="F34" i="201"/>
  <c r="E34" i="201" s="1"/>
  <c r="D34" i="201" s="1"/>
  <c r="O33" i="201"/>
  <c r="N33" i="201"/>
  <c r="M33" i="201"/>
  <c r="L33" i="201"/>
  <c r="K33" i="201"/>
  <c r="I33" i="201"/>
  <c r="H33" i="201"/>
  <c r="G33" i="201" s="1"/>
  <c r="F33" i="201" s="1"/>
  <c r="E33" i="201" s="1"/>
  <c r="D33" i="201" s="1"/>
  <c r="O32" i="201"/>
  <c r="N32" i="201" s="1"/>
  <c r="M32" i="201" s="1"/>
  <c r="L32" i="201" s="1"/>
  <c r="I32" i="201"/>
  <c r="H32" i="201"/>
  <c r="G32" i="201"/>
  <c r="F32" i="201"/>
  <c r="E32" i="201" s="1"/>
  <c r="D32" i="201" s="1"/>
  <c r="N31" i="201"/>
  <c r="I31" i="201"/>
  <c r="H31" i="201"/>
  <c r="O30" i="201"/>
  <c r="N30" i="201"/>
  <c r="M30" i="201"/>
  <c r="L30" i="201"/>
  <c r="I30" i="201"/>
  <c r="H30" i="201"/>
  <c r="G30" i="201"/>
  <c r="F30" i="201"/>
  <c r="E30" i="201" s="1"/>
  <c r="D30" i="201" s="1"/>
  <c r="O29" i="201"/>
  <c r="N29" i="201" s="1"/>
  <c r="M29" i="201"/>
  <c r="L29" i="201"/>
  <c r="I29" i="201"/>
  <c r="H29" i="201"/>
  <c r="G29" i="201"/>
  <c r="F29" i="201"/>
  <c r="E29" i="201" s="1"/>
  <c r="D29" i="201"/>
  <c r="O28" i="201" s="1"/>
  <c r="N28" i="201"/>
  <c r="M28" i="201"/>
  <c r="L28" i="201"/>
  <c r="K28" i="201"/>
  <c r="I28" i="201"/>
  <c r="H28" i="201" s="1"/>
  <c r="G28" i="201"/>
  <c r="F28" i="201"/>
  <c r="E28" i="201" s="1"/>
  <c r="D28" i="201"/>
  <c r="O27" i="201" s="1"/>
  <c r="N27" i="201"/>
  <c r="M27" i="201"/>
  <c r="L27" i="201"/>
  <c r="K27" i="201" s="1"/>
  <c r="I27" i="201"/>
  <c r="H27" i="201"/>
  <c r="G27" i="201" s="1"/>
  <c r="F27" i="201"/>
  <c r="E27" i="201" s="1"/>
  <c r="D27" i="201"/>
  <c r="O26" i="201"/>
  <c r="N26" i="201" s="1"/>
  <c r="M26" i="201"/>
  <c r="L26" i="201" s="1"/>
  <c r="I26" i="201"/>
  <c r="H26" i="201"/>
  <c r="G26" i="201"/>
  <c r="F26" i="201"/>
  <c r="E26" i="201" s="1"/>
  <c r="D26" i="201"/>
  <c r="O25" i="201"/>
  <c r="N25" i="201" s="1"/>
  <c r="M25" i="201"/>
  <c r="L25" i="201" s="1"/>
  <c r="I25" i="201"/>
  <c r="H25" i="201"/>
  <c r="G25" i="201"/>
  <c r="F25" i="201" s="1"/>
  <c r="E25" i="201" s="1"/>
  <c r="D25" i="201"/>
  <c r="O24" i="201" s="1"/>
  <c r="N24" i="201"/>
  <c r="M24" i="201" s="1"/>
  <c r="L24" i="201" s="1"/>
  <c r="K24" i="201" s="1"/>
  <c r="J24" i="201"/>
  <c r="I24" i="201"/>
  <c r="H24" i="201"/>
  <c r="G24" i="201"/>
  <c r="F24" i="201"/>
  <c r="E24" i="201" s="1"/>
  <c r="D24" i="201"/>
  <c r="O23" i="201"/>
  <c r="I23" i="201"/>
  <c r="H23" i="201"/>
  <c r="G23" i="201"/>
  <c r="F23" i="201"/>
  <c r="D23" i="201"/>
  <c r="O22" i="201"/>
  <c r="N22" i="201"/>
  <c r="M22" i="201"/>
  <c r="L22" i="201" s="1"/>
  <c r="I22" i="201"/>
  <c r="H22" i="201"/>
  <c r="G22" i="201"/>
  <c r="F22" i="201"/>
  <c r="E22" i="201" s="1"/>
  <c r="D22" i="201"/>
  <c r="O21" i="201"/>
  <c r="N21" i="201"/>
  <c r="M21" i="201"/>
  <c r="L21" i="201"/>
  <c r="I21" i="201"/>
  <c r="H21" i="201"/>
  <c r="G21" i="201"/>
  <c r="F21" i="201"/>
  <c r="E21" i="201" s="1"/>
  <c r="D21" i="201"/>
  <c r="O20" i="201" s="1"/>
  <c r="N20" i="201"/>
  <c r="M20" i="201"/>
  <c r="L20" i="201" s="1"/>
  <c r="K20" i="201" s="1"/>
  <c r="I20" i="201"/>
  <c r="H20" i="201"/>
  <c r="G20" i="201"/>
  <c r="F20" i="201"/>
  <c r="E20" i="201" s="1"/>
  <c r="D20" i="201"/>
  <c r="O19" i="201"/>
  <c r="N19" i="201"/>
  <c r="M19" i="201"/>
  <c r="L19" i="201" s="1"/>
  <c r="I19" i="201"/>
  <c r="H19" i="201"/>
  <c r="G19" i="201"/>
  <c r="F19" i="201"/>
  <c r="E19" i="201" s="1"/>
  <c r="D19" i="201"/>
  <c r="O18" i="201"/>
  <c r="N18" i="201"/>
  <c r="M18" i="201"/>
  <c r="L18" i="201"/>
  <c r="I18" i="201"/>
  <c r="H18" i="201"/>
  <c r="G18" i="201"/>
  <c r="F18" i="201"/>
  <c r="E18" i="201" s="1"/>
  <c r="D18" i="201"/>
  <c r="O17" i="201"/>
  <c r="N17" i="201" s="1"/>
  <c r="M17" i="201"/>
  <c r="L17" i="201"/>
  <c r="I17" i="201"/>
  <c r="H17" i="201"/>
  <c r="G17" i="201"/>
  <c r="F17" i="201"/>
  <c r="E17" i="201"/>
  <c r="D17" i="201"/>
  <c r="O16" i="201"/>
  <c r="N16" i="201" s="1"/>
  <c r="M16" i="201" s="1"/>
  <c r="L16" i="201" s="1"/>
  <c r="I16" i="201"/>
  <c r="H16" i="201" s="1"/>
  <c r="G16" i="201"/>
  <c r="F16" i="201" s="1"/>
  <c r="E16" i="201" s="1"/>
  <c r="D16" i="201"/>
  <c r="O15" i="201" s="1"/>
  <c r="N15" i="201"/>
  <c r="M15" i="201"/>
  <c r="L15" i="201" s="1"/>
  <c r="J15" i="201"/>
  <c r="I15" i="201" s="1"/>
  <c r="H15" i="201"/>
  <c r="G15" i="201"/>
  <c r="F15" i="201"/>
  <c r="E15" i="201" s="1"/>
  <c r="D15" i="201"/>
  <c r="O14" i="201"/>
  <c r="N14" i="201" s="1"/>
  <c r="M14" i="201"/>
  <c r="L14" i="201" s="1"/>
  <c r="F14" i="201"/>
  <c r="E14" i="201"/>
  <c r="D14" i="201"/>
  <c r="O13" i="201"/>
  <c r="N13" i="201" s="1"/>
  <c r="M13" i="201" s="1"/>
  <c r="L13" i="201"/>
  <c r="K13" i="201" s="1"/>
  <c r="J13" i="201" s="1"/>
  <c r="I13" i="201"/>
  <c r="H13" i="201"/>
  <c r="G13" i="201"/>
  <c r="F13" i="201"/>
  <c r="E13" i="201"/>
  <c r="D13" i="201"/>
  <c r="O12" i="201"/>
  <c r="N12" i="201"/>
  <c r="M12" i="201"/>
  <c r="L12" i="201"/>
  <c r="K12" i="201"/>
  <c r="I12" i="201"/>
  <c r="H12" i="201"/>
  <c r="G12" i="201"/>
  <c r="F12" i="201"/>
  <c r="E12" i="201" s="1"/>
  <c r="D12" i="201" s="1"/>
  <c r="O11" i="201"/>
  <c r="N11" i="201"/>
  <c r="M11" i="201"/>
  <c r="L11" i="201" s="1"/>
  <c r="H11" i="201"/>
  <c r="G11" i="201"/>
  <c r="F11" i="201"/>
  <c r="E11" i="201"/>
  <c r="D11" i="201" s="1"/>
  <c r="O10" i="201"/>
  <c r="N10" i="201"/>
  <c r="M10" i="201"/>
  <c r="L10" i="201" s="1"/>
  <c r="I10" i="201"/>
  <c r="H10" i="201"/>
  <c r="G10" i="201"/>
  <c r="F10" i="201"/>
  <c r="E10" i="201"/>
  <c r="D10" i="201"/>
  <c r="O9" i="201"/>
  <c r="N9" i="201" s="1"/>
  <c r="M9" i="201"/>
  <c r="L9" i="201" s="1"/>
  <c r="H9" i="201"/>
  <c r="G9" i="201"/>
  <c r="F9" i="201" s="1"/>
  <c r="E9" i="201"/>
  <c r="D9" i="201" s="1"/>
  <c r="O8" i="201"/>
  <c r="N8" i="201"/>
  <c r="M8" i="201"/>
  <c r="L8" i="201" s="1"/>
  <c r="K8" i="201" s="1"/>
  <c r="J8" i="201"/>
  <c r="I8" i="201"/>
  <c r="H8" i="201"/>
  <c r="G8" i="201"/>
  <c r="F8" i="201"/>
  <c r="E8" i="201" s="1"/>
  <c r="D8" i="201"/>
  <c r="O7" i="201" s="1"/>
  <c r="N7" i="201"/>
  <c r="M7" i="201"/>
  <c r="L7" i="201"/>
  <c r="J7" i="201"/>
  <c r="I7" i="201"/>
  <c r="H7" i="201"/>
  <c r="G7" i="201"/>
  <c r="F7" i="201"/>
  <c r="E7" i="201"/>
  <c r="D7" i="201"/>
  <c r="C11" i="212"/>
  <c r="E23" i="201" l="1"/>
  <c r="E23" i="196"/>
  <c r="M8" i="219"/>
  <c r="M6" i="233"/>
  <c r="H48" i="201"/>
  <c r="K32" i="201"/>
  <c r="K17" i="201"/>
  <c r="G8" i="233"/>
  <c r="L7" i="232"/>
  <c r="L22" i="232" s="1"/>
  <c r="K10" i="232"/>
  <c r="F22" i="196"/>
  <c r="F7" i="233"/>
  <c r="F22" i="233" s="1"/>
  <c r="F8" i="196"/>
  <c r="J22" i="233"/>
  <c r="J8" i="233"/>
  <c r="D23" i="179"/>
  <c r="D11" i="232"/>
  <c r="D23" i="232" s="1"/>
  <c r="K6" i="68"/>
  <c r="K6" i="232"/>
  <c r="E6" i="68"/>
  <c r="E6" i="233"/>
  <c r="E7" i="232"/>
  <c r="D11" i="196"/>
  <c r="D11" i="68" s="1"/>
  <c r="D23" i="68" s="1"/>
  <c r="E11" i="233"/>
  <c r="E23" i="233" s="1"/>
  <c r="E7" i="196"/>
  <c r="G31" i="201"/>
  <c r="I8" i="82"/>
  <c r="I8" i="83"/>
  <c r="I8" i="94"/>
  <c r="M10" i="192"/>
  <c r="M7" i="192" s="1"/>
  <c r="O44" i="201" s="1"/>
  <c r="N44" i="201" s="1"/>
  <c r="B7" i="192"/>
  <c r="M6" i="190"/>
  <c r="M8" i="190" s="1"/>
  <c r="B22" i="190"/>
  <c r="B8" i="190"/>
  <c r="I8" i="194"/>
  <c r="J19" i="201"/>
  <c r="F22" i="68"/>
  <c r="F8" i="68"/>
  <c r="H8" i="194"/>
  <c r="I8" i="84"/>
  <c r="H8" i="83"/>
  <c r="G8" i="83" s="1"/>
  <c r="H8" i="86"/>
  <c r="H8" i="190"/>
  <c r="I22" i="84"/>
  <c r="H8" i="94"/>
  <c r="L7" i="68"/>
  <c r="L22" i="68" s="1"/>
  <c r="I8" i="190"/>
  <c r="I8" i="192"/>
  <c r="I8" i="131"/>
  <c r="J12" i="201"/>
  <c r="J27" i="201"/>
  <c r="J32" i="201"/>
  <c r="H8" i="133"/>
  <c r="H8" i="131"/>
  <c r="G8" i="131" s="1"/>
  <c r="H8" i="85"/>
  <c r="J28" i="201"/>
  <c r="H8" i="123"/>
  <c r="H8" i="132"/>
  <c r="I8" i="133"/>
  <c r="L51" i="201"/>
  <c r="J8" i="200"/>
  <c r="I22" i="91"/>
  <c r="I8" i="91"/>
  <c r="I22" i="123"/>
  <c r="I8" i="123"/>
  <c r="H7" i="109"/>
  <c r="H22" i="110"/>
  <c r="G22" i="110" s="1"/>
  <c r="F22" i="110" s="1"/>
  <c r="E22" i="110" s="1"/>
  <c r="D22" i="110" s="1"/>
  <c r="H8" i="110"/>
  <c r="I8" i="132"/>
  <c r="K10" i="68"/>
  <c r="H8" i="195"/>
  <c r="H22" i="111"/>
  <c r="H8" i="111"/>
  <c r="J22" i="189"/>
  <c r="J8" i="189"/>
  <c r="L22" i="120"/>
  <c r="L8" i="120"/>
  <c r="I22" i="109"/>
  <c r="I8" i="109"/>
  <c r="I22" i="97"/>
  <c r="I8" i="97"/>
  <c r="H8" i="97" s="1"/>
  <c r="I22" i="110"/>
  <c r="I8" i="110"/>
  <c r="B11" i="193"/>
  <c r="B7" i="193" s="1"/>
  <c r="C7" i="193"/>
  <c r="C11" i="179"/>
  <c r="C11" i="232" s="1"/>
  <c r="C23" i="232" s="1"/>
  <c r="D7" i="179"/>
  <c r="H8" i="192"/>
  <c r="H8" i="122"/>
  <c r="H8" i="81"/>
  <c r="H8" i="84"/>
  <c r="I8" i="195"/>
  <c r="C23" i="193"/>
  <c r="B23" i="193" s="1"/>
  <c r="I22" i="111"/>
  <c r="I8" i="111"/>
  <c r="M31" i="201"/>
  <c r="K8" i="179"/>
  <c r="I22" i="85"/>
  <c r="I8" i="85"/>
  <c r="D8" i="193"/>
  <c r="D22" i="193"/>
  <c r="C22" i="192"/>
  <c r="C8" i="192"/>
  <c r="C22" i="120"/>
  <c r="C8" i="120"/>
  <c r="E22" i="179"/>
  <c r="E8" i="179"/>
  <c r="I8" i="122"/>
  <c r="I8" i="81"/>
  <c r="I8" i="141"/>
  <c r="L6" i="193"/>
  <c r="L6" i="232" s="1"/>
  <c r="M8" i="193"/>
  <c r="K16" i="201"/>
  <c r="J17" i="201"/>
  <c r="K29" i="201"/>
  <c r="K14" i="201"/>
  <c r="K42" i="201"/>
  <c r="K47" i="201"/>
  <c r="J16" i="201"/>
  <c r="N23" i="201"/>
  <c r="K19" i="201"/>
  <c r="L41" i="201"/>
  <c r="K9" i="201"/>
  <c r="K46" i="201"/>
  <c r="K22" i="201"/>
  <c r="J22" i="201" s="1"/>
  <c r="H8" i="82"/>
  <c r="H22" i="91"/>
  <c r="G22" i="91" s="1"/>
  <c r="F22" i="91" s="1"/>
  <c r="E22" i="91" s="1"/>
  <c r="H22" i="123"/>
  <c r="G22" i="123" s="1"/>
  <c r="H22" i="192"/>
  <c r="G22" i="192" s="1"/>
  <c r="K18" i="201"/>
  <c r="J7" i="187"/>
  <c r="J26" i="201"/>
  <c r="H22" i="81"/>
  <c r="G22" i="81" s="1"/>
  <c r="J29" i="201"/>
  <c r="K44" i="201"/>
  <c r="J46" i="201"/>
  <c r="J22" i="200"/>
  <c r="H6" i="191"/>
  <c r="I8" i="191"/>
  <c r="D6" i="219"/>
  <c r="E8" i="219"/>
  <c r="H8" i="65"/>
  <c r="H6" i="181"/>
  <c r="H8" i="181" s="1"/>
  <c r="I8" i="181"/>
  <c r="H10" i="200"/>
  <c r="I7" i="200"/>
  <c r="I7" i="233" s="1"/>
  <c r="J10" i="193"/>
  <c r="K7" i="193"/>
  <c r="K34" i="201"/>
  <c r="J34" i="201" s="1"/>
  <c r="M39" i="201"/>
  <c r="N45" i="201"/>
  <c r="J47" i="201"/>
  <c r="H22" i="181"/>
  <c r="G22" i="181" s="1"/>
  <c r="F22" i="181" s="1"/>
  <c r="I22" i="133"/>
  <c r="H22" i="84"/>
  <c r="G22" i="84" s="1"/>
  <c r="J8" i="181"/>
  <c r="K22" i="187"/>
  <c r="I6" i="182"/>
  <c r="J8" i="182"/>
  <c r="H10" i="189"/>
  <c r="H7" i="189" s="1"/>
  <c r="J41" i="201" s="1"/>
  <c r="I7" i="189"/>
  <c r="J10" i="120"/>
  <c r="K7" i="120"/>
  <c r="I6" i="180"/>
  <c r="J8" i="180"/>
  <c r="J20" i="201"/>
  <c r="K25" i="201"/>
  <c r="J25" i="201" s="1"/>
  <c r="K7" i="201"/>
  <c r="I6" i="186"/>
  <c r="J8" i="186"/>
  <c r="H10" i="187"/>
  <c r="H7" i="187" s="1"/>
  <c r="J39" i="201" s="1"/>
  <c r="I7" i="187"/>
  <c r="J6" i="178"/>
  <c r="J6" i="232" s="1"/>
  <c r="K8" i="178"/>
  <c r="I10" i="179"/>
  <c r="J7" i="179"/>
  <c r="J8" i="179" s="1"/>
  <c r="K11" i="201"/>
  <c r="J14" i="201"/>
  <c r="I14" i="201" s="1"/>
  <c r="H14" i="201" s="1"/>
  <c r="G14" i="201" s="1"/>
  <c r="K30" i="201"/>
  <c r="J30" i="201" s="1"/>
  <c r="K22" i="179"/>
  <c r="H8" i="141"/>
  <c r="H22" i="190"/>
  <c r="G22" i="190" s="1"/>
  <c r="M22" i="192" l="1"/>
  <c r="L8" i="232"/>
  <c r="K7" i="232"/>
  <c r="K22" i="232" s="1"/>
  <c r="J9" i="201"/>
  <c r="I9" i="201" s="1"/>
  <c r="I53" i="201" s="1"/>
  <c r="F8" i="233"/>
  <c r="I22" i="233"/>
  <c r="I8" i="233"/>
  <c r="D7" i="232"/>
  <c r="E22" i="232"/>
  <c r="E8" i="232"/>
  <c r="J10" i="232"/>
  <c r="C11" i="196"/>
  <c r="C11" i="68" s="1"/>
  <c r="C23" i="68" s="1"/>
  <c r="D11" i="233"/>
  <c r="D23" i="233" s="1"/>
  <c r="D7" i="196"/>
  <c r="D7" i="68" s="1"/>
  <c r="D6" i="68"/>
  <c r="D6" i="233"/>
  <c r="D23" i="196"/>
  <c r="H7" i="200"/>
  <c r="H22" i="200" s="1"/>
  <c r="G22" i="200" s="1"/>
  <c r="F22" i="200" s="1"/>
  <c r="H10" i="233"/>
  <c r="E8" i="196"/>
  <c r="E7" i="233"/>
  <c r="E22" i="233" s="1"/>
  <c r="E22" i="196"/>
  <c r="G48" i="201"/>
  <c r="G53" i="201" s="1"/>
  <c r="E7" i="68"/>
  <c r="K7" i="68"/>
  <c r="K22" i="68" s="1"/>
  <c r="B22" i="193"/>
  <c r="B8" i="193"/>
  <c r="D45" i="201"/>
  <c r="M6" i="192"/>
  <c r="M8" i="192" s="1"/>
  <c r="B8" i="192"/>
  <c r="B22" i="192"/>
  <c r="D44" i="201"/>
  <c r="J10" i="68"/>
  <c r="H53" i="201"/>
  <c r="B11" i="179"/>
  <c r="B11" i="232" s="1"/>
  <c r="B23" i="232" s="1"/>
  <c r="C7" i="179"/>
  <c r="C7" i="232" s="1"/>
  <c r="H8" i="187"/>
  <c r="M23" i="201"/>
  <c r="K8" i="120"/>
  <c r="D8" i="179"/>
  <c r="D22" i="179"/>
  <c r="F31" i="201"/>
  <c r="C22" i="193"/>
  <c r="C8" i="193"/>
  <c r="I6" i="178"/>
  <c r="J6" i="68"/>
  <c r="M45" i="201"/>
  <c r="K8" i="193"/>
  <c r="K39" i="201"/>
  <c r="I8" i="187"/>
  <c r="I22" i="189"/>
  <c r="I8" i="189"/>
  <c r="I22" i="200"/>
  <c r="I8" i="200"/>
  <c r="J22" i="187"/>
  <c r="J8" i="187"/>
  <c r="L8" i="193"/>
  <c r="L6" i="68"/>
  <c r="L8" i="68" s="1"/>
  <c r="H22" i="109"/>
  <c r="H8" i="109"/>
  <c r="E45" i="201"/>
  <c r="C23" i="179"/>
  <c r="B23" i="179" s="1"/>
  <c r="H8" i="189"/>
  <c r="L39" i="201"/>
  <c r="K22" i="193"/>
  <c r="I22" i="187"/>
  <c r="K41" i="201"/>
  <c r="K22" i="120"/>
  <c r="J8" i="178"/>
  <c r="H22" i="189"/>
  <c r="G22" i="189" s="1"/>
  <c r="F22" i="189" s="1"/>
  <c r="E22" i="189" s="1"/>
  <c r="D22" i="189" s="1"/>
  <c r="I10" i="120"/>
  <c r="J7" i="120"/>
  <c r="J22" i="179"/>
  <c r="L31" i="201"/>
  <c r="K51" i="201"/>
  <c r="H10" i="179"/>
  <c r="H7" i="179" s="1"/>
  <c r="I7" i="179"/>
  <c r="H6" i="182"/>
  <c r="H8" i="182" s="1"/>
  <c r="I8" i="182"/>
  <c r="H6" i="178"/>
  <c r="H6" i="186"/>
  <c r="H8" i="186" s="1"/>
  <c r="I8" i="186"/>
  <c r="H6" i="180"/>
  <c r="I8" i="180"/>
  <c r="I10" i="193"/>
  <c r="J7" i="193"/>
  <c r="J8" i="193" s="1"/>
  <c r="C6" i="219"/>
  <c r="D8" i="219"/>
  <c r="H22" i="187"/>
  <c r="G22" i="187" s="1"/>
  <c r="H8" i="191"/>
  <c r="K8" i="232" l="1"/>
  <c r="K8" i="68"/>
  <c r="H6" i="232"/>
  <c r="J51" i="201"/>
  <c r="I10" i="232"/>
  <c r="D8" i="68"/>
  <c r="D22" i="68"/>
  <c r="C22" i="232"/>
  <c r="C8" i="232"/>
  <c r="E22" i="68"/>
  <c r="E8" i="68"/>
  <c r="H8" i="200"/>
  <c r="H7" i="233"/>
  <c r="B11" i="196"/>
  <c r="B11" i="68" s="1"/>
  <c r="B23" i="68" s="1"/>
  <c r="C11" i="233"/>
  <c r="C23" i="233" s="1"/>
  <c r="C7" i="196"/>
  <c r="C23" i="196"/>
  <c r="J7" i="232"/>
  <c r="C6" i="68"/>
  <c r="C6" i="233"/>
  <c r="I6" i="68"/>
  <c r="I6" i="232"/>
  <c r="D7" i="233"/>
  <c r="D22" i="233" s="1"/>
  <c r="D22" i="196"/>
  <c r="D8" i="196"/>
  <c r="F48" i="201"/>
  <c r="E48" i="201" s="1"/>
  <c r="D22" i="232"/>
  <c r="D8" i="232"/>
  <c r="E8" i="233"/>
  <c r="M10" i="179"/>
  <c r="B7" i="179"/>
  <c r="B7" i="232" s="1"/>
  <c r="J7" i="68"/>
  <c r="J22" i="68" s="1"/>
  <c r="M53" i="201"/>
  <c r="E31" i="201"/>
  <c r="J31" i="201"/>
  <c r="H8" i="179"/>
  <c r="C22" i="179"/>
  <c r="C8" i="179"/>
  <c r="C7" i="68"/>
  <c r="J22" i="120"/>
  <c r="J8" i="120"/>
  <c r="K31" i="201"/>
  <c r="I8" i="179"/>
  <c r="H8" i="178"/>
  <c r="G8" i="178" s="1"/>
  <c r="H6" i="68"/>
  <c r="I8" i="178"/>
  <c r="I10" i="68"/>
  <c r="H8" i="180"/>
  <c r="H10" i="120"/>
  <c r="I7" i="120"/>
  <c r="H10" i="193"/>
  <c r="H7" i="193" s="1"/>
  <c r="H8" i="193" s="1"/>
  <c r="I7" i="193"/>
  <c r="I8" i="193" s="1"/>
  <c r="J22" i="193"/>
  <c r="L45" i="201"/>
  <c r="B6" i="219"/>
  <c r="B6" i="233" s="1"/>
  <c r="C8" i="219"/>
  <c r="L23" i="201"/>
  <c r="I22" i="179"/>
  <c r="H22" i="179" s="1"/>
  <c r="G22" i="179" s="1"/>
  <c r="F22" i="179" s="1"/>
  <c r="M7" i="179" l="1"/>
  <c r="M10" i="232"/>
  <c r="I7" i="232"/>
  <c r="I22" i="232" s="1"/>
  <c r="H10" i="232"/>
  <c r="E53" i="201"/>
  <c r="F53" i="201"/>
  <c r="B22" i="232"/>
  <c r="B8" i="232"/>
  <c r="M10" i="196"/>
  <c r="M10" i="68" s="1"/>
  <c r="B11" i="233"/>
  <c r="B23" i="233" s="1"/>
  <c r="B7" i="196"/>
  <c r="J22" i="232"/>
  <c r="J8" i="232"/>
  <c r="C22" i="196"/>
  <c r="C7" i="233"/>
  <c r="C22" i="233" s="1"/>
  <c r="C8" i="196"/>
  <c r="D8" i="233"/>
  <c r="H22" i="233"/>
  <c r="H8" i="233"/>
  <c r="B23" i="196"/>
  <c r="M6" i="179"/>
  <c r="B8" i="179"/>
  <c r="B22" i="179"/>
  <c r="B7" i="68"/>
  <c r="B22" i="68" s="1"/>
  <c r="D31" i="201"/>
  <c r="I7" i="68"/>
  <c r="I22" i="68" s="1"/>
  <c r="L53" i="201"/>
  <c r="J8" i="68"/>
  <c r="I22" i="120"/>
  <c r="I8" i="120"/>
  <c r="C22" i="68"/>
  <c r="C8" i="68"/>
  <c r="H7" i="120"/>
  <c r="H10" i="68"/>
  <c r="M22" i="179"/>
  <c r="O31" i="201"/>
  <c r="B8" i="219"/>
  <c r="B6" i="68"/>
  <c r="K23" i="201"/>
  <c r="H22" i="193"/>
  <c r="G22" i="193" s="1"/>
  <c r="J45" i="201"/>
  <c r="I22" i="193"/>
  <c r="K45" i="201"/>
  <c r="M6" i="232" l="1"/>
  <c r="M6" i="68"/>
  <c r="M7" i="232"/>
  <c r="M22" i="232" s="1"/>
  <c r="M10" i="233"/>
  <c r="M7" i="196"/>
  <c r="M7" i="68" s="1"/>
  <c r="M22" i="68" s="1"/>
  <c r="I8" i="232"/>
  <c r="B8" i="68"/>
  <c r="B7" i="233"/>
  <c r="B22" i="196"/>
  <c r="B8" i="196"/>
  <c r="D48" i="201"/>
  <c r="D53" i="201" s="1"/>
  <c r="O52" i="201" s="1"/>
  <c r="H7" i="68"/>
  <c r="H22" i="68" s="1"/>
  <c r="H7" i="232"/>
  <c r="C8" i="233"/>
  <c r="M8" i="179"/>
  <c r="I8" i="68"/>
  <c r="K53" i="201"/>
  <c r="J23" i="201"/>
  <c r="J53" i="201" s="1"/>
  <c r="H22" i="120"/>
  <c r="G22" i="120" s="1"/>
  <c r="H8" i="120"/>
  <c r="M8" i="68" l="1"/>
  <c r="M8" i="232"/>
  <c r="M8" i="196"/>
  <c r="M7" i="233"/>
  <c r="M22" i="196"/>
  <c r="O48" i="201"/>
  <c r="B22" i="233"/>
  <c r="B8" i="233"/>
  <c r="H22" i="232"/>
  <c r="H8" i="232"/>
  <c r="H8" i="68"/>
  <c r="G8" i="68" s="1"/>
  <c r="N48" i="201" l="1"/>
  <c r="N53" i="201" s="1"/>
  <c r="O53" i="201"/>
  <c r="M22" i="233"/>
  <c r="M8" i="233"/>
  <c r="C12" i="212"/>
  <c r="C13" i="212"/>
  <c r="C14" i="212"/>
  <c r="C15" i="212"/>
  <c r="C16" i="212"/>
  <c r="C17" i="212"/>
  <c r="C18" i="212"/>
  <c r="C19" i="212"/>
  <c r="C20" i="212"/>
  <c r="C21" i="212"/>
  <c r="C22" i="212"/>
  <c r="C23" i="212"/>
  <c r="C24" i="212"/>
  <c r="C25" i="212"/>
  <c r="C26" i="212"/>
  <c r="C27" i="212"/>
  <c r="C28" i="212"/>
  <c r="C29" i="212"/>
  <c r="C30" i="212"/>
  <c r="C31" i="212"/>
  <c r="C32" i="212"/>
  <c r="C33" i="212"/>
  <c r="C34" i="212"/>
  <c r="C35" i="212"/>
  <c r="C36" i="212"/>
  <c r="C37" i="212"/>
  <c r="C38" i="212"/>
  <c r="C39" i="212"/>
  <c r="C40" i="212"/>
  <c r="C41" i="212"/>
  <c r="C42" i="212"/>
  <c r="C43" i="212"/>
  <c r="C44" i="212"/>
  <c r="C45" i="212"/>
  <c r="C46" i="212"/>
  <c r="C47" i="212"/>
  <c r="C48" i="212"/>
  <c r="C49" i="212"/>
  <c r="C50" i="212"/>
  <c r="C51" i="212"/>
  <c r="C52" i="212"/>
  <c r="C53" i="212"/>
  <c r="C54" i="212"/>
  <c r="C55" i="212"/>
</calcChain>
</file>

<file path=xl/sharedStrings.xml><?xml version="1.0" encoding="utf-8"?>
<sst xmlns="http://schemas.openxmlformats.org/spreadsheetml/2006/main" count="13100" uniqueCount="2189">
  <si>
    <t>Out of State Plate</t>
  </si>
  <si>
    <t>Illegible Plate</t>
  </si>
  <si>
    <t>Plate Obstructed</t>
  </si>
  <si>
    <t>Driver Obstructed</t>
  </si>
  <si>
    <t>Car Obstructed</t>
  </si>
  <si>
    <t>Emergency Vehicle</t>
  </si>
  <si>
    <t>Framing of Plate</t>
  </si>
  <si>
    <t>Dark Interior</t>
  </si>
  <si>
    <t>Framing of Driver</t>
  </si>
  <si>
    <t>Framing of Car</t>
  </si>
  <si>
    <t>Data Error</t>
  </si>
  <si>
    <t>No Violation Occurred</t>
  </si>
  <si>
    <t>Citations</t>
  </si>
  <si>
    <t>Approach Summary Report</t>
  </si>
  <si>
    <t>Total Events</t>
  </si>
  <si>
    <t>Daily Citation Yield</t>
  </si>
  <si>
    <t>Total</t>
  </si>
  <si>
    <t>All Locations</t>
  </si>
  <si>
    <t>Violations</t>
  </si>
  <si>
    <t>Events</t>
  </si>
  <si>
    <t xml:space="preserve"> </t>
  </si>
  <si>
    <t>Non - Violations</t>
  </si>
  <si>
    <t>City of San Francisco</t>
  </si>
  <si>
    <t>Other (Non-Violation)</t>
  </si>
  <si>
    <t>Right Turn - No Violation</t>
  </si>
  <si>
    <t>Gender Match Failure</t>
  </si>
  <si>
    <t>Multiple Vehicles</t>
  </si>
  <si>
    <t>Vehicle Match Failure</t>
  </si>
  <si>
    <t>Other (Violation)</t>
  </si>
  <si>
    <t>Clarity of Plate</t>
  </si>
  <si>
    <t>Clarity of Driver</t>
  </si>
  <si>
    <t>Glare on Windshield</t>
  </si>
  <si>
    <t>No Plate</t>
  </si>
  <si>
    <t>Age Mismatch</t>
  </si>
  <si>
    <t>Glare on Plate</t>
  </si>
  <si>
    <t>Plate Damaged</t>
  </si>
  <si>
    <t>Equipment Malfunction</t>
  </si>
  <si>
    <t>Rear Axle Activation</t>
  </si>
  <si>
    <t>Exposed</t>
  </si>
  <si>
    <t>DMV No Hit</t>
  </si>
  <si>
    <t>Funeral/Parade</t>
  </si>
  <si>
    <t>May</t>
  </si>
  <si>
    <t>Aug</t>
  </si>
  <si>
    <t>Jan</t>
  </si>
  <si>
    <t>Feb</t>
  </si>
  <si>
    <t>Mar</t>
  </si>
  <si>
    <t>Apr</t>
  </si>
  <si>
    <t>Jun</t>
  </si>
  <si>
    <t>Jul</t>
  </si>
  <si>
    <t>Oct</t>
  </si>
  <si>
    <t>Nov</t>
  </si>
  <si>
    <t>Dec</t>
  </si>
  <si>
    <t>Calendar Days</t>
  </si>
  <si>
    <t>Controllable Issuance Rate</t>
  </si>
  <si>
    <t>Sep</t>
  </si>
  <si>
    <t>Loc 2011:  NB 19th Ave @ Sloat Blvd.</t>
  </si>
  <si>
    <t>Loc 2062:  SB 1st St. @ Folsom St.</t>
  </si>
  <si>
    <t>Loc 2071:  NB 3rd St. @ Harrison St.</t>
  </si>
  <si>
    <t>Loc 2074:  WB Harrison St. @ 3rd St.</t>
  </si>
  <si>
    <t>Loc 2081:  NB South Van Ness Ave. @ 14th St.</t>
  </si>
  <si>
    <t>Loc 2083:  EB 14th St. @ South Van Ness Ave.</t>
  </si>
  <si>
    <t>Loc 2094:  WB Geary Blvd. @ Franklin St.</t>
  </si>
  <si>
    <t>Loc 2104:  WB Pine St. @ Polk St.</t>
  </si>
  <si>
    <t>Loc 2111:  NB Mission St. @ 15th St.</t>
  </si>
  <si>
    <t>Loc 2112:  SB Mission St. @ 15th St.</t>
  </si>
  <si>
    <t>Loc 2122:  SB Polk St. @ Hayes St.</t>
  </si>
  <si>
    <t>Loc 2124:  WB Hayes St. @ Polk St.</t>
  </si>
  <si>
    <t>Loc 2131:  NB 5th St. @ Mission St.</t>
  </si>
  <si>
    <t>Loc 2132:  SB 5th St. @ Mission St.</t>
  </si>
  <si>
    <t>Loc 2134:  WB Mission St. @ 5th St.</t>
  </si>
  <si>
    <t>Loc 2142:  SB 8th St. @ Harrison St.</t>
  </si>
  <si>
    <t>Loc 2144:  WB Harrison St. @ 8th St.</t>
  </si>
  <si>
    <t>Loc 2152:  SB 5th St. @ Harrison St.</t>
  </si>
  <si>
    <t>Loc 2154:  WB Harrison St. @ 5th St.</t>
  </si>
  <si>
    <t>Loc 2161:  NB Van Ness Ave. @ Bush St.</t>
  </si>
  <si>
    <t>Loc 2184:  WB Howard St. @ 4th St.</t>
  </si>
  <si>
    <t>Loc 2211:  NB Park Presidio Blvd. @ Fulton St.</t>
  </si>
  <si>
    <t>Loc 2212:  SB Park Presidio Blvd. @ Fulton St.</t>
  </si>
  <si>
    <t>Loc 2221:  NB Park Presidio Blvd. @ Geary Blvd.</t>
  </si>
  <si>
    <t>Loc 2222:  SB Park Presidio Blvd. @ Geary Blvd.</t>
  </si>
  <si>
    <t>Loc 2233:  EB Geary Blvd. @ Park Presidio Blvd.</t>
  </si>
  <si>
    <t>Loc 2234:  WB Geary Blvd. @ Park Presidio Blvd.</t>
  </si>
  <si>
    <t>Loc 2241:  NB Park Presidio Blvd. @ Lake St.</t>
  </si>
  <si>
    <t>Loc 2242:  SB Park Presidio Blvd. @ Lake St.</t>
  </si>
  <si>
    <t>Loc 2263:  EB Richardson Ave. @ Francisco St.</t>
  </si>
  <si>
    <t>Loc 3001:  NB Octavia Blvd. @ Oak St.</t>
  </si>
  <si>
    <t>Loc 3003:  EB Oak St. @ Octavia Blvd.</t>
  </si>
  <si>
    <t>Loc 3011:  NB Larkin St. @ Ellis St.</t>
  </si>
  <si>
    <t>Program Summary</t>
  </si>
  <si>
    <t>Code</t>
  </si>
  <si>
    <t>Intersection</t>
  </si>
  <si>
    <t>Howard @ 5th</t>
  </si>
  <si>
    <t>19th @ Sloat</t>
  </si>
  <si>
    <t>7th @ Mission</t>
  </si>
  <si>
    <t>Mission @ 7th</t>
  </si>
  <si>
    <t>9th @ Howard</t>
  </si>
  <si>
    <t>Howard @ 9th</t>
  </si>
  <si>
    <t>6th @ Bryant</t>
  </si>
  <si>
    <t>Bryant @ 6th</t>
  </si>
  <si>
    <t>1st @ Folsom</t>
  </si>
  <si>
    <t>3rd @ Harrison</t>
  </si>
  <si>
    <t>Harrison @ 3rd</t>
  </si>
  <si>
    <t>So. Van Ness @ 14th</t>
  </si>
  <si>
    <t>14th @ So. Van Ness</t>
  </si>
  <si>
    <t>Franklin @ Geary</t>
  </si>
  <si>
    <t>Geary @ Franklin</t>
  </si>
  <si>
    <t>Pine @ Polk</t>
  </si>
  <si>
    <t>Mission @ 15th</t>
  </si>
  <si>
    <t>Polk @ Hayes</t>
  </si>
  <si>
    <t>5th @ Mission</t>
  </si>
  <si>
    <t>Mission @ 5th</t>
  </si>
  <si>
    <t>8th @ Harrison</t>
  </si>
  <si>
    <t>Harrison @ 8th</t>
  </si>
  <si>
    <t>5th @ Harrison</t>
  </si>
  <si>
    <t>Harrison @ 5th</t>
  </si>
  <si>
    <t>Van Ness @ Bush</t>
  </si>
  <si>
    <t>Howard @ 4th</t>
  </si>
  <si>
    <t>Park Presidio @ Fulton</t>
  </si>
  <si>
    <t>Park Presidio @ Geary</t>
  </si>
  <si>
    <t>Geary @ Park Presidio</t>
  </si>
  <si>
    <t>Park Presidio @ Lake</t>
  </si>
  <si>
    <t>Marina @ Lyon</t>
  </si>
  <si>
    <t>Richardson @ Francisco</t>
  </si>
  <si>
    <t>Octavia @ Oak</t>
  </si>
  <si>
    <t>Oak @ Octavia</t>
  </si>
  <si>
    <t>Larkin @ Ellis</t>
  </si>
  <si>
    <t>Loc 3034:  WB Howard St. @ 9th St.</t>
  </si>
  <si>
    <t>Controllable Non-Issued</t>
  </si>
  <si>
    <t>Uncontrollable Non-Issued</t>
  </si>
  <si>
    <t>Non-Violations</t>
  </si>
  <si>
    <t>Citiation / Violation Issuance Rate</t>
  </si>
  <si>
    <t>Daily Average Vehicle Passes</t>
  </si>
  <si>
    <t>Average Violation Speed</t>
  </si>
  <si>
    <t>Average Issued Speed</t>
  </si>
  <si>
    <t>Average Violation Red Seconds</t>
  </si>
  <si>
    <t>Average Issued Red Seconds</t>
  </si>
  <si>
    <t>Uncontrollable Non-Issued Violations</t>
  </si>
  <si>
    <t>Controllable Non-Issued Violations</t>
  </si>
  <si>
    <t>Confidential</t>
  </si>
  <si>
    <t>San Francisco                                                                Monthly Report</t>
  </si>
  <si>
    <t xml:space="preserve">Total </t>
  </si>
  <si>
    <t>Picture Bad</t>
  </si>
  <si>
    <t>Rejected by PD-Other</t>
  </si>
  <si>
    <t>Officer Present</t>
  </si>
  <si>
    <t>Government Tag</t>
  </si>
  <si>
    <t>Expired</t>
  </si>
  <si>
    <t>Total:</t>
  </si>
  <si>
    <t>Photo Enforcement Services</t>
  </si>
  <si>
    <t>Table of Contents</t>
  </si>
  <si>
    <t>Report Title</t>
  </si>
  <si>
    <t>Page</t>
  </si>
  <si>
    <t>Approach Summary Report, Loc. 2004:  WB Howard St &amp; Fifth St. ...................................................................................................................................................................................................</t>
  </si>
  <si>
    <t>Approach Summary Report, Loc. 2011:  NB 19th Ave &amp; Sloat Blvd. ...............................................................................................................................................................</t>
  </si>
  <si>
    <t>Approach Summary Report, Loc. 2012:  SB 19th Ave &amp; Sloat Blvd. Ave...............................................................................................................................................................</t>
  </si>
  <si>
    <t>Approach Summary Report, Loc. 2021:  NB 7th St. &amp; Mission St...............................................................................................................................................................</t>
  </si>
  <si>
    <t>Approach Summary Report, Loc. 2024: WB Mission St. &amp; 7th St. ……...............................................................................................................................................................</t>
  </si>
  <si>
    <t>Approach Summary Report, Loc. 2031: NB 9th St &amp; Howard St. ...………...........................................................................................................................................................</t>
  </si>
  <si>
    <t>Approach Summary Report, Loc. 2051:  NB 6th St. &amp; Bryant St................................................................................................................................................................</t>
  </si>
  <si>
    <t>Approach Summary Report, Loc. 2052:  SB 6th St. &amp; Bryant St. ...............................................................................................................................................................</t>
  </si>
  <si>
    <t>Approach Summary Report, Loc. 2053:  EB Bryant St. &amp; 6th St.  ...............................................................................................................................................................</t>
  </si>
  <si>
    <t>Approach Summary Report, Loc. 2062: SB 1st St. &amp; Folsom St................................................................................................................................................................</t>
  </si>
  <si>
    <t>Approach Summary Report, Loc. 2071: NB 3rd St &amp; Harrison St................................................................................................................................................................</t>
  </si>
  <si>
    <t>Approach Summary Report, Loc. 2074: WB Harrison St. &amp; 3rd St...............................................................................................................................................................</t>
  </si>
  <si>
    <t>Approach Summary Report, Loc. 2081 NB South Van Ness Ave &amp; 14th St................................................................................................................................................................</t>
  </si>
  <si>
    <t>Approach Summary Report, Loc. 2083: EB 14th St &amp; South Van Ness Ave...............................................................................................................................................................</t>
  </si>
  <si>
    <t>Approach Summary Report, Loc. 2091: NB Franklin St &amp; Geary St...............................................................................................................................................................</t>
  </si>
  <si>
    <t>Approach Summary Report, Loc. 2094: WB Geary St &amp; Franklin St................................................................................................................................................................</t>
  </si>
  <si>
    <t>Approach Summary Report, Loc. 2104: WB Pine St &amp; Polk St ...............................................................................................................................................................</t>
  </si>
  <si>
    <t>Approach Summary Report, Loc. 2111: NB Mission St &amp; 15th St................................................................................................................................................................</t>
  </si>
  <si>
    <t>Approach Summary Report, Loc. 2112: SB Mission St. &amp; Hayes St. .....…………….....…….................................................................................................................................................</t>
  </si>
  <si>
    <t>Approach Summary Report, Loc. 2122: SB Polk St. &amp; Hayes St................................................................................................................................................................</t>
  </si>
  <si>
    <t>Approach Summary Report, Loc. 2124: WB Hayes St. &amp; Polk St. ...............................................................................................................................................................</t>
  </si>
  <si>
    <t>Approach Summary Report, Loc. 2131: NB 5th St. &amp; Mission St...............................................................................................................................................................</t>
  </si>
  <si>
    <t>Approach Summary Report, Loc. 2132: SB 5th St. &amp; Mission St. .....…………….....…….................................................................................................................................................</t>
  </si>
  <si>
    <t>Approach Summary Report, Loc. 2134: WB 5th St. &amp; Mission St................................................................................................................................................................</t>
  </si>
  <si>
    <t>Approach Summary Report, Loc. 2142: SB 8th St &amp; Harrison St...............................................................................................................................................................</t>
  </si>
  <si>
    <t>Approach Summary Report, Loc. 2144: WB Harrison St. &amp; 8th St……...............................................................................................................................................................</t>
  </si>
  <si>
    <t>Approach Summary Report, Loc. 2152: SB 5th St. &amp; Harrison St...………...........................................................................................................................................................</t>
  </si>
  <si>
    <t>Approach Summary Report, Loc. 2154: WB Harrison St. &amp; 8th St................................................................................................................................................................</t>
  </si>
  <si>
    <t>Approach Summary Report, Loc. 2161: NB Van Ness St &amp; Bush St.................................................................................................................................................................</t>
  </si>
  <si>
    <t>Approach Summary Report, Loc. 2184: WB Howard St &amp; 4th St................................................................................................................................................................</t>
  </si>
  <si>
    <t>Approach Summary Report, Loc. 2211: NB Park Presidio Ave. (Rt.1) &amp; Fulton St. ...............................................................................................................................................................</t>
  </si>
  <si>
    <t>Approach Summary Report, Loc. 2212: SB Park Presidio Ave. (Rt.1) &amp; Fulton St...............................................................................................................................................................</t>
  </si>
  <si>
    <t>Approach Summary Report, Loc. 2221: NB Park Presidio Ave. (Rt. 1) &amp; Geary Blvd.................................................................................................................................................................</t>
  </si>
  <si>
    <t>Approach Summary Report, Loc. 2222: SB Park Presidio Ave. (Rt. 1) &amp; Geary Blvd..............................................................................................................................................................</t>
  </si>
  <si>
    <t>Approach Summary Report, Loc. 2233: EB Geary Blvd. &amp; Park Presidio Ave. (Rt. 1)................................................................................................................................................................</t>
  </si>
  <si>
    <t>Approach Summary Report, Loc. 2234: WB Geary Blvd. &amp; Park Presidio Ave (Rt. 1)...............................................................................................................................................................</t>
  </si>
  <si>
    <t>Approach Summary Report, Loc. 2241:NB Park Presidio Ave. (Rt. 1) &amp; Lake St...............................................................................................................................................................</t>
  </si>
  <si>
    <t>Approach Summary Report, Loc. 2242: SB Park Presidio Ave (Rt. 1) &amp; Lake St. ...............................................................................................................................................................</t>
  </si>
  <si>
    <t>Approach Summary Report, Loc. 2253: EB Marina Blvd. &amp; Lyon St................................................................................................................................................................</t>
  </si>
  <si>
    <t>Approach Summary Report, Loc. 2263: EB Richardson Ave. (Rt. 101) &amp; Francsico St................................................................................................................................................................</t>
  </si>
  <si>
    <t>Approach Summary Report, Loc. 2264: WB Richardson Ave. (Rt. 101) &amp; Francsico St. .....…………….....…….................................................................................................................................................</t>
  </si>
  <si>
    <t>Approach Summary Report, Loc. 3001: NB Octavia St &amp; Oak St................................................................................................................................................................</t>
  </si>
  <si>
    <t>Approach Summary Report, Loc. 3003: EB Oak St. &amp; Octavia St................................................................................................................................................................</t>
  </si>
  <si>
    <t>Approach Summary Report, Loc. 3011: NB Larkin St. &amp; Ellis St. ..............................................................................................................................................................</t>
  </si>
  <si>
    <t>Approach Summary Report, Loc. 3034 WB Howard St. &amp; 9th St......…………….....…….................................................................................................................................................</t>
  </si>
  <si>
    <t xml:space="preserve">                                                                                        City of San Francisco</t>
  </si>
  <si>
    <t xml:space="preserve">                                                                                        Photo Enforcement Services</t>
  </si>
  <si>
    <t xml:space="preserve">        Loc 2052:  SB 6th St. @ Bryant St.</t>
  </si>
  <si>
    <t xml:space="preserve">      City of San Francisco</t>
  </si>
  <si>
    <t xml:space="preserve">        Loc 2051:  NB 6th St. @ Bryant St.</t>
  </si>
  <si>
    <t xml:space="preserve">      Loc 2004: WB Howard St. @ 5th St.</t>
  </si>
  <si>
    <t xml:space="preserve">    City of San Francisco</t>
  </si>
  <si>
    <t xml:space="preserve">     City of San Francisco</t>
  </si>
  <si>
    <t xml:space="preserve">      Loc 2021:  NB 7th St. @ Mission St.</t>
  </si>
  <si>
    <t xml:space="preserve">     Loc 2024:  WB Mission St. @ 7th St.</t>
  </si>
  <si>
    <t xml:space="preserve">     Loc 2031:  NB 9th St. @ Howard St.</t>
  </si>
  <si>
    <t xml:space="preserve">        Loc 2053:  EB Bryant St. @ 6th St.</t>
  </si>
  <si>
    <t xml:space="preserve">         Loc 2091:  NB Franklin St. @ Geary Blvd.</t>
  </si>
  <si>
    <t xml:space="preserve">           Loc 2264:  WB Richardson Ave. @ Francisco St.</t>
  </si>
  <si>
    <t xml:space="preserve">        City of San Francisco</t>
  </si>
  <si>
    <t>Program Summary - Violations..................................................................................................................................................................................................….............................................</t>
  </si>
  <si>
    <t>Approach Summary Report, All Locations..........................................................................................................................................</t>
  </si>
  <si>
    <t>Program Summary - Citations…………………………………………………………………………………………………….</t>
  </si>
  <si>
    <t>January 2012</t>
  </si>
  <si>
    <t>Approach Summary Report, Loc. 3044 WB Fell St.&amp; Masonic Ave.......…………….....…….................................................................................................................................................</t>
  </si>
  <si>
    <t>Fell @ Masonic</t>
  </si>
  <si>
    <t>Loc 3044:  WB Fell St. @ Masonic Ave.</t>
  </si>
  <si>
    <t>Framing of Car:  Uncontrollable</t>
  </si>
  <si>
    <t>2013 Citations</t>
  </si>
  <si>
    <t>2013 Violations</t>
  </si>
  <si>
    <t>Status Description</t>
  </si>
  <si>
    <t>ZA0329676</t>
  </si>
  <si>
    <t>False</t>
  </si>
  <si>
    <t>Issued</t>
  </si>
  <si>
    <t>ZA0328065</t>
  </si>
  <si>
    <t>C</t>
  </si>
  <si>
    <t>ZA0328066</t>
  </si>
  <si>
    <t>ZA0328098</t>
  </si>
  <si>
    <t>ZA0328100</t>
  </si>
  <si>
    <t>ZA0328101</t>
  </si>
  <si>
    <t>ZA0328107</t>
  </si>
  <si>
    <t>ZA0328111</t>
  </si>
  <si>
    <t>ZA0328115</t>
  </si>
  <si>
    <t>ZA0328116</t>
  </si>
  <si>
    <t>ZA0328120</t>
  </si>
  <si>
    <t>ZA0328128</t>
  </si>
  <si>
    <t>ZA0328137</t>
  </si>
  <si>
    <t>ZA0328148</t>
  </si>
  <si>
    <t>ZA0328150</t>
  </si>
  <si>
    <t>ZA0328160</t>
  </si>
  <si>
    <t>ZA0328168</t>
  </si>
  <si>
    <t>ZA0328170</t>
  </si>
  <si>
    <t>ZA0328174</t>
  </si>
  <si>
    <t>ZA0328175</t>
  </si>
  <si>
    <t>ZA0328177</t>
  </si>
  <si>
    <t>ZA0328243</t>
  </si>
  <si>
    <t>ZA0328247</t>
  </si>
  <si>
    <t>ZA0328250</t>
  </si>
  <si>
    <t>ZA0328256</t>
  </si>
  <si>
    <t>ZA0328257</t>
  </si>
  <si>
    <t>ZA0328258</t>
  </si>
  <si>
    <t>ZA0328267</t>
  </si>
  <si>
    <t>ZA0328268</t>
  </si>
  <si>
    <t>ZA0328278</t>
  </si>
  <si>
    <t>ZA0328285</t>
  </si>
  <si>
    <t>ZA0328287</t>
  </si>
  <si>
    <t>ZA0328302</t>
  </si>
  <si>
    <t>ZA0328304</t>
  </si>
  <si>
    <t>ZA0328305</t>
  </si>
  <si>
    <t>ZA0328309</t>
  </si>
  <si>
    <t>ZA0328314</t>
  </si>
  <si>
    <t>ZA0328318</t>
  </si>
  <si>
    <t>ZA0328324</t>
  </si>
  <si>
    <t>ZA0328340</t>
  </si>
  <si>
    <t>ZA0328349</t>
  </si>
  <si>
    <t>ZA0328362</t>
  </si>
  <si>
    <t>ZA0328368</t>
  </si>
  <si>
    <t>ZA0328370</t>
  </si>
  <si>
    <t>ZA0328382</t>
  </si>
  <si>
    <t>ZA0328390</t>
  </si>
  <si>
    <t>ZA0328399</t>
  </si>
  <si>
    <t>ZA0328403</t>
  </si>
  <si>
    <t>ZA0328406</t>
  </si>
  <si>
    <t>ZA0328420</t>
  </si>
  <si>
    <t>ZA0328445</t>
  </si>
  <si>
    <t>ZA0328526</t>
  </si>
  <si>
    <t>ZA0328541</t>
  </si>
  <si>
    <t>ZA0328556</t>
  </si>
  <si>
    <t>ZA0328565</t>
  </si>
  <si>
    <t>ZA0328567</t>
  </si>
  <si>
    <t>ZA0328570</t>
  </si>
  <si>
    <t>ZA0328571</t>
  </si>
  <si>
    <t>ZA0328579</t>
  </si>
  <si>
    <t>ZA0328598</t>
  </si>
  <si>
    <t>ZA0328613</t>
  </si>
  <si>
    <t>ZA0328618</t>
  </si>
  <si>
    <t>ZA0328632</t>
  </si>
  <si>
    <t>ZA0328650</t>
  </si>
  <si>
    <t>ZA0328706</t>
  </si>
  <si>
    <t>ZA0328717</t>
  </si>
  <si>
    <t>ZA0328719</t>
  </si>
  <si>
    <t>ZA0328720</t>
  </si>
  <si>
    <t>ZA0328744</t>
  </si>
  <si>
    <t>ZA0328746</t>
  </si>
  <si>
    <t>ZA0328747</t>
  </si>
  <si>
    <t>ZA0328756</t>
  </si>
  <si>
    <t>ZA0328765</t>
  </si>
  <si>
    <t>ZA0328777</t>
  </si>
  <si>
    <t>ZA0328782</t>
  </si>
  <si>
    <t>ZA0328790</t>
  </si>
  <si>
    <t>ZA0328800</t>
  </si>
  <si>
    <t>ZA0328819</t>
  </si>
  <si>
    <t>ZA0328825</t>
  </si>
  <si>
    <t>ZA0328849</t>
  </si>
  <si>
    <t>ZA0328861</t>
  </si>
  <si>
    <t>ZA0328865</t>
  </si>
  <si>
    <t>ZA0328869</t>
  </si>
  <si>
    <t>ZA0328930</t>
  </si>
  <si>
    <t>ZA0328934</t>
  </si>
  <si>
    <t>ZA0328977</t>
  </si>
  <si>
    <t>ZA0328981</t>
  </si>
  <si>
    <t>ZA0329001</t>
  </si>
  <si>
    <t>ZA0329027</t>
  </si>
  <si>
    <t>ZA0329042</t>
  </si>
  <si>
    <t>ZA0329087</t>
  </si>
  <si>
    <t>ZA0329096</t>
  </si>
  <si>
    <t>ZA0329100</t>
  </si>
  <si>
    <t>ZA0329152</t>
  </si>
  <si>
    <t>ZA0329162</t>
  </si>
  <si>
    <t>ZA0329168</t>
  </si>
  <si>
    <t>ZA0329191</t>
  </si>
  <si>
    <t>ZA0329193</t>
  </si>
  <si>
    <t>ZA0329202</t>
  </si>
  <si>
    <t>ZA0329206</t>
  </si>
  <si>
    <t>ZA0329208</t>
  </si>
  <si>
    <t>ZA0329216</t>
  </si>
  <si>
    <t>ZA0329231</t>
  </si>
  <si>
    <t>ZA0329253</t>
  </si>
  <si>
    <t>ZA0329257</t>
  </si>
  <si>
    <t>ZA0329298</t>
  </si>
  <si>
    <t>ZA0329304</t>
  </si>
  <si>
    <t>ZA0329311</t>
  </si>
  <si>
    <t>ZA0329328</t>
  </si>
  <si>
    <t>ZA0329339</t>
  </si>
  <si>
    <t>ZA0329349</t>
  </si>
  <si>
    <t>ZA0329352</t>
  </si>
  <si>
    <t>ZA0329353</t>
  </si>
  <si>
    <t>ZA0329357</t>
  </si>
  <si>
    <t>ZA0329358</t>
  </si>
  <si>
    <t>ZA0329378</t>
  </si>
  <si>
    <t>ZA0329393</t>
  </si>
  <si>
    <t>ZA0329470</t>
  </si>
  <si>
    <t>ZA0329480</t>
  </si>
  <si>
    <t>ZA0329488</t>
  </si>
  <si>
    <t>ZA0329505</t>
  </si>
  <si>
    <t>ZA0329506</t>
  </si>
  <si>
    <t>ZA0329518</t>
  </si>
  <si>
    <t>ZA0329522</t>
  </si>
  <si>
    <t>ZA0329537</t>
  </si>
  <si>
    <t>ZA0329547</t>
  </si>
  <si>
    <t>ZA0329563</t>
  </si>
  <si>
    <t>ZA0329568</t>
  </si>
  <si>
    <t>ZA0329571</t>
  </si>
  <si>
    <t>ZA0329575</t>
  </si>
  <si>
    <t>ZA0329606</t>
  </si>
  <si>
    <t>ZA0329625</t>
  </si>
  <si>
    <t>ZA0329630</t>
  </si>
  <si>
    <t>ZA0329631</t>
  </si>
  <si>
    <t>ZA0329636</t>
  </si>
  <si>
    <t>ZA0329655</t>
  </si>
  <si>
    <t>ZA0329669</t>
  </si>
  <si>
    <t>ZA0329674</t>
  </si>
  <si>
    <t>ZA0329679</t>
  </si>
  <si>
    <t>ZA0329704</t>
  </si>
  <si>
    <t>ZA0329706</t>
  </si>
  <si>
    <t>ZA0329707</t>
  </si>
  <si>
    <t>ZA0329709</t>
  </si>
  <si>
    <t>ZA0329711</t>
  </si>
  <si>
    <t>ZA0329716</t>
  </si>
  <si>
    <t>ZA0329749</t>
  </si>
  <si>
    <t>ZA0329762</t>
  </si>
  <si>
    <t>ZA0329763</t>
  </si>
  <si>
    <t>ZA0329765</t>
  </si>
  <si>
    <t>ZA0329778</t>
  </si>
  <si>
    <t>ZA0329787</t>
  </si>
  <si>
    <t>ZA0329792</t>
  </si>
  <si>
    <t>ZA0329802</t>
  </si>
  <si>
    <t>ZA0329804</t>
  </si>
  <si>
    <t>ZA0329812</t>
  </si>
  <si>
    <t>ZA0329813</t>
  </si>
  <si>
    <t>ZA0329816</t>
  </si>
  <si>
    <t>ZA0329820</t>
  </si>
  <si>
    <t>ZA0329824</t>
  </si>
  <si>
    <t>ZA0329827</t>
  </si>
  <si>
    <t>ZA0329830</t>
  </si>
  <si>
    <t>ZA0329831</t>
  </si>
  <si>
    <t>ZA0329842</t>
  </si>
  <si>
    <t>ZA0329844</t>
  </si>
  <si>
    <t>ZA0329850</t>
  </si>
  <si>
    <t>ZA0329853</t>
  </si>
  <si>
    <t>ZA0329855</t>
  </si>
  <si>
    <t>ZA0329864</t>
  </si>
  <si>
    <t>ZA0329871</t>
  </si>
  <si>
    <t>ZA0329914</t>
  </si>
  <si>
    <t>ZA0329925</t>
  </si>
  <si>
    <t>ZA0329929</t>
  </si>
  <si>
    <t>ZA0329930</t>
  </si>
  <si>
    <t>ZA0329941</t>
  </si>
  <si>
    <t>ZA0329944</t>
  </si>
  <si>
    <t>ZA0329739</t>
  </si>
  <si>
    <t>ZA0328405</t>
  </si>
  <si>
    <t>U</t>
  </si>
  <si>
    <t>ZA0328417</t>
  </si>
  <si>
    <t>ZA0329598</t>
  </si>
  <si>
    <t>ZA0329865</t>
  </si>
  <si>
    <t>ZA0328045</t>
  </si>
  <si>
    <t>ZA0328046</t>
  </si>
  <si>
    <t>ZA0328124</t>
  </si>
  <si>
    <t>ZA0328136</t>
  </si>
  <si>
    <t>ZA0328147</t>
  </si>
  <si>
    <t>ZA0328149</t>
  </si>
  <si>
    <t>ZA0328199</t>
  </si>
  <si>
    <t>ZA0328214</t>
  </si>
  <si>
    <t>ZA0328217</t>
  </si>
  <si>
    <t>ZA0328244</t>
  </si>
  <si>
    <t>ZA0328276</t>
  </si>
  <si>
    <t>ZA0328294</t>
  </si>
  <si>
    <t>ZA0328296</t>
  </si>
  <si>
    <t>ZA0328474</t>
  </si>
  <si>
    <t>ZA0328487</t>
  </si>
  <si>
    <t>ZA0328491</t>
  </si>
  <si>
    <t>ZA0328494</t>
  </si>
  <si>
    <t>ZA0328500</t>
  </si>
  <si>
    <t>ZA0328501</t>
  </si>
  <si>
    <t>ZA0328504</t>
  </si>
  <si>
    <t>ZA0328586</t>
  </si>
  <si>
    <t>ZA0328590</t>
  </si>
  <si>
    <t>ZA0328629</t>
  </si>
  <si>
    <t>ZA0328669</t>
  </si>
  <si>
    <t>ZA0328684</t>
  </si>
  <si>
    <t>ZA0328697</t>
  </si>
  <si>
    <t>ZA0328701</t>
  </si>
  <si>
    <t>ZA0328703</t>
  </si>
  <si>
    <t>ZA0328880</t>
  </si>
  <si>
    <t>ZA0328956</t>
  </si>
  <si>
    <t>ZA0328971</t>
  </si>
  <si>
    <t>ZA0328988</t>
  </si>
  <si>
    <t>ZA0329008</t>
  </si>
  <si>
    <t>ZA0329060</t>
  </si>
  <si>
    <t>ZA0329068</t>
  </si>
  <si>
    <t>ZA0329069</t>
  </si>
  <si>
    <t>ZA0329092</t>
  </si>
  <si>
    <t>ZA0329126</t>
  </si>
  <si>
    <t>ZA0329127</t>
  </si>
  <si>
    <t>ZA0329131</t>
  </si>
  <si>
    <t>ZA0329196</t>
  </si>
  <si>
    <t>ZA0329198</t>
  </si>
  <si>
    <t>ZA0329385</t>
  </si>
  <si>
    <t>ZA0329387</t>
  </si>
  <si>
    <t>ZA0329403</t>
  </si>
  <si>
    <t>ZA0329408</t>
  </si>
  <si>
    <t>ZA0329419</t>
  </si>
  <si>
    <t>ZA0329439</t>
  </si>
  <si>
    <t>ZA0329440</t>
  </si>
  <si>
    <t>ZA0329483</t>
  </si>
  <si>
    <t>ZA0329494</t>
  </si>
  <si>
    <t>ZA0329495</t>
  </si>
  <si>
    <t>ZA0329561</t>
  </si>
  <si>
    <t>ZA0329569</t>
  </si>
  <si>
    <t>ZA0329681</t>
  </si>
  <si>
    <t>ZA0329825</t>
  </si>
  <si>
    <t>ZA0329847</t>
  </si>
  <si>
    <t>ZA0329875</t>
  </si>
  <si>
    <t>ZA0329909</t>
  </si>
  <si>
    <t>ZA0329910</t>
  </si>
  <si>
    <t>ZA0329916</t>
  </si>
  <si>
    <t>ZA0329963</t>
  </si>
  <si>
    <t>ZA0329965</t>
  </si>
  <si>
    <t>ZA0328039</t>
  </si>
  <si>
    <t>First Mail Pending/Issued</t>
  </si>
  <si>
    <t>True</t>
  </si>
  <si>
    <t>ZA0328041</t>
  </si>
  <si>
    <t>ZA0328042</t>
  </si>
  <si>
    <t>ZA0328044</t>
  </si>
  <si>
    <t>ZA0328048</t>
  </si>
  <si>
    <t>ZA0328049</t>
  </si>
  <si>
    <t>ZA0328050</t>
  </si>
  <si>
    <t>ZA0328059</t>
  </si>
  <si>
    <t>ZA0328061</t>
  </si>
  <si>
    <t>ZA0328062</t>
  </si>
  <si>
    <t>ZA0328063</t>
  </si>
  <si>
    <t>ZA0328067</t>
  </si>
  <si>
    <t>ZA0328068</t>
  </si>
  <si>
    <t>ZA0328069</t>
  </si>
  <si>
    <t>ZA0328070</t>
  </si>
  <si>
    <t>ZA0328071</t>
  </si>
  <si>
    <t>ZA0328076</t>
  </si>
  <si>
    <t>ZA0328077</t>
  </si>
  <si>
    <t>ZA0328081</t>
  </si>
  <si>
    <t>ZA0328083</t>
  </si>
  <si>
    <t>ZA0328086</t>
  </si>
  <si>
    <t>ZA0328095</t>
  </si>
  <si>
    <t>ZA0328102</t>
  </si>
  <si>
    <t>ZA0328103</t>
  </si>
  <si>
    <t>ZA0328105</t>
  </si>
  <si>
    <t>ZA0328106</t>
  </si>
  <si>
    <t>ZA0328108</t>
  </si>
  <si>
    <t>ZA0328109</t>
  </si>
  <si>
    <t>ZA0328110</t>
  </si>
  <si>
    <t>ZA0328112</t>
  </si>
  <si>
    <t>ZA0328114</t>
  </si>
  <si>
    <t>ZA0328117</t>
  </si>
  <si>
    <t>ZA0328118</t>
  </si>
  <si>
    <t>ZA0328119</t>
  </si>
  <si>
    <t>ZA0328123</t>
  </si>
  <si>
    <t>ZA0328131</t>
  </si>
  <si>
    <t>ZA0328132</t>
  </si>
  <si>
    <t>ZA0328133</t>
  </si>
  <si>
    <t>ZA0328134</t>
  </si>
  <si>
    <t>ZA0328139</t>
  </si>
  <si>
    <t>ZA0328140</t>
  </si>
  <si>
    <t>ZA0328141</t>
  </si>
  <si>
    <t>ZA0328146</t>
  </si>
  <si>
    <t>ZA0328151</t>
  </si>
  <si>
    <t>ZA0328152</t>
  </si>
  <si>
    <t>ZA0328155</t>
  </si>
  <si>
    <t>ZA0328156</t>
  </si>
  <si>
    <t>ZA0328157</t>
  </si>
  <si>
    <t>ZA0328159</t>
  </si>
  <si>
    <t>ZA0328163</t>
  </si>
  <si>
    <t>ZA0328164</t>
  </si>
  <si>
    <t>ZA0328166</t>
  </si>
  <si>
    <t>ZA0328169</t>
  </si>
  <si>
    <t>ZA0328171</t>
  </si>
  <si>
    <t>ZA0328172</t>
  </si>
  <si>
    <t>ZA0328176</t>
  </si>
  <si>
    <t>ZA0328178</t>
  </si>
  <si>
    <t>ZA0328179</t>
  </si>
  <si>
    <t>ZA0328180</t>
  </si>
  <si>
    <t>ZA0328181</t>
  </si>
  <si>
    <t>ZA0328182</t>
  </si>
  <si>
    <t>ZA0328183</t>
  </si>
  <si>
    <t>ZA0328187</t>
  </si>
  <si>
    <t>ZA0328191</t>
  </si>
  <si>
    <t>ZA0328192</t>
  </si>
  <si>
    <t>ZA0328193</t>
  </si>
  <si>
    <t>ZA0328195</t>
  </si>
  <si>
    <t>ZA0328196</t>
  </si>
  <si>
    <t>ZA0328197</t>
  </si>
  <si>
    <t>ZA0328198</t>
  </si>
  <si>
    <t>ZA0328200</t>
  </si>
  <si>
    <t>ZA0328201</t>
  </si>
  <si>
    <t>ZA0328203</t>
  </si>
  <si>
    <t>ZA0328204</t>
  </si>
  <si>
    <t>ZA0328206</t>
  </si>
  <si>
    <t>ZA0328207</t>
  </si>
  <si>
    <t>ZA0328208</t>
  </si>
  <si>
    <t>ZA0328209</t>
  </si>
  <si>
    <t>ZA0328210</t>
  </si>
  <si>
    <t>ZA0328211</t>
  </si>
  <si>
    <t>ZA0328213</t>
  </si>
  <si>
    <t>ZA0328216</t>
  </si>
  <si>
    <t>ZA0328237</t>
  </si>
  <si>
    <t>ZA0328238</t>
  </si>
  <si>
    <t>ZA0328242</t>
  </si>
  <si>
    <t>ZA0328245</t>
  </si>
  <si>
    <t>ZA0328246</t>
  </si>
  <si>
    <t>ZA0328249</t>
  </si>
  <si>
    <t>ZA0328251</t>
  </si>
  <si>
    <t>ZA0328252</t>
  </si>
  <si>
    <t>ZA0328254</t>
  </si>
  <si>
    <t>ZA0328259</t>
  </si>
  <si>
    <t>ZA0328263</t>
  </si>
  <si>
    <t>ZA0328264</t>
  </si>
  <si>
    <t>ZA0328269</t>
  </si>
  <si>
    <t>ZA0328270</t>
  </si>
  <si>
    <t>ZA0328272</t>
  </si>
  <si>
    <t>ZA0328273</t>
  </si>
  <si>
    <t>ZA0328274</t>
  </si>
  <si>
    <t>ZA0328275</t>
  </si>
  <si>
    <t>ZA0328279</t>
  </si>
  <si>
    <t>ZA0328280</t>
  </si>
  <si>
    <t>ZA0328284</t>
  </si>
  <si>
    <t>ZA0328286</t>
  </si>
  <si>
    <t>ZA0328288</t>
  </si>
  <si>
    <t>ZA0328289</t>
  </si>
  <si>
    <t>ZA0328290</t>
  </si>
  <si>
    <t>ZA0328295</t>
  </si>
  <si>
    <t>ZA0328298</t>
  </si>
  <si>
    <t>ZA0328299</t>
  </si>
  <si>
    <t>ZA0328303</t>
  </si>
  <si>
    <t>ZA0328306</t>
  </si>
  <si>
    <t>ZA0328307</t>
  </si>
  <si>
    <t>ZA0328310</t>
  </si>
  <si>
    <t>ZA0328311</t>
  </si>
  <si>
    <t>ZA0328312</t>
  </si>
  <si>
    <t>ZA0328313</t>
  </si>
  <si>
    <t>ZA0328315</t>
  </si>
  <si>
    <t>ZA0328316</t>
  </si>
  <si>
    <t>ZA0328317</t>
  </si>
  <si>
    <t>ZA0328319</t>
  </si>
  <si>
    <t>ZA0328322</t>
  </si>
  <si>
    <t>ZA0328325</t>
  </si>
  <si>
    <t>ZA0328326</t>
  </si>
  <si>
    <t>ZA0328327</t>
  </si>
  <si>
    <t>ZA0328329</t>
  </si>
  <si>
    <t>ZA0328334</t>
  </si>
  <si>
    <t>ZA0328337</t>
  </si>
  <si>
    <t>ZA0328338</t>
  </si>
  <si>
    <t>ZA0328339</t>
  </si>
  <si>
    <t>ZA0328346</t>
  </si>
  <si>
    <t>ZA0328347</t>
  </si>
  <si>
    <t>ZA0328350</t>
  </si>
  <si>
    <t>ZA0328351</t>
  </si>
  <si>
    <t>ZA0328352</t>
  </si>
  <si>
    <t>ZA0328353</t>
  </si>
  <si>
    <t>ZA0328354</t>
  </si>
  <si>
    <t>ZA0328356</t>
  </si>
  <si>
    <t>ZA0328357</t>
  </si>
  <si>
    <t>ZA0328361</t>
  </si>
  <si>
    <t>ZA0328364</t>
  </si>
  <si>
    <t>ZA0328371</t>
  </si>
  <si>
    <t>ZA0328372</t>
  </si>
  <si>
    <t>ZA0328373</t>
  </si>
  <si>
    <t>ZA0328374</t>
  </si>
  <si>
    <t>ZA0328375</t>
  </si>
  <si>
    <t>ZA0328376</t>
  </si>
  <si>
    <t>ZA0328377</t>
  </si>
  <si>
    <t>ZA0328378</t>
  </si>
  <si>
    <t>ZA0328379</t>
  </si>
  <si>
    <t>ZA0328383</t>
  </si>
  <si>
    <t>ZA0328384</t>
  </si>
  <si>
    <t>ZA0328386</t>
  </si>
  <si>
    <t>ZA0328388</t>
  </si>
  <si>
    <t>ZA0328389</t>
  </si>
  <si>
    <t>ZA0328391</t>
  </si>
  <si>
    <t>ZA0328394</t>
  </si>
  <si>
    <t>ZA0328395</t>
  </si>
  <si>
    <t>ZA0328397</t>
  </si>
  <si>
    <t>ZA0328398</t>
  </si>
  <si>
    <t>ZA0328401</t>
  </si>
  <si>
    <t>ZA0328404</t>
  </si>
  <si>
    <t>ZA0328407</t>
  </si>
  <si>
    <t>ZA0328408</t>
  </si>
  <si>
    <t>ZA0328409</t>
  </si>
  <si>
    <t>ZA0328410</t>
  </si>
  <si>
    <t>ZA0328411</t>
  </si>
  <si>
    <t>ZA0328412</t>
  </si>
  <si>
    <t>ZA0328414</t>
  </si>
  <si>
    <t>ZA0328416</t>
  </si>
  <si>
    <t>ZA0328419</t>
  </si>
  <si>
    <t>ZA0328421</t>
  </si>
  <si>
    <t>ZA0328423</t>
  </si>
  <si>
    <t>ZA0328424</t>
  </si>
  <si>
    <t>ZA0328425</t>
  </si>
  <si>
    <t>ZA0328426</t>
  </si>
  <si>
    <t>ZA0328427</t>
  </si>
  <si>
    <t>ZA0328429</t>
  </si>
  <si>
    <t>ZA0328432</t>
  </si>
  <si>
    <t>ZA0328433</t>
  </si>
  <si>
    <t>ZA0328438</t>
  </si>
  <si>
    <t>ZA0328440</t>
  </si>
  <si>
    <t>ZA0328441</t>
  </si>
  <si>
    <t>ZA0328443</t>
  </si>
  <si>
    <t>ZA0328444</t>
  </si>
  <si>
    <t>ZA0328446</t>
  </si>
  <si>
    <t>ZA0328447</t>
  </si>
  <si>
    <t>ZA0328448</t>
  </si>
  <si>
    <t>ZA0328449</t>
  </si>
  <si>
    <t>ZA0328450</t>
  </si>
  <si>
    <t>ZA0328451</t>
  </si>
  <si>
    <t>ZA0328452</t>
  </si>
  <si>
    <t>ZA0328454</t>
  </si>
  <si>
    <t>ZA0328455</t>
  </si>
  <si>
    <t>ZA0328458</t>
  </si>
  <si>
    <t>ZA0328459</t>
  </si>
  <si>
    <t>ZA0328460</t>
  </si>
  <si>
    <t>ZA0328461</t>
  </si>
  <si>
    <t>ZA0328462</t>
  </si>
  <si>
    <t>ZA0328463</t>
  </si>
  <si>
    <t>ZA0328464</t>
  </si>
  <si>
    <t>ZA0328465</t>
  </si>
  <si>
    <t>ZA0328466</t>
  </si>
  <si>
    <t>ZA0328467</t>
  </si>
  <si>
    <t>ZA0328468</t>
  </si>
  <si>
    <t>ZA0328469</t>
  </si>
  <si>
    <t>ZA0328470</t>
  </si>
  <si>
    <t>ZA0328472</t>
  </si>
  <si>
    <t>ZA0328473</t>
  </si>
  <si>
    <t>ZA0328475</t>
  </si>
  <si>
    <t>ZA0328476</t>
  </si>
  <si>
    <t>ZA0328477</t>
  </si>
  <si>
    <t>ZA0328478</t>
  </si>
  <si>
    <t>ZA0328479</t>
  </si>
  <si>
    <t>ZA0328483</t>
  </si>
  <si>
    <t>ZA0328484</t>
  </si>
  <si>
    <t>ZA0328486</t>
  </si>
  <si>
    <t>ZA0328488</t>
  </si>
  <si>
    <t>ZA0328489</t>
  </si>
  <si>
    <t>ZA0328492</t>
  </si>
  <si>
    <t>ZA0328493</t>
  </si>
  <si>
    <t>ZA0328497</t>
  </si>
  <si>
    <t>ZA0328499</t>
  </si>
  <si>
    <t>ZA0328503</t>
  </si>
  <si>
    <t>ZA0328505</t>
  </si>
  <si>
    <t>ZA0328515</t>
  </si>
  <si>
    <t>ZA0328516</t>
  </si>
  <si>
    <t>ZA0328518</t>
  </si>
  <si>
    <t>ZA0328519</t>
  </si>
  <si>
    <t>ZA0328520</t>
  </si>
  <si>
    <t>ZA0328522</t>
  </si>
  <si>
    <t>ZA0328524</t>
  </si>
  <si>
    <t>ZA0328525</t>
  </si>
  <si>
    <t>ZA0328529</t>
  </si>
  <si>
    <t>ZA0328530</t>
  </si>
  <si>
    <t>ZA0328532</t>
  </si>
  <si>
    <t>ZA0328535</t>
  </si>
  <si>
    <t>ZA0328536</t>
  </si>
  <si>
    <t>ZA0328537</t>
  </si>
  <si>
    <t>ZA0328538</t>
  </si>
  <si>
    <t>ZA0328539</t>
  </si>
  <si>
    <t>ZA0328540</t>
  </si>
  <si>
    <t>ZA0328542</t>
  </si>
  <si>
    <t>ZA0328543</t>
  </si>
  <si>
    <t>ZA0328544</t>
  </si>
  <si>
    <t>ZA0328545</t>
  </si>
  <si>
    <t>ZA0328547</t>
  </si>
  <si>
    <t>ZA0328548</t>
  </si>
  <si>
    <t>ZA0328549</t>
  </si>
  <si>
    <t>ZA0328551</t>
  </si>
  <si>
    <t>ZA0328552</t>
  </si>
  <si>
    <t>ZA0328553</t>
  </si>
  <si>
    <t>ZA0328554</t>
  </si>
  <si>
    <t>ZA0328555</t>
  </si>
  <si>
    <t>ZA0328557</t>
  </si>
  <si>
    <t>ZA0328560</t>
  </si>
  <si>
    <t>ZA0328561</t>
  </si>
  <si>
    <t>ZA0328563</t>
  </si>
  <si>
    <t>ZA0328564</t>
  </si>
  <si>
    <t>ZA0328568</t>
  </si>
  <si>
    <t>ZA0328572</t>
  </si>
  <si>
    <t>ZA0328574</t>
  </si>
  <si>
    <t>ZA0328575</t>
  </si>
  <si>
    <t>ZA0328577</t>
  </si>
  <si>
    <t>ZA0328578</t>
  </si>
  <si>
    <t>ZA0328580</t>
  </si>
  <si>
    <t>ZA0328581</t>
  </si>
  <si>
    <t>ZA0328582</t>
  </si>
  <si>
    <t>ZA0328583</t>
  </si>
  <si>
    <t>ZA0328584</t>
  </si>
  <si>
    <t>ZA0328587</t>
  </si>
  <si>
    <t>ZA0328588</t>
  </si>
  <si>
    <t>ZA0328591</t>
  </si>
  <si>
    <t>ZA0328593</t>
  </si>
  <si>
    <t>ZA0328597</t>
  </si>
  <si>
    <t>ZA0328599</t>
  </si>
  <si>
    <t>ZA0328601</t>
  </si>
  <si>
    <t>ZA0328602</t>
  </si>
  <si>
    <t>ZA0328604</t>
  </si>
  <si>
    <t>ZA0328607</t>
  </si>
  <si>
    <t>ZA0328608</t>
  </si>
  <si>
    <t>ZA0328609</t>
  </si>
  <si>
    <t>ZA0328610</t>
  </si>
  <si>
    <t>ZA0328611</t>
  </si>
  <si>
    <t>ZA0328614</t>
  </si>
  <si>
    <t>ZA0328616</t>
  </si>
  <si>
    <t>ZA0328617</t>
  </si>
  <si>
    <t>ZA0328620</t>
  </si>
  <si>
    <t>ZA0328621</t>
  </si>
  <si>
    <t>ZA0328622</t>
  </si>
  <si>
    <t>ZA0328623</t>
  </si>
  <si>
    <t>ZA0328624</t>
  </si>
  <si>
    <t>ZA0328625</t>
  </si>
  <si>
    <t>ZA0328626</t>
  </si>
  <si>
    <t>ZA0328627</t>
  </si>
  <si>
    <t>ZA0328628</t>
  </si>
  <si>
    <t>ZA0328631</t>
  </si>
  <si>
    <t>ZA0328633</t>
  </si>
  <si>
    <t>ZA0328635</t>
  </si>
  <si>
    <t>ZA0328636</t>
  </si>
  <si>
    <t>ZA0328637</t>
  </si>
  <si>
    <t>ZA0328638</t>
  </si>
  <si>
    <t>ZA0328639</t>
  </si>
  <si>
    <t>ZA0328640</t>
  </si>
  <si>
    <t>ZA0328641</t>
  </si>
  <si>
    <t>ZA0328642</t>
  </si>
  <si>
    <t>ZA0328643</t>
  </si>
  <si>
    <t>ZA0328644</t>
  </si>
  <si>
    <t>ZA0328646</t>
  </si>
  <si>
    <t>ZA0328647</t>
  </si>
  <si>
    <t>ZA0328648</t>
  </si>
  <si>
    <t>ZA0328649</t>
  </si>
  <si>
    <t>ZA0328651</t>
  </si>
  <si>
    <t>ZA0328652</t>
  </si>
  <si>
    <t>ZA0328653</t>
  </si>
  <si>
    <t>ZA0328655</t>
  </si>
  <si>
    <t>ZA0328656</t>
  </si>
  <si>
    <t>ZA0328658</t>
  </si>
  <si>
    <t>ZA0328659</t>
  </si>
  <si>
    <t>ZA0328660</t>
  </si>
  <si>
    <t>ZA0328661</t>
  </si>
  <si>
    <t>ZA0328665</t>
  </si>
  <si>
    <t>ZA0328666</t>
  </si>
  <si>
    <t>ZA0328670</t>
  </si>
  <si>
    <t>ZA0328672</t>
  </si>
  <si>
    <t>ZA0328673</t>
  </si>
  <si>
    <t>ZA0328674</t>
  </si>
  <si>
    <t>ZA0328675</t>
  </si>
  <si>
    <t>ZA0328676</t>
  </si>
  <si>
    <t>ZA0328677</t>
  </si>
  <si>
    <t>ZA0328678</t>
  </si>
  <si>
    <t>ZA0328680</t>
  </si>
  <si>
    <t>ZA0328681</t>
  </si>
  <si>
    <t>ZA0328682</t>
  </si>
  <si>
    <t>ZA0328686</t>
  </si>
  <si>
    <t>ZA0328687</t>
  </si>
  <si>
    <t>ZA0328688</t>
  </si>
  <si>
    <t>ZA0328690</t>
  </si>
  <si>
    <t>ZA0328692</t>
  </si>
  <si>
    <t>ZA0328693</t>
  </si>
  <si>
    <t>ZA0328694</t>
  </si>
  <si>
    <t>ZA0328695</t>
  </si>
  <si>
    <t>ZA0328696</t>
  </si>
  <si>
    <t>ZA0328699</t>
  </si>
  <si>
    <t>ZA0328700</t>
  </si>
  <si>
    <t>ZA0328702</t>
  </si>
  <si>
    <t>ZA0328705</t>
  </si>
  <si>
    <t>ZA0328707</t>
  </si>
  <si>
    <t>ZA0328709</t>
  </si>
  <si>
    <t>ZA0328711</t>
  </si>
  <si>
    <t>ZA0328714</t>
  </si>
  <si>
    <t>ZA0328715</t>
  </si>
  <si>
    <t>ZA0328716</t>
  </si>
  <si>
    <t>ZA0328721</t>
  </si>
  <si>
    <t>ZA0328723</t>
  </si>
  <si>
    <t>ZA0328724</t>
  </si>
  <si>
    <t>ZA0328725</t>
  </si>
  <si>
    <t>ZA0328726</t>
  </si>
  <si>
    <t>ZA0328729</t>
  </si>
  <si>
    <t>ZA0328730</t>
  </si>
  <si>
    <t>ZA0328731</t>
  </si>
  <si>
    <t>ZA0328732</t>
  </si>
  <si>
    <t>ZA0328735</t>
  </si>
  <si>
    <t>ZA0328736</t>
  </si>
  <si>
    <t>ZA0328737</t>
  </si>
  <si>
    <t>ZA0328738</t>
  </si>
  <si>
    <t>ZA0328740</t>
  </si>
  <si>
    <t>ZA0328745</t>
  </si>
  <si>
    <t>ZA0328751</t>
  </si>
  <si>
    <t>ZA0328752</t>
  </si>
  <si>
    <t>ZA0328753</t>
  </si>
  <si>
    <t>ZA0328757</t>
  </si>
  <si>
    <t>ZA0328761</t>
  </si>
  <si>
    <t>ZA0328762</t>
  </si>
  <si>
    <t>ZA0328763</t>
  </si>
  <si>
    <t>ZA0328766</t>
  </si>
  <si>
    <t>ZA0328767</t>
  </si>
  <si>
    <t>ZA0328768</t>
  </si>
  <si>
    <t>ZA0328769</t>
  </si>
  <si>
    <t>ZA0328770</t>
  </si>
  <si>
    <t>ZA0328771</t>
  </si>
  <si>
    <t>ZA0328772</t>
  </si>
  <si>
    <t>ZA0328776</t>
  </si>
  <si>
    <t>ZA0328778</t>
  </si>
  <si>
    <t>ZA0328779</t>
  </si>
  <si>
    <t>ZA0328780</t>
  </si>
  <si>
    <t>ZA0328781</t>
  </si>
  <si>
    <t>ZA0328783</t>
  </si>
  <si>
    <t>ZA0328784</t>
  </si>
  <si>
    <t>ZA0328785</t>
  </si>
  <si>
    <t>ZA0328786</t>
  </si>
  <si>
    <t>ZA0328787</t>
  </si>
  <si>
    <t>ZA0328788</t>
  </si>
  <si>
    <t>ZA0328789</t>
  </si>
  <si>
    <t>ZA0328792</t>
  </si>
  <si>
    <t>ZA0328793</t>
  </si>
  <si>
    <t>ZA0328794</t>
  </si>
  <si>
    <t>ZA0328795</t>
  </si>
  <si>
    <t>ZA0328796</t>
  </si>
  <si>
    <t>ZA0328798</t>
  </si>
  <si>
    <t>ZA0328799</t>
  </si>
  <si>
    <t>ZA0328801</t>
  </si>
  <si>
    <t>ZA0328804</t>
  </si>
  <si>
    <t>ZA0328805</t>
  </si>
  <si>
    <t>ZA0328806</t>
  </si>
  <si>
    <t>ZA0328807</t>
  </si>
  <si>
    <t>ZA0328808</t>
  </si>
  <si>
    <t>ZA0328809</t>
  </si>
  <si>
    <t>ZA0328813</t>
  </si>
  <si>
    <t>ZA0328815</t>
  </si>
  <si>
    <t>ZA0328816</t>
  </si>
  <si>
    <t>ZA0328817</t>
  </si>
  <si>
    <t>ZA0328818</t>
  </si>
  <si>
    <t>ZA0328822</t>
  </si>
  <si>
    <t>ZA0328824</t>
  </si>
  <si>
    <t>ZA0328826</t>
  </si>
  <si>
    <t>ZA0328829</t>
  </si>
  <si>
    <t>ZA0328831</t>
  </si>
  <si>
    <t>ZA0328833</t>
  </si>
  <si>
    <t>ZA0328834</t>
  </si>
  <si>
    <t>ZA0328835</t>
  </si>
  <si>
    <t>ZA0328837</t>
  </si>
  <si>
    <t>ZA0328838</t>
  </si>
  <si>
    <t>ZA0328840</t>
  </si>
  <si>
    <t>ZA0328841</t>
  </si>
  <si>
    <t>ZA0328844</t>
  </si>
  <si>
    <t>ZA0328845</t>
  </si>
  <si>
    <t>ZA0328850</t>
  </si>
  <si>
    <t>ZA0328851</t>
  </si>
  <si>
    <t>ZA0328852</t>
  </si>
  <si>
    <t>ZA0328853</t>
  </si>
  <si>
    <t>ZA0328854</t>
  </si>
  <si>
    <t>ZA0328855</t>
  </si>
  <si>
    <t>ZA0328857</t>
  </si>
  <si>
    <t>ZA0328859</t>
  </si>
  <si>
    <t>ZA0328860</t>
  </si>
  <si>
    <t>ZA0328862</t>
  </si>
  <si>
    <t>ZA0328868</t>
  </si>
  <si>
    <t>ZA0328873</t>
  </si>
  <si>
    <t>ZA0328875</t>
  </si>
  <si>
    <t>ZA0328877</t>
  </si>
  <si>
    <t>ZA0328878</t>
  </si>
  <si>
    <t>ZA0328879</t>
  </si>
  <si>
    <t>ZA0328881</t>
  </si>
  <si>
    <t>ZA0328882</t>
  </si>
  <si>
    <t>ZA0328883</t>
  </si>
  <si>
    <t>ZA0328884</t>
  </si>
  <si>
    <t>ZA0328887</t>
  </si>
  <si>
    <t>ZA0328889</t>
  </si>
  <si>
    <t>ZA0328891</t>
  </si>
  <si>
    <t>ZA0328893</t>
  </si>
  <si>
    <t>ZA0328894</t>
  </si>
  <si>
    <t>ZA0328896</t>
  </si>
  <si>
    <t>ZA0328897</t>
  </si>
  <si>
    <t>ZA0328899</t>
  </si>
  <si>
    <t>ZA0328900</t>
  </si>
  <si>
    <t>ZA0328901</t>
  </si>
  <si>
    <t>ZA0328902</t>
  </si>
  <si>
    <t>ZA0328904</t>
  </si>
  <si>
    <t>ZA0328905</t>
  </si>
  <si>
    <t>ZA0328907</t>
  </si>
  <si>
    <t>ZA0328908</t>
  </si>
  <si>
    <t>ZA0328909</t>
  </si>
  <si>
    <t>ZA0328914</t>
  </si>
  <si>
    <t>ZA0328915</t>
  </si>
  <si>
    <t>ZA0328916</t>
  </si>
  <si>
    <t>ZA0328918</t>
  </si>
  <si>
    <t>ZA0328919</t>
  </si>
  <si>
    <t>ZA0328920</t>
  </si>
  <si>
    <t>ZA0328922</t>
  </si>
  <si>
    <t>ZA0328923</t>
  </si>
  <si>
    <t>ZA0328925</t>
  </si>
  <si>
    <t>ZA0328926</t>
  </si>
  <si>
    <t>ZA0328928</t>
  </si>
  <si>
    <t>ZA0328931</t>
  </si>
  <si>
    <t>ZA0328932</t>
  </si>
  <si>
    <t>ZA0328935</t>
  </si>
  <si>
    <t>ZA0328936</t>
  </si>
  <si>
    <t>ZA0328937</t>
  </si>
  <si>
    <t>ZA0328938</t>
  </si>
  <si>
    <t>ZA0328939</t>
  </si>
  <si>
    <t>ZA0328940</t>
  </si>
  <si>
    <t>ZA0328941</t>
  </si>
  <si>
    <t>ZA0328942</t>
  </si>
  <si>
    <t>ZA0328943</t>
  </si>
  <si>
    <t>ZA0328944</t>
  </si>
  <si>
    <t>ZA0328946</t>
  </si>
  <si>
    <t>ZA0328947</t>
  </si>
  <si>
    <t>ZA0328949</t>
  </si>
  <si>
    <t>ZA0328950</t>
  </si>
  <si>
    <t>ZA0328951</t>
  </si>
  <si>
    <t>ZA0328953</t>
  </si>
  <si>
    <t>ZA0328954</t>
  </si>
  <si>
    <t>ZA0328955</t>
  </si>
  <si>
    <t>ZA0328957</t>
  </si>
  <si>
    <t>ZA0328958</t>
  </si>
  <si>
    <t>ZA0328959</t>
  </si>
  <si>
    <t>ZA0328960</t>
  </si>
  <si>
    <t>ZA0328962</t>
  </si>
  <si>
    <t>ZA0328963</t>
  </si>
  <si>
    <t>ZA0328966</t>
  </si>
  <si>
    <t>ZA0328967</t>
  </si>
  <si>
    <t>ZA0328968</t>
  </si>
  <si>
    <t>ZA0328969</t>
  </si>
  <si>
    <t>ZA0328970</t>
  </si>
  <si>
    <t>ZA0328973</t>
  </si>
  <si>
    <t>ZA0328974</t>
  </si>
  <si>
    <t>ZA0328975</t>
  </si>
  <si>
    <t>ZA0328976</t>
  </si>
  <si>
    <t>ZA0328978</t>
  </si>
  <si>
    <t>ZA0328979</t>
  </si>
  <si>
    <t>ZA0328982</t>
  </si>
  <si>
    <t>ZA0328983</t>
  </si>
  <si>
    <t>ZA0328985</t>
  </si>
  <si>
    <t>ZA0328989</t>
  </si>
  <si>
    <t>ZA0328990</t>
  </si>
  <si>
    <t>ZA0328991</t>
  </si>
  <si>
    <t>ZA0328993</t>
  </si>
  <si>
    <t>ZA0328995</t>
  </si>
  <si>
    <t>ZA0328996</t>
  </si>
  <si>
    <t>ZA0328997</t>
  </si>
  <si>
    <t>ZA0328998</t>
  </si>
  <si>
    <t>ZA0328999</t>
  </si>
  <si>
    <t>ZA0329000</t>
  </si>
  <si>
    <t>ZA0329003</t>
  </si>
  <si>
    <t>ZA0329004</t>
  </si>
  <si>
    <t>ZA0329005</t>
  </si>
  <si>
    <t>ZA0329006</t>
  </si>
  <si>
    <t>ZA0329007</t>
  </si>
  <si>
    <t>ZA0329009</t>
  </si>
  <si>
    <t>ZA0329010</t>
  </si>
  <si>
    <t>ZA0329011</t>
  </si>
  <si>
    <t>ZA0329012</t>
  </si>
  <si>
    <t>ZA0329013</t>
  </si>
  <si>
    <t>ZA0329014</t>
  </si>
  <si>
    <t>ZA0329015</t>
  </si>
  <si>
    <t>ZA0329017</t>
  </si>
  <si>
    <t>ZA0329018</t>
  </si>
  <si>
    <t>ZA0329019</t>
  </si>
  <si>
    <t>ZA0329020</t>
  </si>
  <si>
    <t>ZA0329022</t>
  </si>
  <si>
    <t>ZA0329024</t>
  </si>
  <si>
    <t>ZA0329025</t>
  </si>
  <si>
    <t>ZA0329026</t>
  </si>
  <si>
    <t>ZA0329031</t>
  </si>
  <si>
    <t>ZA0329032</t>
  </si>
  <si>
    <t>ZA0329033</t>
  </si>
  <si>
    <t>ZA0329037</t>
  </si>
  <si>
    <t>ZA0329038</t>
  </si>
  <si>
    <t>ZA0329040</t>
  </si>
  <si>
    <t>ZA0329041</t>
  </si>
  <si>
    <t>ZA0329043</t>
  </si>
  <si>
    <t>ZA0329044</t>
  </si>
  <si>
    <t>ZA0329048</t>
  </si>
  <si>
    <t>ZA0329049</t>
  </si>
  <si>
    <t>ZA0329052</t>
  </si>
  <si>
    <t>ZA0329056</t>
  </si>
  <si>
    <t>ZA0329057</t>
  </si>
  <si>
    <t>ZA0329059</t>
  </si>
  <si>
    <t>ZA0329061</t>
  </si>
  <si>
    <t>ZA0329062</t>
  </si>
  <si>
    <t>ZA0329064</t>
  </si>
  <si>
    <t>ZA0329065</t>
  </si>
  <si>
    <t>ZA0329067</t>
  </si>
  <si>
    <t>ZA0329070</t>
  </si>
  <si>
    <t>ZA0329074</t>
  </si>
  <si>
    <t>ZA0329075</t>
  </si>
  <si>
    <t>ZA0329076</t>
  </si>
  <si>
    <t>ZA0329077</t>
  </si>
  <si>
    <t>ZA0329078</t>
  </si>
  <si>
    <t>ZA0329079</t>
  </si>
  <si>
    <t>ZA0329080</t>
  </si>
  <si>
    <t>ZA0329081</t>
  </si>
  <si>
    <t>ZA0329082</t>
  </si>
  <si>
    <t>ZA0329083</t>
  </si>
  <si>
    <t>ZA0329085</t>
  </si>
  <si>
    <t>ZA0329086</t>
  </si>
  <si>
    <t>ZA0329088</t>
  </si>
  <si>
    <t>ZA0329089</t>
  </si>
  <si>
    <t>ZA0329091</t>
  </si>
  <si>
    <t>ZA0329093</t>
  </si>
  <si>
    <t>ZA0329094</t>
  </si>
  <si>
    <t>ZA0329095</t>
  </si>
  <si>
    <t>ZA0329097</t>
  </si>
  <si>
    <t>ZA0329098</t>
  </si>
  <si>
    <t>ZA0329101</t>
  </si>
  <si>
    <t>ZA0329102</t>
  </si>
  <si>
    <t>ZA0329104</t>
  </si>
  <si>
    <t>ZA0329105</t>
  </si>
  <si>
    <t>ZA0329109</t>
  </si>
  <si>
    <t>ZA0329110</t>
  </si>
  <si>
    <t>ZA0329111</t>
  </si>
  <si>
    <t>ZA0329113</t>
  </si>
  <si>
    <t>ZA0329114</t>
  </si>
  <si>
    <t>ZA0329115</t>
  </si>
  <si>
    <t>ZA0329116</t>
  </si>
  <si>
    <t>ZA0329117</t>
  </si>
  <si>
    <t>ZA0329118</t>
  </si>
  <si>
    <t>ZA0329119</t>
  </si>
  <si>
    <t>ZA0329120</t>
  </si>
  <si>
    <t>ZA0329121</t>
  </si>
  <si>
    <t>ZA0329122</t>
  </si>
  <si>
    <t>ZA0329123</t>
  </si>
  <si>
    <t>ZA0329124</t>
  </si>
  <si>
    <t>ZA0329125</t>
  </si>
  <si>
    <t>ZA0329128</t>
  </si>
  <si>
    <t>ZA0329129</t>
  </si>
  <si>
    <t>ZA0329132</t>
  </si>
  <si>
    <t>ZA0329133</t>
  </si>
  <si>
    <t>ZA0329134</t>
  </si>
  <si>
    <t>ZA0329137</t>
  </si>
  <si>
    <t>ZA0329138</t>
  </si>
  <si>
    <t>ZA0329140</t>
  </si>
  <si>
    <t>ZA0329143</t>
  </si>
  <si>
    <t>ZA0329145</t>
  </si>
  <si>
    <t>ZA0329146</t>
  </si>
  <si>
    <t>ZA0329149</t>
  </si>
  <si>
    <t>ZA0329151</t>
  </si>
  <si>
    <t>ZA0329156</t>
  </si>
  <si>
    <t>ZA0329157</t>
  </si>
  <si>
    <t>ZA0329161</t>
  </si>
  <si>
    <t>ZA0329163</t>
  </si>
  <si>
    <t>ZA0329165</t>
  </si>
  <si>
    <t>ZA0329166</t>
  </si>
  <si>
    <t>ZA0329167</t>
  </si>
  <si>
    <t>ZA0329169</t>
  </si>
  <si>
    <t>ZA0329170</t>
  </si>
  <si>
    <t>ZA0329171</t>
  </si>
  <si>
    <t>ZA0329172</t>
  </si>
  <si>
    <t>ZA0329173</t>
  </si>
  <si>
    <t>ZA0329174</t>
  </si>
  <si>
    <t>ZA0329176</t>
  </si>
  <si>
    <t>ZA0329179</t>
  </si>
  <si>
    <t>ZA0329181</t>
  </si>
  <si>
    <t>ZA0329182</t>
  </si>
  <si>
    <t>ZA0329184</t>
  </si>
  <si>
    <t>ZA0329189</t>
  </si>
  <si>
    <t>ZA0329192</t>
  </si>
  <si>
    <t>ZA0329195</t>
  </si>
  <si>
    <t>ZA0329197</t>
  </si>
  <si>
    <t>ZA0329199</t>
  </si>
  <si>
    <t>ZA0329200</t>
  </si>
  <si>
    <t>ZA0329205</t>
  </si>
  <si>
    <t>ZA0329211</t>
  </si>
  <si>
    <t>ZA0329213</t>
  </si>
  <si>
    <t>ZA0329214</t>
  </si>
  <si>
    <t>ZA0329217</t>
  </si>
  <si>
    <t>ZA0329219</t>
  </si>
  <si>
    <t>ZA0329220</t>
  </si>
  <si>
    <t>ZA0329222</t>
  </si>
  <si>
    <t>ZA0329223</t>
  </si>
  <si>
    <t>ZA0329224</t>
  </si>
  <si>
    <t>ZA0329225</t>
  </si>
  <si>
    <t>ZA0329226</t>
  </si>
  <si>
    <t>ZA0329227</t>
  </si>
  <si>
    <t>ZA0329228</t>
  </si>
  <si>
    <t>ZA0329232</t>
  </si>
  <si>
    <t>ZA0329233</t>
  </si>
  <si>
    <t>ZA0329235</t>
  </si>
  <si>
    <t>ZA0329237</t>
  </si>
  <si>
    <t>ZA0329238</t>
  </si>
  <si>
    <t>ZA0329239</t>
  </si>
  <si>
    <t>ZA0329241</t>
  </si>
  <si>
    <t>ZA0329243</t>
  </si>
  <si>
    <t>ZA0329244</t>
  </si>
  <si>
    <t>ZA0329245</t>
  </si>
  <si>
    <t>ZA0329246</t>
  </si>
  <si>
    <t>ZA0329247</t>
  </si>
  <si>
    <t>ZA0329248</t>
  </si>
  <si>
    <t>ZA0329249</t>
  </si>
  <si>
    <t>ZA0329251</t>
  </si>
  <si>
    <t>ZA0329254</t>
  </si>
  <si>
    <t>ZA0329255</t>
  </si>
  <si>
    <t>ZA0329256</t>
  </si>
  <si>
    <t>ZA0329258</t>
  </si>
  <si>
    <t>ZA0329259</t>
  </si>
  <si>
    <t>ZA0329260</t>
  </si>
  <si>
    <t>ZA0329262</t>
  </si>
  <si>
    <t>ZA0329264</t>
  </si>
  <si>
    <t>ZA0329265</t>
  </si>
  <si>
    <t>ZA0329266</t>
  </si>
  <si>
    <t>ZA0329269</t>
  </si>
  <si>
    <t>ZA0329273</t>
  </si>
  <si>
    <t>ZA0329274</t>
  </si>
  <si>
    <t>ZA0329276</t>
  </si>
  <si>
    <t>ZA0329277</t>
  </si>
  <si>
    <t>ZA0329278</t>
  </si>
  <si>
    <t>ZA0329279</t>
  </si>
  <si>
    <t>ZA0329280</t>
  </si>
  <si>
    <t>ZA0329282</t>
  </si>
  <si>
    <t>ZA0329284</t>
  </si>
  <si>
    <t>ZA0329286</t>
  </si>
  <si>
    <t>ZA0329288</t>
  </si>
  <si>
    <t>ZA0329291</t>
  </si>
  <si>
    <t>ZA0329293</t>
  </si>
  <si>
    <t>ZA0329294</t>
  </si>
  <si>
    <t>ZA0329295</t>
  </si>
  <si>
    <t>ZA0329296</t>
  </si>
  <si>
    <t>ZA0329300</t>
  </si>
  <si>
    <t>ZA0329301</t>
  </si>
  <si>
    <t>ZA0329302</t>
  </si>
  <si>
    <t>ZA0329303</t>
  </si>
  <si>
    <t>ZA0329305</t>
  </si>
  <si>
    <t>ZA0329306</t>
  </si>
  <si>
    <t>ZA0329308</t>
  </si>
  <si>
    <t>ZA0329309</t>
  </si>
  <si>
    <t>ZA0329313</t>
  </si>
  <si>
    <t>ZA0329315</t>
  </si>
  <si>
    <t>ZA0329316</t>
  </si>
  <si>
    <t>ZA0329318</t>
  </si>
  <si>
    <t>ZA0329319</t>
  </si>
  <si>
    <t>ZA0329320</t>
  </si>
  <si>
    <t>ZA0329321</t>
  </si>
  <si>
    <t>ZA0329323</t>
  </si>
  <si>
    <t>ZA0329325</t>
  </si>
  <si>
    <t>ZA0329329</t>
  </si>
  <si>
    <t>ZA0329330</t>
  </si>
  <si>
    <t>ZA0329331</t>
  </si>
  <si>
    <t>ZA0329332</t>
  </si>
  <si>
    <t>ZA0329335</t>
  </si>
  <si>
    <t>ZA0329336</t>
  </si>
  <si>
    <t>ZA0329337</t>
  </si>
  <si>
    <t>ZA0329338</t>
  </si>
  <si>
    <t>ZA0329342</t>
  </si>
  <si>
    <t>ZA0329344</t>
  </si>
  <si>
    <t>ZA0329345</t>
  </si>
  <si>
    <t>ZA0329348</t>
  </si>
  <si>
    <t>ZA0329350</t>
  </si>
  <si>
    <t>ZA0329351</t>
  </si>
  <si>
    <t>ZA0329355</t>
  </si>
  <si>
    <t>ZA0329356</t>
  </si>
  <si>
    <t>ZA0329359</t>
  </si>
  <si>
    <t>ZA0329360</t>
  </si>
  <si>
    <t>ZA0329363</t>
  </si>
  <si>
    <t>ZA0329364</t>
  </si>
  <si>
    <t>ZA0329367</t>
  </si>
  <si>
    <t>ZA0329368</t>
  </si>
  <si>
    <t>ZA0329370</t>
  </si>
  <si>
    <t>ZA0329372</t>
  </si>
  <si>
    <t>ZA0329373</t>
  </si>
  <si>
    <t>ZA0329375</t>
  </si>
  <si>
    <t>ZA0329376</t>
  </si>
  <si>
    <t>ZA0329377</t>
  </si>
  <si>
    <t>ZA0329379</t>
  </si>
  <si>
    <t>ZA0329382</t>
  </si>
  <si>
    <t>ZA0329383</t>
  </si>
  <si>
    <t>ZA0329386</t>
  </si>
  <si>
    <t>ZA0329388</t>
  </si>
  <si>
    <t>ZA0329390</t>
  </si>
  <si>
    <t>ZA0329392</t>
  </si>
  <si>
    <t>ZA0329394</t>
  </si>
  <si>
    <t>ZA0329395</t>
  </si>
  <si>
    <t>ZA0329397</t>
  </si>
  <si>
    <t>ZA0329398</t>
  </si>
  <si>
    <t>ZA0329399</t>
  </si>
  <si>
    <t>ZA0329400</t>
  </si>
  <si>
    <t>ZA0329402</t>
  </si>
  <si>
    <t>ZA0329404</t>
  </si>
  <si>
    <t>ZA0329405</t>
  </si>
  <si>
    <t>ZA0329406</t>
  </si>
  <si>
    <t>ZA0329410</t>
  </si>
  <si>
    <t>ZA0329412</t>
  </si>
  <si>
    <t>ZA0329413</t>
  </si>
  <si>
    <t>ZA0329414</t>
  </si>
  <si>
    <t>ZA0329415</t>
  </si>
  <si>
    <t>ZA0329416</t>
  </si>
  <si>
    <t>ZA0329417</t>
  </si>
  <si>
    <t>ZA0329420</t>
  </si>
  <si>
    <t>ZA0329421</t>
  </si>
  <si>
    <t>ZA0329423</t>
  </si>
  <si>
    <t>ZA0329424</t>
  </si>
  <si>
    <t>ZA0329426</t>
  </si>
  <si>
    <t>ZA0329428</t>
  </si>
  <si>
    <t>ZA0329429</t>
  </si>
  <si>
    <t>ZA0329430</t>
  </si>
  <si>
    <t>ZA0329431</t>
  </si>
  <si>
    <t>ZA0329432</t>
  </si>
  <si>
    <t>ZA0329434</t>
  </si>
  <si>
    <t>ZA0329436</t>
  </si>
  <si>
    <t>ZA0329438</t>
  </si>
  <si>
    <t>ZA0329443</t>
  </si>
  <si>
    <t>ZA0329444</t>
  </si>
  <si>
    <t>ZA0329445</t>
  </si>
  <si>
    <t>ZA0329448</t>
  </si>
  <si>
    <t>ZA0329449</t>
  </si>
  <si>
    <t>ZA0329450</t>
  </si>
  <si>
    <t>ZA0329451</t>
  </si>
  <si>
    <t>ZA0329453</t>
  </si>
  <si>
    <t>ZA0329454</t>
  </si>
  <si>
    <t>ZA0329456</t>
  </si>
  <si>
    <t>ZA0329458</t>
  </si>
  <si>
    <t>ZA0329459</t>
  </si>
  <si>
    <t>ZA0329460</t>
  </si>
  <si>
    <t>ZA0329461</t>
  </si>
  <si>
    <t>ZA0329463</t>
  </si>
  <si>
    <t>ZA0329464</t>
  </si>
  <si>
    <t>ZA0329465</t>
  </si>
  <si>
    <t>ZA0329467</t>
  </si>
  <si>
    <t>ZA0329468</t>
  </si>
  <si>
    <t>ZA0329471</t>
  </si>
  <si>
    <t>ZA0329472</t>
  </si>
  <si>
    <t>ZA0329474</t>
  </si>
  <si>
    <t>ZA0329476</t>
  </si>
  <si>
    <t>ZA0329477</t>
  </si>
  <si>
    <t>ZA0329478</t>
  </si>
  <si>
    <t>ZA0329481</t>
  </si>
  <si>
    <t>ZA0329482</t>
  </si>
  <si>
    <t>ZA0329486</t>
  </si>
  <si>
    <t>ZA0329487</t>
  </si>
  <si>
    <t>ZA0329489</t>
  </si>
  <si>
    <t>ZA0329491</t>
  </si>
  <si>
    <t>ZA0329496</t>
  </si>
  <si>
    <t>ZA0329497</t>
  </si>
  <si>
    <t>ZA0329499</t>
  </si>
  <si>
    <t>ZA0329500</t>
  </si>
  <si>
    <t>ZA0329501</t>
  </si>
  <si>
    <t>ZA0329504</t>
  </si>
  <si>
    <t>ZA0329507</t>
  </si>
  <si>
    <t>ZA0329508</t>
  </si>
  <si>
    <t>ZA0329509</t>
  </si>
  <si>
    <t>ZA0329510</t>
  </si>
  <si>
    <t>ZA0329512</t>
  </si>
  <si>
    <t>ZA0329513</t>
  </si>
  <si>
    <t>ZA0329516</t>
  </si>
  <si>
    <t>ZA0329517</t>
  </si>
  <si>
    <t>ZA0329519</t>
  </si>
  <si>
    <t>ZA0329523</t>
  </si>
  <si>
    <t>ZA0329524</t>
  </si>
  <si>
    <t>ZA0329525</t>
  </si>
  <si>
    <t>ZA0329526</t>
  </si>
  <si>
    <t>ZA0329528</t>
  </si>
  <si>
    <t>ZA0329529</t>
  </si>
  <si>
    <t>ZA0329532</t>
  </si>
  <si>
    <t>ZA0329533</t>
  </si>
  <si>
    <t>ZA0329534</t>
  </si>
  <si>
    <t>ZA0329535</t>
  </si>
  <si>
    <t>ZA0329536</t>
  </si>
  <si>
    <t>ZA0329538</t>
  </si>
  <si>
    <t>ZA0329539</t>
  </si>
  <si>
    <t>ZA0329540</t>
  </si>
  <si>
    <t>ZA0329541</t>
  </si>
  <si>
    <t>ZA0329542</t>
  </si>
  <si>
    <t>ZA0329543</t>
  </si>
  <si>
    <t>ZA0329544</t>
  </si>
  <si>
    <t>ZA0329546</t>
  </si>
  <si>
    <t>ZA0329548</t>
  </si>
  <si>
    <t>ZA0329549</t>
  </si>
  <si>
    <t>ZA0329550</t>
  </si>
  <si>
    <t>ZA0329551</t>
  </si>
  <si>
    <t>ZA0329552</t>
  </si>
  <si>
    <t>ZA0329553</t>
  </si>
  <si>
    <t>ZA0329554</t>
  </si>
  <si>
    <t>ZA0329555</t>
  </si>
  <si>
    <t>ZA0329557</t>
  </si>
  <si>
    <t>ZA0329562</t>
  </si>
  <si>
    <t>ZA0329565</t>
  </si>
  <si>
    <t>ZA0329567</t>
  </si>
  <si>
    <t>ZA0329572</t>
  </si>
  <si>
    <t>ZA0329574</t>
  </si>
  <si>
    <t>ZA0329577</t>
  </si>
  <si>
    <t>ZA0329579</t>
  </si>
  <si>
    <t>ZA0329580</t>
  </si>
  <si>
    <t>ZA0329581</t>
  </si>
  <si>
    <t>ZA0329582</t>
  </si>
  <si>
    <t>ZA0329584</t>
  </si>
  <si>
    <t>ZA0329587</t>
  </si>
  <si>
    <t>ZA0329588</t>
  </si>
  <si>
    <t>ZA0329589</t>
  </si>
  <si>
    <t>ZA0329591</t>
  </si>
  <si>
    <t>ZA0329592</t>
  </si>
  <si>
    <t>ZA0329594</t>
  </si>
  <si>
    <t>ZA0329596</t>
  </si>
  <si>
    <t>ZA0329599</t>
  </si>
  <si>
    <t>ZA0329600</t>
  </si>
  <si>
    <t>ZA0329603</t>
  </si>
  <si>
    <t>ZA0329607</t>
  </si>
  <si>
    <t>ZA0329608</t>
  </si>
  <si>
    <t>ZA0329609</t>
  </si>
  <si>
    <t>ZA0329610</t>
  </si>
  <si>
    <t>ZA0329611</t>
  </si>
  <si>
    <t>ZA0329612</t>
  </si>
  <si>
    <t>ZA0329614</t>
  </si>
  <si>
    <t>ZA0329615</t>
  </si>
  <si>
    <t>ZA0329617</t>
  </si>
  <si>
    <t>ZA0329618</t>
  </si>
  <si>
    <t>ZA0329619</t>
  </si>
  <si>
    <t>ZA0329621</t>
  </si>
  <si>
    <t>ZA0329622</t>
  </si>
  <si>
    <t>ZA0329623</t>
  </si>
  <si>
    <t>ZA0329624</t>
  </si>
  <si>
    <t>ZA0329627</t>
  </si>
  <si>
    <t>ZA0329629</t>
  </si>
  <si>
    <t>ZA0329632</t>
  </si>
  <si>
    <t>ZA0329633</t>
  </si>
  <si>
    <t>ZA0329634</t>
  </si>
  <si>
    <t>ZA0329635</t>
  </si>
  <si>
    <t>ZA0329637</t>
  </si>
  <si>
    <t>ZA0329638</t>
  </si>
  <si>
    <t>ZA0329641</t>
  </si>
  <si>
    <t>ZA0329642</t>
  </si>
  <si>
    <t>ZA0329643</t>
  </si>
  <si>
    <t>ZA0329644</t>
  </si>
  <si>
    <t>ZA0329645</t>
  </si>
  <si>
    <t>ZA0329646</t>
  </si>
  <si>
    <t>ZA0329647</t>
  </si>
  <si>
    <t>ZA0329648</t>
  </si>
  <si>
    <t>ZA0329650</t>
  </si>
  <si>
    <t>ZA0329652</t>
  </si>
  <si>
    <t>ZA0329653</t>
  </si>
  <si>
    <t>ZA0329654</t>
  </si>
  <si>
    <t>ZA0329658</t>
  </si>
  <si>
    <t>ZA0329659</t>
  </si>
  <si>
    <t>ZA0329660</t>
  </si>
  <si>
    <t>ZA0329661</t>
  </si>
  <si>
    <t>ZA0329662</t>
  </si>
  <si>
    <t>ZA0329663</t>
  </si>
  <si>
    <t>ZA0329665</t>
  </si>
  <si>
    <t>ZA0329666</t>
  </si>
  <si>
    <t>ZA0329667</t>
  </si>
  <si>
    <t>ZA0329668</t>
  </si>
  <si>
    <t>ZA0329670</t>
  </si>
  <si>
    <t>ZA0329671</t>
  </si>
  <si>
    <t>ZA0329675</t>
  </si>
  <si>
    <t>ZA0329678</t>
  </si>
  <si>
    <t>ZA0329680</t>
  </si>
  <si>
    <t>ZA0329682</t>
  </si>
  <si>
    <t>ZA0329685</t>
  </si>
  <si>
    <t>ZA0329687</t>
  </si>
  <si>
    <t>ZA0329688</t>
  </si>
  <si>
    <t>ZA0329689</t>
  </si>
  <si>
    <t>ZA0329691</t>
  </si>
  <si>
    <t>ZA0329693</t>
  </si>
  <si>
    <t>ZA0329694</t>
  </si>
  <si>
    <t>ZA0329695</t>
  </si>
  <si>
    <t>ZA0329696</t>
  </si>
  <si>
    <t>ZA0329697</t>
  </si>
  <si>
    <t>ZA0329699</t>
  </si>
  <si>
    <t>ZA0329700</t>
  </si>
  <si>
    <t>ZA0329702</t>
  </si>
  <si>
    <t>ZA0329703</t>
  </si>
  <si>
    <t>ZA0329710</t>
  </si>
  <si>
    <t>ZA0329714</t>
  </si>
  <si>
    <t>ZA0329717</t>
  </si>
  <si>
    <t>ZA0329718</t>
  </si>
  <si>
    <t>ZA0329720</t>
  </si>
  <si>
    <t>ZA0329721</t>
  </si>
  <si>
    <t>ZA0329722</t>
  </si>
  <si>
    <t>ZA0329723</t>
  </si>
  <si>
    <t>ZA0329724</t>
  </si>
  <si>
    <t>ZA0329726</t>
  </si>
  <si>
    <t>ZA0329727</t>
  </si>
  <si>
    <t>ZA0329729</t>
  </si>
  <si>
    <t>ZA0329731</t>
  </si>
  <si>
    <t>ZA0329732</t>
  </si>
  <si>
    <t>ZA0329734</t>
  </si>
  <si>
    <t>ZA0329736</t>
  </si>
  <si>
    <t>ZA0329737</t>
  </si>
  <si>
    <t>ZA0329740</t>
  </si>
  <si>
    <t>ZA0329741</t>
  </si>
  <si>
    <t>ZA0329744</t>
  </si>
  <si>
    <t>ZA0329746</t>
  </si>
  <si>
    <t>ZA0329748</t>
  </si>
  <si>
    <t>ZA0329751</t>
  </si>
  <si>
    <t>ZA0329753</t>
  </si>
  <si>
    <t>ZA0329754</t>
  </si>
  <si>
    <t>ZA0329755</t>
  </si>
  <si>
    <t>ZA0329757</t>
  </si>
  <si>
    <t>ZA0329758</t>
  </si>
  <si>
    <t>ZA0329761</t>
  </si>
  <si>
    <t>ZA0329764</t>
  </si>
  <si>
    <t>ZA0329766</t>
  </si>
  <si>
    <t>ZA0329767</t>
  </si>
  <si>
    <t>ZA0329768</t>
  </si>
  <si>
    <t>ZA0329769</t>
  </si>
  <si>
    <t>ZA0329771</t>
  </si>
  <si>
    <t>ZA0329772</t>
  </si>
  <si>
    <t>ZA0329773</t>
  </si>
  <si>
    <t>ZA0329776</t>
  </si>
  <si>
    <t>ZA0329777</t>
  </si>
  <si>
    <t>ZA0329779</t>
  </si>
  <si>
    <t>ZA0329781</t>
  </si>
  <si>
    <t>ZA0329784</t>
  </si>
  <si>
    <t>ZA0329785</t>
  </si>
  <si>
    <t>ZA0329786</t>
  </si>
  <si>
    <t>ZA0329788</t>
  </si>
  <si>
    <t>ZA0329790</t>
  </si>
  <si>
    <t>ZA0329791</t>
  </si>
  <si>
    <t>ZA0329793</t>
  </si>
  <si>
    <t>ZA0329794</t>
  </si>
  <si>
    <t>ZA0329795</t>
  </si>
  <si>
    <t>ZA0329796</t>
  </si>
  <si>
    <t>ZA0329797</t>
  </si>
  <si>
    <t>ZA0329798</t>
  </si>
  <si>
    <t>ZA0329799</t>
  </si>
  <si>
    <t>ZA0329800</t>
  </si>
  <si>
    <t>ZA0329805</t>
  </si>
  <si>
    <t>ZA0329807</t>
  </si>
  <si>
    <t>ZA0329809</t>
  </si>
  <si>
    <t>ZA0329810</t>
  </si>
  <si>
    <t>ZA0329811</t>
  </si>
  <si>
    <t>ZA0329815</t>
  </si>
  <si>
    <t>ZA0329817</t>
  </si>
  <si>
    <t>ZA0329818</t>
  </si>
  <si>
    <t>ZA0329819</t>
  </si>
  <si>
    <t>ZA0329822</t>
  </si>
  <si>
    <t>ZA0329823</t>
  </si>
  <si>
    <t>ZA0329826</t>
  </si>
  <si>
    <t>ZA0329828</t>
  </si>
  <si>
    <t>ZA0329829</t>
  </si>
  <si>
    <t>ZA0329832</t>
  </si>
  <si>
    <t>ZA0329833</t>
  </si>
  <si>
    <t>ZA0329834</t>
  </si>
  <si>
    <t>ZA0329836</t>
  </si>
  <si>
    <t>ZA0329837</t>
  </si>
  <si>
    <t>ZA0329838</t>
  </si>
  <si>
    <t>ZA0329839</t>
  </si>
  <si>
    <t>ZA0329840</t>
  </si>
  <si>
    <t>ZA0329841</t>
  </si>
  <si>
    <t>ZA0329843</t>
  </si>
  <si>
    <t>ZA0329845</t>
  </si>
  <si>
    <t>ZA0329852</t>
  </si>
  <si>
    <t>ZA0329854</t>
  </si>
  <si>
    <t>ZA0329856</t>
  </si>
  <si>
    <t>ZA0329857</t>
  </si>
  <si>
    <t>ZA0329858</t>
  </si>
  <si>
    <t>ZA0329859</t>
  </si>
  <si>
    <t>ZA0329860</t>
  </si>
  <si>
    <t>ZA0329861</t>
  </si>
  <si>
    <t>ZA0329863</t>
  </si>
  <si>
    <t>ZA0329866</t>
  </si>
  <si>
    <t>ZA0329868</t>
  </si>
  <si>
    <t>ZA0329869</t>
  </si>
  <si>
    <t>ZA0329872</t>
  </si>
  <si>
    <t>ZA0329873</t>
  </si>
  <si>
    <t>ZA0329876</t>
  </si>
  <si>
    <t>ZA0329877</t>
  </si>
  <si>
    <t>ZA0329878</t>
  </si>
  <si>
    <t>ZA0329879</t>
  </si>
  <si>
    <t>ZA0329880</t>
  </si>
  <si>
    <t>ZA0329882</t>
  </si>
  <si>
    <t>ZA0329883</t>
  </si>
  <si>
    <t>ZA0329884</t>
  </si>
  <si>
    <t>ZA0329885</t>
  </si>
  <si>
    <t>ZA0329886</t>
  </si>
  <si>
    <t>ZA0329887</t>
  </si>
  <si>
    <t>ZA0329888</t>
  </si>
  <si>
    <t>ZA0329890</t>
  </si>
  <si>
    <t>ZA0329891</t>
  </si>
  <si>
    <t>ZA0329896</t>
  </si>
  <si>
    <t>ZA0329898</t>
  </si>
  <si>
    <t>ZA0329899</t>
  </si>
  <si>
    <t>ZA0329900</t>
  </si>
  <si>
    <t>ZA0329901</t>
  </si>
  <si>
    <t>ZA0329902</t>
  </si>
  <si>
    <t>ZA0329904</t>
  </si>
  <si>
    <t>ZA0329906</t>
  </si>
  <si>
    <t>ZA0329907</t>
  </si>
  <si>
    <t>ZA0329908</t>
  </si>
  <si>
    <t>ZA0329915</t>
  </si>
  <si>
    <t>ZA0329918</t>
  </si>
  <si>
    <t>ZA0329920</t>
  </si>
  <si>
    <t>ZA0329921</t>
  </si>
  <si>
    <t>ZA0329922</t>
  </si>
  <si>
    <t>ZA0329923</t>
  </si>
  <si>
    <t>ZA0329924</t>
  </si>
  <si>
    <t>ZA0329926</t>
  </si>
  <si>
    <t>ZA0329927</t>
  </si>
  <si>
    <t>ZA0329932</t>
  </si>
  <si>
    <t>ZA0329934</t>
  </si>
  <si>
    <t>ZA0329936</t>
  </si>
  <si>
    <t>ZA0329937</t>
  </si>
  <si>
    <t>ZA0329938</t>
  </si>
  <si>
    <t>ZA0329939</t>
  </si>
  <si>
    <t>ZA0329940</t>
  </si>
  <si>
    <t>ZA0329942</t>
  </si>
  <si>
    <t>ZA0329943</t>
  </si>
  <si>
    <t>ZA0329945</t>
  </si>
  <si>
    <t>ZA0329946</t>
  </si>
  <si>
    <t>ZA0329951</t>
  </si>
  <si>
    <t>ZA0329952</t>
  </si>
  <si>
    <t>ZA0329953</t>
  </si>
  <si>
    <t>ZA0329954</t>
  </si>
  <si>
    <t>ZA0329955</t>
  </si>
  <si>
    <t>ZA0329959</t>
  </si>
  <si>
    <t>ZA0329960</t>
  </si>
  <si>
    <t>ZA0329962</t>
  </si>
  <si>
    <t>ZA0329964</t>
  </si>
  <si>
    <t>ZA0329966</t>
  </si>
  <si>
    <t>ZA0329968</t>
  </si>
  <si>
    <t>ZA0329970</t>
  </si>
  <si>
    <t>ZA0329971</t>
  </si>
  <si>
    <t>ZA0329972</t>
  </si>
  <si>
    <t>ZA0329974</t>
  </si>
  <si>
    <t>ZA0329975</t>
  </si>
  <si>
    <t>ZA0329981</t>
  </si>
  <si>
    <t>ZA0329982</t>
  </si>
  <si>
    <t>ZA0329983</t>
  </si>
  <si>
    <t>ZA0329984</t>
  </si>
  <si>
    <t>ZA0329986</t>
  </si>
  <si>
    <t>ZA0329989</t>
  </si>
  <si>
    <t>ZA0329990</t>
  </si>
  <si>
    <t>ZA0329991</t>
  </si>
  <si>
    <t>ZA0330008</t>
  </si>
  <si>
    <t>ZA0330009</t>
  </si>
  <si>
    <t>ZA0330010</t>
  </si>
  <si>
    <t>ZA0330011</t>
  </si>
  <si>
    <t>ZA0330012</t>
  </si>
  <si>
    <t>ZA0330013</t>
  </si>
  <si>
    <t>ZA0330014</t>
  </si>
  <si>
    <t>ZA0330015</t>
  </si>
  <si>
    <t>ZA0330016</t>
  </si>
  <si>
    <t>ZA0330019</t>
  </si>
  <si>
    <t>ZA0330020</t>
  </si>
  <si>
    <t>ZA0330022</t>
  </si>
  <si>
    <t>ZA0330023</t>
  </si>
  <si>
    <t>ZA0330024</t>
  </si>
  <si>
    <t>ZA0330025</t>
  </si>
  <si>
    <t>ZA0330026</t>
  </si>
  <si>
    <t>ZA0330029</t>
  </si>
  <si>
    <t>ZA0330034</t>
  </si>
  <si>
    <t>ZA0330035</t>
  </si>
  <si>
    <t>ZA0330036</t>
  </si>
  <si>
    <t>ZA0330220</t>
  </si>
  <si>
    <t>ZA0330221</t>
  </si>
  <si>
    <t>Out of State</t>
  </si>
  <si>
    <t>Framing of Car-Non-controllable</t>
  </si>
  <si>
    <t>Databox Data Error</t>
  </si>
  <si>
    <t>ZA0329677</t>
  </si>
  <si>
    <t>ZA0329935</t>
  </si>
  <si>
    <t>ZA0328764</t>
  </si>
  <si>
    <t>ZA0329770</t>
  </si>
  <si>
    <t>ZA0328929</t>
  </si>
  <si>
    <t>ZA0329341</t>
  </si>
  <si>
    <t>ZA0329849</t>
  </si>
  <si>
    <t>ZA0328839</t>
  </si>
  <si>
    <t>ZA0329334</t>
  </si>
  <si>
    <t>ZA0330021</t>
  </si>
  <si>
    <t>ZA0328331</t>
  </si>
  <si>
    <t>ZA0328858</t>
  </si>
  <si>
    <t>ZA0328092</t>
  </si>
  <si>
    <t>ZA0329684</t>
  </si>
  <si>
    <t>ZA0329029</t>
  </si>
  <si>
    <t>ZA0329759</t>
  </si>
  <si>
    <t>ZA0328481</t>
  </si>
  <si>
    <t>ZA0328630</t>
  </si>
  <si>
    <t>ZA0328802</t>
  </si>
  <si>
    <t>ZA0328512</t>
  </si>
  <si>
    <t>ZA0328948</t>
  </si>
  <si>
    <t>ZA0329515</t>
  </si>
  <si>
    <t>ZA0329204</t>
  </si>
  <si>
    <t>ZA0329967</t>
  </si>
  <si>
    <t>ZA0329366</t>
  </si>
  <si>
    <t>ZA0328509</t>
  </si>
  <si>
    <t>ZA0328846</t>
  </si>
  <si>
    <t>ZA0328430</t>
  </si>
  <si>
    <t>ZA0329322</t>
  </si>
  <si>
    <t>ZA0329139</t>
  </si>
  <si>
    <t>ZA0329457</t>
  </si>
  <si>
    <t>ZA0329715</t>
  </si>
  <si>
    <t>ZA0329640</t>
  </si>
  <si>
    <t>ZA0329158</t>
  </si>
  <si>
    <t>ZA0329283</t>
  </si>
  <si>
    <t>ZA0328814</t>
  </si>
  <si>
    <t>ZA0329229</t>
  </si>
  <si>
    <t>ZA0329503</t>
  </si>
  <si>
    <t>ZA0328328</t>
  </si>
  <si>
    <t>ZA0328057</t>
  </si>
  <si>
    <t>ZA0329452</t>
  </si>
  <si>
    <t>ZA0328435</t>
  </si>
  <si>
    <t>ZA0328194</t>
  </si>
  <si>
    <t>ZA0328874</t>
  </si>
  <si>
    <t>ZA0328442</t>
  </si>
  <si>
    <t>ZA0329314</t>
  </si>
  <si>
    <t>ZA0328517</t>
  </si>
  <si>
    <t>ZA0328791</t>
  </si>
  <si>
    <t>ZA0328654</t>
  </si>
  <si>
    <t>ZA0328698</t>
  </si>
  <si>
    <t>ZA0328265</t>
  </si>
  <si>
    <t>ZA0328964</t>
  </si>
  <si>
    <t>ZA0329586</t>
  </si>
  <si>
    <t>ZA0328323</t>
  </si>
  <si>
    <t>ZA0329605</t>
  </si>
  <si>
    <t>ZA0328619</t>
  </si>
  <si>
    <t>ZA0328498</t>
  </si>
  <si>
    <t>ZA0328367</t>
  </si>
  <si>
    <t>ZA0329209</t>
  </si>
  <si>
    <t>ZA0329484</t>
  </si>
  <si>
    <t>ZA0329742</t>
  </si>
  <si>
    <t>ZA0329559</t>
  </si>
  <si>
    <t>ZA0329433</t>
  </si>
  <si>
    <t>ZA0329346</t>
  </si>
  <si>
    <t>ZA0329735</t>
  </si>
  <si>
    <t>ZA0328569</t>
  </si>
  <si>
    <t>ZA0328827</t>
  </si>
  <si>
    <t>ZA0328712</t>
  </si>
  <si>
    <t>ZA0328662</t>
  </si>
  <si>
    <t>ZA0328040</t>
  </si>
  <si>
    <t>ZA0328912</t>
  </si>
  <si>
    <t>ZA0329212</t>
  </si>
  <si>
    <t>ZA0329327</t>
  </si>
  <si>
    <t>ZA0329570</t>
  </si>
  <si>
    <t>ZA0328277</t>
  </si>
  <si>
    <t>ZA0328830</t>
  </si>
  <si>
    <t>ZA0329979</t>
  </si>
  <si>
    <t>ZA0329130</t>
  </si>
  <si>
    <t>ZA0328359</t>
  </si>
  <si>
    <t>ZA0329649</t>
  </si>
  <si>
    <t>ZA0328335</t>
  </si>
  <si>
    <t>ZA0328415</t>
  </si>
  <si>
    <t>ZA0329389</t>
  </si>
  <si>
    <t>ZA0329180</t>
  </si>
  <si>
    <t>ZA0329730</t>
  </si>
  <si>
    <t>ZA0328596</t>
  </si>
  <si>
    <t>ZA0328898</t>
  </si>
  <si>
    <t>ZA0329774</t>
  </si>
  <si>
    <t>ZA0328760</t>
  </si>
  <si>
    <t>ZA0328167</t>
  </si>
  <si>
    <t>ZA0328342</t>
  </si>
  <si>
    <t>ZA0329425</t>
  </si>
  <si>
    <t>ZA0329469</t>
  </si>
  <si>
    <t>ZA0329036</t>
  </si>
  <si>
    <t>ZA0329326</t>
  </si>
  <si>
    <t>ZA0329719</t>
  </si>
  <si>
    <t>ZA0328749</t>
  </si>
  <si>
    <t>ZA0328205</t>
  </si>
  <si>
    <t>ZA0328667</t>
  </si>
  <si>
    <t>ZA0329299</t>
  </si>
  <si>
    <t>ZA0328142</t>
  </si>
  <si>
    <t>ZA0328842</t>
  </si>
  <si>
    <t>ZA0328186</t>
  </si>
  <si>
    <t>ZA0328917</t>
  </si>
  <si>
    <t>ZA0329071</t>
  </si>
  <si>
    <t>ZA0328886</t>
  </si>
  <si>
    <t>ZA0328679</t>
  </si>
  <si>
    <t>ZA0329672</t>
  </si>
  <si>
    <t>ZA0328135</t>
  </si>
  <si>
    <t>ZA0328972</t>
  </si>
  <si>
    <t>ZA0329090</t>
  </si>
  <si>
    <t>ZA0329380</t>
  </si>
  <si>
    <t>ZA0328260</t>
  </si>
  <si>
    <t>ZA0329287</t>
  </si>
  <si>
    <t>ZA0329919</t>
  </si>
  <si>
    <t>ZA0328810</t>
  </si>
  <si>
    <t>ZA0330017</t>
  </si>
  <si>
    <t>ZA0329236</t>
  </si>
  <si>
    <t>ZA0328870</t>
  </si>
  <si>
    <t>ZA0329268</t>
  </si>
  <si>
    <t>ZA0328733</t>
  </si>
  <si>
    <t>ZA0329664</t>
  </si>
  <si>
    <t>ZA0329527</t>
  </si>
  <si>
    <t>ZA0328154</t>
  </si>
  <si>
    <t>ZA0329361</t>
  </si>
  <si>
    <t>ZA0328291</t>
  </si>
  <si>
    <t>ZA0329620</t>
  </si>
  <si>
    <t>ZA0329290</t>
  </si>
  <si>
    <t>ZA0329178</t>
  </si>
  <si>
    <t>ZA0329016</t>
  </si>
  <si>
    <t>ZA0328431</t>
  </si>
  <si>
    <t>ZA0329502</t>
  </si>
  <si>
    <t>ZA0328428</t>
  </si>
  <si>
    <t>ZA0329271</t>
  </si>
  <si>
    <t>ZA0329409</t>
  </si>
  <si>
    <t>ZA0329106</t>
  </si>
  <si>
    <t>ZA0329153</t>
  </si>
  <si>
    <t>ZA0328603</t>
  </si>
  <si>
    <t>ZA0329593</t>
  </si>
  <si>
    <t>ZA0328521</t>
  </si>
  <si>
    <t>ZA0329958</t>
  </si>
  <si>
    <t>ZA0329656</t>
  </si>
  <si>
    <t>ZA0329051</t>
  </si>
  <si>
    <t>ZA0330033</t>
  </si>
  <si>
    <t>ZA0328162</t>
  </si>
  <si>
    <t>ZA0328330</t>
  </si>
  <si>
    <t>ZA0328072</t>
  </si>
  <si>
    <t>Other</t>
  </si>
  <si>
    <t>ZA0328867</t>
  </si>
  <si>
    <t>ZA0328381</t>
  </si>
  <si>
    <t>ZA0329530</t>
  </si>
  <si>
    <t>ZA0329437</t>
  </si>
  <si>
    <t>ZA0328952</t>
  </si>
  <si>
    <t>ZA0328823</t>
  </si>
  <si>
    <t>ZA0328533</t>
  </si>
  <si>
    <t>ZA0328615</t>
  </si>
  <si>
    <t>ZA0329185</t>
  </si>
  <si>
    <t>ZA0329141</t>
  </si>
  <si>
    <t>ZA0328775</t>
  </si>
  <si>
    <t>ZA0329021</t>
  </si>
  <si>
    <t>ZA0328508</t>
  </si>
  <si>
    <t>ZA0328320</t>
  </si>
  <si>
    <t>ZA0329987</t>
  </si>
  <si>
    <t>ZA0328689</t>
  </si>
  <si>
    <t>ZA0328645</t>
  </si>
  <si>
    <t>ZA0329595</t>
  </si>
  <si>
    <t>ZA0328074</t>
  </si>
  <si>
    <t>ZA0328332</t>
  </si>
  <si>
    <t>ZA0329493</t>
  </si>
  <si>
    <t>ZA0329221</t>
  </si>
  <si>
    <t>ZA0329446</t>
  </si>
  <si>
    <t>ZA0329240</t>
  </si>
  <si>
    <t>ZA0328202</t>
  </si>
  <si>
    <t>ZA0329147</t>
  </si>
  <si>
    <t>ZA0329103</t>
  </si>
  <si>
    <t>ZA0329576</t>
  </si>
  <si>
    <t>ZA0328994</t>
  </si>
  <si>
    <t>ZA0328750</t>
  </si>
  <si>
    <t>ZA0328821</t>
  </si>
  <si>
    <t>ZA0328657</t>
  </si>
  <si>
    <t>ZA0328293</t>
  </si>
  <si>
    <t>ZA0328531</t>
  </si>
  <si>
    <t>ZA0329583</t>
  </si>
  <si>
    <t>ZA0328903</t>
  </si>
  <si>
    <t>ZA0328728</t>
  </si>
  <si>
    <t>ZA0329194</t>
  </si>
  <si>
    <t>ZA0329485</t>
  </si>
  <si>
    <t>ZA0329743</t>
  </si>
  <si>
    <t>ZA0328348</t>
  </si>
  <si>
    <t>ZA0329441</t>
  </si>
  <si>
    <t>ZA0328755</t>
  </si>
  <si>
    <t>ZA0330030</t>
  </si>
  <si>
    <t>ZA0329911</t>
  </si>
  <si>
    <t>ZA0329347</t>
  </si>
  <si>
    <t>ZA0328453</t>
  </si>
  <si>
    <t>ZA0329045</t>
  </si>
  <si>
    <t>ZA0329175</t>
  </si>
  <si>
    <t>ZA0330027</t>
  </si>
  <si>
    <t>ZA0329073</t>
  </si>
  <si>
    <t>ZA0329422</t>
  </si>
  <si>
    <t>ZA0329108</t>
  </si>
  <si>
    <t>ZA0328104</t>
  </si>
  <si>
    <t>ZA0329466</t>
  </si>
  <si>
    <t>ZA0328480</t>
  </si>
  <si>
    <t>ZA0329897</t>
  </si>
  <si>
    <t>ZA0329201</t>
  </si>
  <si>
    <t>ZA0328129</t>
  </si>
  <si>
    <t>ZA0329806</t>
  </si>
  <si>
    <t>ZA0328418</t>
  </si>
  <si>
    <t>ZA0328266</t>
  </si>
  <si>
    <t>ZA0328708</t>
  </si>
  <si>
    <t>ZA0328511</t>
  </si>
  <si>
    <t>ZA0328892</t>
  </si>
  <si>
    <t>ZA0329289</t>
  </si>
  <si>
    <t>ZA0329072</t>
  </si>
  <si>
    <t>ZA0329673</t>
  </si>
  <si>
    <t>ZA0329107</t>
  </si>
  <si>
    <t>ZA0329931</t>
  </si>
  <si>
    <t>ZA0329692</t>
  </si>
  <si>
    <t>ZA0329374</t>
  </si>
  <si>
    <t>ZA0328422</t>
  </si>
  <si>
    <t>ZA0328911</t>
  </si>
  <si>
    <t>ZA0329418</t>
  </si>
  <si>
    <t>ZA0329708</t>
  </si>
  <si>
    <t>ZA0328685</t>
  </si>
  <si>
    <t>ZA0329381</t>
  </si>
  <si>
    <t>ZA0329889</t>
  </si>
  <si>
    <t>ZA0329511</t>
  </si>
  <si>
    <t>ZA0330018</t>
  </si>
  <si>
    <t>ZA0329801</t>
  </si>
  <si>
    <t>ZA0329626</t>
  </si>
  <si>
    <t>ZA0328634</t>
  </si>
  <si>
    <t>ZA0329590</t>
  </si>
  <si>
    <t>ZA0329362</t>
  </si>
  <si>
    <t>ZA0328434</t>
  </si>
  <si>
    <t>ZA0329892</t>
  </si>
  <si>
    <t>ZA0328387</t>
  </si>
  <si>
    <t>ZA0328343</t>
  </si>
  <si>
    <t>ZA0328485</t>
  </si>
  <si>
    <t>ZA0328743</t>
  </si>
  <si>
    <t>ZA0328297</t>
  </si>
  <si>
    <t>ZA0329307</t>
  </si>
  <si>
    <t>ZA0329272</t>
  </si>
  <si>
    <t>ZA0329154</t>
  </si>
  <si>
    <t>ZA0328606</t>
  </si>
  <si>
    <t>ZA0328253</t>
  </si>
  <si>
    <t>ZA0328987</t>
  </si>
  <si>
    <t>ZA0329354</t>
  </si>
  <si>
    <t>ZA0329657</t>
  </si>
  <si>
    <t>ZA0328704</t>
  </si>
  <si>
    <t>ZA0329310</t>
  </si>
  <si>
    <t>ZA0328885</t>
  </si>
  <si>
    <t>ZA0329613</t>
  </si>
  <si>
    <t>ZA0328748</t>
  </si>
  <si>
    <t>ZA0328355</t>
  </si>
  <si>
    <t>ZA0328143</t>
  </si>
  <si>
    <t>ZA0329401</t>
  </si>
  <si>
    <t>ZA0329747</t>
  </si>
  <si>
    <t>ZA0328402</t>
  </si>
  <si>
    <t>ZA0329821</t>
  </si>
  <si>
    <t>ZA0329531</t>
  </si>
  <si>
    <t>ZA0328866</t>
  </si>
  <si>
    <t>ZA0328576</t>
  </si>
  <si>
    <t>ZA0328261</t>
  </si>
  <si>
    <t>ZA0329135</t>
  </si>
  <si>
    <t>ZA0329728</t>
  </si>
  <si>
    <t>ZA0329186</t>
  </si>
  <si>
    <t>ZA0329750</t>
  </si>
  <si>
    <t>ZA0328336</t>
  </si>
  <si>
    <t>ZA0328190</t>
  </si>
  <si>
    <t>ZA0328924</t>
  </si>
  <si>
    <t>ZA0328439</t>
  </si>
  <si>
    <t>ZA0329142</t>
  </si>
  <si>
    <t>ZA0329947</t>
  </si>
  <si>
    <t>ZA0328292</t>
  </si>
  <si>
    <t>ZA0329084</t>
  </si>
  <si>
    <t>ZA0329473</t>
  </si>
  <si>
    <t>ZA0328595</t>
  </si>
  <si>
    <t>ZA0329903</t>
  </si>
  <si>
    <t>ZA0329601</t>
  </si>
  <si>
    <t>ZA0329775</t>
  </si>
  <si>
    <t>ZA0328363</t>
  </si>
  <si>
    <t>ZA0329159</t>
  </si>
  <si>
    <t>ZA0329252</t>
  </si>
  <si>
    <t>ZA0329950</t>
  </si>
  <si>
    <t>ZA0329928</t>
  </si>
  <si>
    <t>ZA0329782</t>
  </si>
  <si>
    <t>ZA0329492</t>
  </si>
  <si>
    <t>ZA0328308</t>
  </si>
  <si>
    <t>ZA0328282</t>
  </si>
  <si>
    <t>ZA0329752</t>
  </si>
  <si>
    <t>ZA0329058</t>
  </si>
  <si>
    <t>ZA0328145</t>
  </si>
  <si>
    <t>ZA0328400</t>
  </si>
  <si>
    <t>ZA0328189</t>
  </si>
  <si>
    <t>ZA0329447</t>
  </si>
  <si>
    <t>ZA0329705</t>
  </si>
  <si>
    <t>ZA0328126</t>
  </si>
  <si>
    <t>ZA0328612</t>
  </si>
  <si>
    <t>ZA0329148</t>
  </si>
  <si>
    <t>ZA0328864</t>
  </si>
  <si>
    <t>ZA0329867</t>
  </si>
  <si>
    <t>ZA0329870</t>
  </si>
  <si>
    <t>ZA0328437</t>
  </si>
  <si>
    <t>ZA0328820</t>
  </si>
  <si>
    <t>ZA0328727</t>
  </si>
  <si>
    <t>ZA0329949</t>
  </si>
  <si>
    <t>ZA0329905</t>
  </si>
  <si>
    <t>ZA0328456</t>
  </si>
  <si>
    <t>ZA0329002</t>
  </si>
  <si>
    <t>ZA0328758</t>
  </si>
  <si>
    <t>ZA0328365</t>
  </si>
  <si>
    <t>ZA0329733</t>
  </si>
  <si>
    <t>ZA0328113</t>
  </si>
  <si>
    <t>ZA0329475</t>
  </si>
  <si>
    <t>ZA0330031</t>
  </si>
  <si>
    <t>ZA0328321</t>
  </si>
  <si>
    <t>ZA0329046</t>
  </si>
  <si>
    <t>ZA0328527</t>
  </si>
  <si>
    <t>ZA0329521</t>
  </si>
  <si>
    <t>ZA0329039</t>
  </si>
  <si>
    <t>ZA0328876</t>
  </si>
  <si>
    <t>ZA0328138</t>
  </si>
  <si>
    <t>ZA0328546</t>
  </si>
  <si>
    <t>ZA0328832</t>
  </si>
  <si>
    <t>ZA0330028</t>
  </si>
  <si>
    <t>ZA0328502</t>
  </si>
  <si>
    <t>ZA0329988</t>
  </si>
  <si>
    <t>ZA0329183</t>
  </si>
  <si>
    <t>ZA0328664</t>
  </si>
  <si>
    <t>ZA0328739</t>
  </si>
  <si>
    <t>ZA0328927</t>
  </si>
  <si>
    <t>ZA0329030</t>
  </si>
  <si>
    <t>ZA0328333</t>
  </si>
  <si>
    <t>ZA0328121</t>
  </si>
  <si>
    <t>ZA0329686</t>
  </si>
  <si>
    <t>ZA0328856</t>
  </si>
  <si>
    <t>ZA0328165</t>
  </si>
  <si>
    <t>ZA0328691</t>
  </si>
  <si>
    <t>ZA0329725</t>
  </si>
  <si>
    <t>ZA0329164</t>
  </si>
  <si>
    <t>ZA0329560</t>
  </si>
  <si>
    <t>ZA0328510</t>
  </si>
  <si>
    <t>ZA0329969</t>
  </si>
  <si>
    <t>ZA0328047</t>
  </si>
  <si>
    <t>ZA0329760</t>
  </si>
  <si>
    <t>ZA0328774</t>
  </si>
  <si>
    <t>ZA0328184</t>
  </si>
  <si>
    <t>ZA0328396</t>
  </si>
  <si>
    <t>ZA0328888</t>
  </si>
  <si>
    <t>ZA0328507</t>
  </si>
  <si>
    <t>ZA0328600</t>
  </si>
  <si>
    <t>ZA0329230</t>
  </si>
  <si>
    <t>ZA0329835</t>
  </si>
  <si>
    <t>ZA0328812</t>
  </si>
  <si>
    <t>ZA0328215</t>
  </si>
  <si>
    <t>ZA0328562</t>
  </si>
  <si>
    <t>ZA0329112</t>
  </si>
  <si>
    <t>ZA0329917</t>
  </si>
  <si>
    <t>ZA0328872</t>
  </si>
  <si>
    <t>ZA0329712</t>
  </si>
  <si>
    <t>ZA0328742</t>
  </si>
  <si>
    <t>ZA0329136</t>
  </si>
  <si>
    <t>ZA0328360</t>
  </si>
  <si>
    <t>ZA0329292</t>
  </si>
  <si>
    <t>ZA0329756</t>
  </si>
  <si>
    <t>ZA0328559</t>
  </si>
  <si>
    <t>ZA0329498</t>
  </si>
  <si>
    <t>ZA0329407</t>
  </si>
  <si>
    <t>ZA0329874</t>
  </si>
  <si>
    <t>ZA0329155</t>
  </si>
  <si>
    <t>ZA0328523</t>
  </si>
  <si>
    <t>ZA0328605</t>
  </si>
  <si>
    <t>ZA0329442</t>
  </si>
  <si>
    <t>ZA0329218</t>
  </si>
  <si>
    <t>ZA0329053</t>
  </si>
  <si>
    <t>ZA0329956</t>
  </si>
  <si>
    <t>ZA0329881</t>
  </si>
  <si>
    <t>ZA0329190</t>
  </si>
  <si>
    <t>ZA0329912</t>
  </si>
  <si>
    <t>ZA0328710</t>
  </si>
  <si>
    <t>ZA0328496</t>
  </si>
  <si>
    <t>ZA0328754</t>
  </si>
  <si>
    <t>ZA0329435</t>
  </si>
  <si>
    <t>ZA0329479</t>
  </si>
  <si>
    <t>ZA0329261</t>
  </si>
  <si>
    <t>ZA0329187</t>
  </si>
  <si>
    <t>ZA0328910</t>
  </si>
  <si>
    <t>ZA0329698</t>
  </si>
  <si>
    <t>ZA0329862</t>
  </si>
  <si>
    <t>ZA0328413</t>
  </si>
  <si>
    <t>ZA0329948</t>
  </si>
  <si>
    <t>ZA0329343</t>
  </si>
  <si>
    <t>ZA0328594</t>
  </si>
  <si>
    <t>ZA0329783</t>
  </si>
  <si>
    <t>ZA0328457</t>
  </si>
  <si>
    <t>ZA0329034</t>
  </si>
  <si>
    <t>ZA0328528</t>
  </si>
  <si>
    <t>ZA0329602</t>
  </si>
  <si>
    <t>ZA0328344</t>
  </si>
  <si>
    <t>ZA0328125</t>
  </si>
  <si>
    <t>ZA0328300</t>
  </si>
  <si>
    <t>ZA0328986</t>
  </si>
  <si>
    <t>ZA0329564</t>
  </si>
  <si>
    <t>ZA0329814</t>
  </si>
  <si>
    <t>ZA0329520</t>
  </si>
  <si>
    <t>ZA0329427</t>
  </si>
  <si>
    <t>ZA0329639</t>
  </si>
  <si>
    <t>ZA0329297</t>
  </si>
  <si>
    <t>ZA0328550</t>
  </si>
  <si>
    <t>ZA0328079</t>
  </si>
  <si>
    <t>ZA0328369</t>
  </si>
  <si>
    <t>ZA0329976</t>
  </si>
  <si>
    <t>ZA0329234</t>
  </si>
  <si>
    <t>ZA0329371</t>
  </si>
  <si>
    <t>ZA0328281</t>
  </si>
  <si>
    <t>ZA0328144</t>
  </si>
  <si>
    <t>ZA0329462</t>
  </si>
  <si>
    <t>ZA0328188</t>
  </si>
  <si>
    <t>ZA0329066</t>
  </si>
  <si>
    <t>ZA0329324</t>
  </si>
  <si>
    <t>ZA0329846</t>
  </si>
  <si>
    <t>ZA0328262</t>
  </si>
  <si>
    <t>ZA0329556</t>
  </si>
  <si>
    <t>ZA0329285</t>
  </si>
  <si>
    <t>ZA0329893</t>
  </si>
  <si>
    <t>ZA0328759</t>
  </si>
  <si>
    <t>ZA0328713</t>
  </si>
  <si>
    <t>ZA0328130</t>
  </si>
  <si>
    <t>ZA0330032</t>
  </si>
  <si>
    <t>ZA0329604</t>
  </si>
  <si>
    <t>ZA0329047</t>
  </si>
  <si>
    <t>ZA0328828</t>
  </si>
  <si>
    <t>ZA0328589</t>
  </si>
  <si>
    <t>ZA0328847</t>
  </si>
  <si>
    <t>ZA0329396</t>
  </si>
  <si>
    <t>ZA0328393</t>
  </si>
  <si>
    <t>ZA0329651</t>
  </si>
  <si>
    <t>ZA0328212</t>
  </si>
  <si>
    <t>ZA0328663</t>
  </si>
  <si>
    <t>ZA0328984</t>
  </si>
  <si>
    <t>ZA0329177</t>
  </si>
  <si>
    <t>ZA0329566</t>
  </si>
  <si>
    <t>ZA0329215</t>
  </si>
  <si>
    <t>ZA0329978</t>
  </si>
  <si>
    <t>ZA0328933</t>
  </si>
  <si>
    <t>ZA0328592</t>
  </si>
  <si>
    <t>ZA0328358</t>
  </si>
  <si>
    <t>ZA0329384</t>
  </si>
  <si>
    <t>ZA0329980</t>
  </si>
  <si>
    <t>ZA0329333</t>
  </si>
  <si>
    <t>ZA0329028</t>
  </si>
  <si>
    <t>ZA0329683</t>
  </si>
  <si>
    <t>ZA0328127</t>
  </si>
  <si>
    <t>ZA0328482</t>
  </si>
  <si>
    <t>ZA0328921</t>
  </si>
  <si>
    <t>ZA0328513</t>
  </si>
  <si>
    <t>ZA0329848</t>
  </si>
  <si>
    <t>ZA0328803</t>
  </si>
  <si>
    <t>ZA0329558</t>
  </si>
  <si>
    <t>ZA0329340</t>
  </si>
  <si>
    <t>ZA0329050</t>
  </si>
  <si>
    <t>ZA0329203</t>
  </si>
  <si>
    <t>ZA0329851</t>
  </si>
  <si>
    <t>ZA0329514</t>
  </si>
  <si>
    <t>ZA0328965</t>
  </si>
  <si>
    <t>ZA0329895</t>
  </si>
  <si>
    <t>ZA0328366</t>
  </si>
  <si>
    <t>ZA0329063</t>
  </si>
  <si>
    <t>ZA0328064</t>
  </si>
  <si>
    <t>ZA0329578</t>
  </si>
  <si>
    <t>ZA0329690</t>
  </si>
  <si>
    <t>ZA0328471</t>
  </si>
  <si>
    <t>ZA0328158</t>
  </si>
  <si>
    <t>ZA0329250</t>
  </si>
  <si>
    <t>ZA0328773</t>
  </si>
  <si>
    <t>ZA0329365</t>
  </si>
  <si>
    <t>ZA0328490</t>
  </si>
  <si>
    <t>ZA0329597</t>
  </si>
  <si>
    <t>ZA0329985</t>
  </si>
  <si>
    <t>ZA0328283</t>
  </si>
  <si>
    <t>ZA0328811</t>
  </si>
  <si>
    <t>ZA0328718</t>
  </si>
  <si>
    <t>ZA0329275</t>
  </si>
  <si>
    <t>ZA0328913</t>
  </si>
  <si>
    <t>ZA0329616</t>
  </si>
  <si>
    <t>ZA0329099</t>
  </si>
  <si>
    <t>ZA0328992</t>
  </si>
  <si>
    <t>ZA0328122</t>
  </si>
  <si>
    <t>ZA0328385</t>
  </si>
  <si>
    <t>ZA0328341</t>
  </si>
  <si>
    <t>ZA0329961</t>
  </si>
  <si>
    <t>ZA0329055</t>
  </si>
  <si>
    <t>ZA0329263</t>
  </si>
  <si>
    <t>ZA0328248</t>
  </si>
  <si>
    <t>ZA0328863</t>
  </si>
  <si>
    <t>ZA0328436</t>
  </si>
  <si>
    <t>ZA0328573</t>
  </si>
  <si>
    <t>ZA0328945</t>
  </si>
  <si>
    <t>ZA0329585</t>
  </si>
  <si>
    <t>ZA0329312</t>
  </si>
  <si>
    <t>ZA0329054</t>
  </si>
  <si>
    <t>ZA0328185</t>
  </si>
  <si>
    <t>ZA0329957</t>
  </si>
  <si>
    <t>ZA0328797</t>
  </si>
  <si>
    <t>ZA0328585</t>
  </si>
  <si>
    <t>ZA0328843</t>
  </si>
  <si>
    <t>ZA0329913</t>
  </si>
  <si>
    <t>ZA0329701</t>
  </si>
  <si>
    <t>ZA0329789</t>
  </si>
  <si>
    <t>ZA0328980</t>
  </si>
  <si>
    <t>ZA0328051</t>
  </si>
  <si>
    <t>ZA0329745</t>
  </si>
  <si>
    <t>ZA0329281</t>
  </si>
  <si>
    <t>ZA0328495</t>
  </si>
  <si>
    <t>ZA0328534</t>
  </si>
  <si>
    <t>ZA0329188</t>
  </si>
  <si>
    <t>ZA0329144</t>
  </si>
  <si>
    <t>ZA0329573</t>
  </si>
  <si>
    <t>ZA0329207</t>
  </si>
  <si>
    <t>ZA0328871</t>
  </si>
  <si>
    <t>ZA0328668</t>
  </si>
  <si>
    <t>ZA0328153</t>
  </si>
  <si>
    <t>ZA0329035</t>
  </si>
  <si>
    <t>ZA0329808</t>
  </si>
  <si>
    <t>ZA0328836</t>
  </si>
  <si>
    <t>ZA0328506</t>
  </si>
  <si>
    <t>ZA0329210</t>
  </si>
  <si>
    <t>ZA0329391</t>
  </si>
  <si>
    <t>ZA0328271</t>
  </si>
  <si>
    <t>ZA0329369</t>
  </si>
  <si>
    <t>ZA0328961</t>
  </si>
  <si>
    <t>ZA0328671</t>
  </si>
  <si>
    <t>ZA0328890</t>
  </si>
  <si>
    <t>ZA0329780</t>
  </si>
  <si>
    <t>ZA0329490</t>
  </si>
  <si>
    <t>ZA0329977</t>
  </si>
  <si>
    <t>ZA0328161</t>
  </si>
  <si>
    <t>ZA0328722</t>
  </si>
  <si>
    <t>ZA0329933</t>
  </si>
  <si>
    <t>ZA0329023</t>
  </si>
  <si>
    <t>ZA0328558</t>
  </si>
  <si>
    <t>ZA0329803</t>
  </si>
  <si>
    <t>ZA0329242</t>
  </si>
  <si>
    <t>ZA0328380</t>
  </si>
  <si>
    <t>ZA0328514</t>
  </si>
  <si>
    <t>ZA0329317</t>
  </si>
  <si>
    <t>ZA0328683</t>
  </si>
  <si>
    <t>ZA0329894</t>
  </si>
  <si>
    <t>ZA0329628</t>
  </si>
  <si>
    <t>ZA0329160</t>
  </si>
  <si>
    <t>ZA0328906</t>
  </si>
  <si>
    <t>ZA0328345</t>
  </si>
  <si>
    <t>ZA0328173</t>
  </si>
  <si>
    <t>ZA0328734</t>
  </si>
  <si>
    <t>ZA0329411</t>
  </si>
  <si>
    <t>ZA0328895</t>
  </si>
  <si>
    <t>ZA0328043</t>
  </si>
  <si>
    <t>ZA0328301</t>
  </si>
  <si>
    <t>ZA0329455</t>
  </si>
  <si>
    <t>ZA0329713</t>
  </si>
  <si>
    <t>ZA0328741</t>
  </si>
  <si>
    <t>ZA0328848</t>
  </si>
  <si>
    <t>ZA0328255</t>
  </si>
  <si>
    <t>ZA0329270</t>
  </si>
  <si>
    <t>ZA0329545</t>
  </si>
  <si>
    <t>ZA0328392</t>
  </si>
  <si>
    <t>ZA0328566</t>
  </si>
  <si>
    <t>ZA0329738</t>
  </si>
  <si>
    <t>ZA0329267</t>
  </si>
  <si>
    <t>Violation Date</t>
  </si>
  <si>
    <t>Location</t>
  </si>
  <si>
    <t>Citation Number</t>
  </si>
  <si>
    <t>Status</t>
  </si>
  <si>
    <t>Category Code</t>
  </si>
  <si>
    <t>Lane Number</t>
  </si>
  <si>
    <t>Red Seconds</t>
  </si>
  <si>
    <t>Speed</t>
  </si>
  <si>
    <t>Status Reject Type</t>
  </si>
  <si>
    <t>Loc 2012:  SB 19th Ave @ Sloat Blvd.</t>
  </si>
  <si>
    <t>Category</t>
  </si>
  <si>
    <t>Hayes @ Polk</t>
  </si>
  <si>
    <t>Loc 2253:  EB Marina Blvd. @ Lyon St.</t>
  </si>
  <si>
    <t xml:space="preserve">      Approach Summary Report</t>
  </si>
  <si>
    <t xml:space="preserve">     Approach Summary Report</t>
  </si>
  <si>
    <t xml:space="preserve">        Approach Summary Report</t>
  </si>
  <si>
    <t xml:space="preserve">           Approach Summary Report</t>
  </si>
  <si>
    <t>All Film</t>
  </si>
  <si>
    <t>All Digital</t>
  </si>
  <si>
    <t>December 2013</t>
  </si>
  <si>
    <t>December 2013 Monthly Report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</si>
</sst>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3" formatCode="_(* #,##0.00_);_(* \(#,##0.00\);_(* &quot;-&quot;??_);_(@_)"/>
    <numFmt numFmtId="164" formatCode="0.0"/>
    <numFmt numFmtId="165" formatCode="m\/d\/yyyy&quot;  &quot;h&quot;:&quot;mm&quot;:&quot;ss\ AM/PM"/>
    <numFmt numFmtId="166" formatCode="#,##0.00_);\-#,##0.00"/>
  </numFmts>
  <fonts count="42">
    <font>
      <sz val="10"/>
      <name val="Arial"/>
    </font>
    <font>
      <sz val="10"/>
      <name val="Arial"/>
      <family val="2"/>
    </font>
    <font>
      <sz val="10"/>
      <name val="CG Times"/>
      <family val="1"/>
    </font>
    <font>
      <b/>
      <sz val="10"/>
      <name val="CG Times"/>
      <family val="1"/>
    </font>
    <font>
      <sz val="14"/>
      <name val="CG Times"/>
      <family val="1"/>
    </font>
    <font>
      <sz val="9"/>
      <name val="Verdana"/>
      <family val="2"/>
    </font>
    <font>
      <b/>
      <sz val="14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i/>
      <sz val="8"/>
      <name val="Arial Narrow"/>
      <family val="2"/>
    </font>
    <font>
      <b/>
      <sz val="8"/>
      <name val="CG Times"/>
      <family val="1"/>
    </font>
    <font>
      <b/>
      <sz val="8"/>
      <color indexed="22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b/>
      <sz val="10"/>
      <color indexed="10"/>
      <name val="CG Times"/>
      <family val="1"/>
    </font>
    <font>
      <b/>
      <sz val="9"/>
      <name val="CG Times"/>
      <family val="1"/>
    </font>
    <font>
      <b/>
      <i/>
      <sz val="9"/>
      <name val="Arial Narrow"/>
      <family val="2"/>
    </font>
    <font>
      <sz val="9"/>
      <color indexed="22"/>
      <name val="CG Times"/>
      <family val="1"/>
    </font>
    <font>
      <b/>
      <sz val="9"/>
      <name val="CG Times"/>
      <family val="1"/>
    </font>
    <font>
      <sz val="9"/>
      <name val="CG Times"/>
      <family val="1"/>
    </font>
    <font>
      <b/>
      <sz val="8"/>
      <name val="CG Times"/>
      <family val="1"/>
    </font>
    <font>
      <b/>
      <i/>
      <sz val="12"/>
      <name val="Arial"/>
      <family val="2"/>
    </font>
    <font>
      <b/>
      <sz val="11"/>
      <name val="Arial"/>
      <family val="2"/>
    </font>
    <font>
      <b/>
      <i/>
      <sz val="11"/>
      <name val="Arial"/>
      <family val="2"/>
    </font>
    <font>
      <sz val="8"/>
      <name val="Arial Narrow"/>
      <family val="2"/>
    </font>
    <font>
      <b/>
      <sz val="18"/>
      <name val="Arial"/>
      <family val="2"/>
    </font>
    <font>
      <sz val="8"/>
      <color indexed="8"/>
      <name val="Verdana"/>
      <family val="2"/>
    </font>
    <font>
      <sz val="10"/>
      <name val="Verdana"/>
      <family val="2"/>
    </font>
    <font>
      <sz val="11"/>
      <name val="Arial"/>
      <family val="2"/>
    </font>
    <font>
      <sz val="12"/>
      <name val="Verdana"/>
      <family val="2"/>
    </font>
    <font>
      <sz val="10"/>
      <name val="Lucida Sans Unicode"/>
      <family val="2"/>
    </font>
    <font>
      <b/>
      <sz val="10"/>
      <color theme="0"/>
      <name val="Arial"/>
      <family val="2"/>
    </font>
    <font>
      <sz val="10"/>
      <color indexed="8"/>
      <name val="MS Sans Serif"/>
      <family val="2"/>
    </font>
    <font>
      <sz val="10"/>
      <color indexed="8"/>
      <name val="MS Sans Serif"/>
      <family val="2"/>
    </font>
    <font>
      <b/>
      <sz val="8"/>
      <color indexed="9"/>
      <name val="Arial"/>
      <family val="2"/>
    </font>
    <font>
      <b/>
      <sz val="16"/>
      <name val="Times New Roman"/>
      <family val="1"/>
    </font>
    <font>
      <b/>
      <sz val="12"/>
      <name val="Arial Narrow"/>
      <family val="2"/>
    </font>
    <font>
      <sz val="24"/>
      <name val="Arial"/>
      <family val="2"/>
    </font>
    <font>
      <b/>
      <sz val="15"/>
      <name val="Arial"/>
      <family val="2"/>
    </font>
    <font>
      <b/>
      <u/>
      <sz val="9.85"/>
      <color indexed="8"/>
      <name val="Verdana"/>
      <family val="2"/>
    </font>
    <font>
      <b/>
      <u/>
      <sz val="10"/>
      <name val="Verdana"/>
      <family val="2"/>
    </font>
    <font>
      <sz val="9.85"/>
      <color indexed="8"/>
      <name val="Verdana"/>
      <family val="2"/>
    </font>
  </fonts>
  <fills count="8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BE1E2D"/>
        <bgColor indexed="64"/>
      </patternFill>
    </fill>
    <fill>
      <patternFill patternType="solid">
        <fgColor rgb="FFFDBF7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6" tint="0.59999389629810485"/>
        <bgColor indexed="64"/>
      </patternFill>
    </fill>
  </fills>
  <borders count="55">
    <border>
      <left/>
      <right/>
      <top/>
      <bottom/>
      <diagonal/>
    </border>
    <border>
      <left style="medium">
        <color indexed="64"/>
      </left>
      <right style="hair">
        <color indexed="22"/>
      </right>
      <top style="medium">
        <color indexed="64"/>
      </top>
      <bottom style="hair">
        <color indexed="22"/>
      </bottom>
      <diagonal/>
    </border>
    <border>
      <left style="medium">
        <color indexed="64"/>
      </left>
      <right style="hair">
        <color indexed="22"/>
      </right>
      <top style="hair">
        <color indexed="22"/>
      </top>
      <bottom style="hair">
        <color indexed="22"/>
      </bottom>
      <diagonal/>
    </border>
    <border>
      <left style="medium">
        <color indexed="64"/>
      </left>
      <right style="hair">
        <color indexed="22"/>
      </right>
      <top/>
      <bottom style="hair">
        <color indexed="22"/>
      </bottom>
      <diagonal/>
    </border>
    <border>
      <left style="medium">
        <color indexed="64"/>
      </left>
      <right style="hair">
        <color indexed="22"/>
      </right>
      <top style="hair">
        <color indexed="22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22"/>
      </right>
      <top style="hair">
        <color indexed="22"/>
      </top>
      <bottom style="medium">
        <color indexed="64"/>
      </bottom>
      <diagonal/>
    </border>
    <border>
      <left style="hair">
        <color indexed="22"/>
      </left>
      <right style="hair">
        <color indexed="22"/>
      </right>
      <top style="hair">
        <color indexed="22"/>
      </top>
      <bottom style="hair">
        <color indexed="22"/>
      </bottom>
      <diagonal/>
    </border>
    <border>
      <left style="hair">
        <color indexed="22"/>
      </left>
      <right style="hair">
        <color indexed="22"/>
      </right>
      <top style="hair">
        <color indexed="22"/>
      </top>
      <bottom style="medium">
        <color indexed="64"/>
      </bottom>
      <diagonal/>
    </border>
    <border>
      <left style="hair">
        <color indexed="22"/>
      </left>
      <right style="hair">
        <color indexed="22"/>
      </right>
      <top style="medium">
        <color indexed="64"/>
      </top>
      <bottom style="hair">
        <color indexed="22"/>
      </bottom>
      <diagonal/>
    </border>
    <border>
      <left style="hair">
        <color indexed="22"/>
      </left>
      <right style="hair">
        <color indexed="22"/>
      </right>
      <top/>
      <bottom style="hair">
        <color indexed="22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hair">
        <color indexed="22"/>
      </right>
      <top style="hair">
        <color indexed="22"/>
      </top>
      <bottom/>
      <diagonal/>
    </border>
    <border>
      <left style="hair">
        <color indexed="22"/>
      </left>
      <right/>
      <top/>
      <bottom style="hair">
        <color indexed="22"/>
      </bottom>
      <diagonal/>
    </border>
    <border>
      <left style="hair">
        <color indexed="22"/>
      </left>
      <right/>
      <top style="hair">
        <color indexed="22"/>
      </top>
      <bottom style="hair">
        <color indexed="22"/>
      </bottom>
      <diagonal/>
    </border>
    <border>
      <left/>
      <right style="hair">
        <color indexed="22"/>
      </right>
      <top style="hair">
        <color indexed="22"/>
      </top>
      <bottom style="hair">
        <color indexed="22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22"/>
      </left>
      <right style="hair">
        <color indexed="22"/>
      </right>
      <top style="hair">
        <color indexed="22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hair">
        <color theme="0" tint="-0.14996795556505021"/>
      </right>
      <top style="medium">
        <color indexed="64"/>
      </top>
      <bottom style="hair">
        <color indexed="22"/>
      </bottom>
      <diagonal/>
    </border>
    <border>
      <left/>
      <right/>
      <top/>
      <bottom style="hair">
        <color indexed="22"/>
      </bottom>
      <diagonal/>
    </border>
    <border>
      <left style="hair">
        <color indexed="22"/>
      </left>
      <right style="hair">
        <color theme="0" tint="-0.14996795556505021"/>
      </right>
      <top style="medium">
        <color indexed="64"/>
      </top>
      <bottom style="hair">
        <color indexed="22"/>
      </bottom>
      <diagonal/>
    </border>
    <border>
      <left style="hair">
        <color indexed="22"/>
      </left>
      <right style="medium">
        <color indexed="64"/>
      </right>
      <top/>
      <bottom style="hair">
        <color indexed="22"/>
      </bottom>
      <diagonal/>
    </border>
    <border>
      <left style="hair">
        <color indexed="22"/>
      </left>
      <right style="medium">
        <color indexed="64"/>
      </right>
      <top style="hair">
        <color indexed="22"/>
      </top>
      <bottom style="medium">
        <color indexed="64"/>
      </bottom>
      <diagonal/>
    </border>
    <border>
      <left style="hair">
        <color indexed="22"/>
      </left>
      <right style="medium">
        <color indexed="64"/>
      </right>
      <top style="hair">
        <color indexed="22"/>
      </top>
      <bottom style="hair">
        <color indexed="22"/>
      </bottom>
      <diagonal/>
    </border>
    <border>
      <left style="hair">
        <color indexed="22"/>
      </left>
      <right/>
      <top style="hair">
        <color indexed="22"/>
      </top>
      <bottom style="medium">
        <color indexed="64"/>
      </bottom>
      <diagonal/>
    </border>
    <border>
      <left style="hair">
        <color indexed="22"/>
      </left>
      <right/>
      <top style="medium">
        <color indexed="64"/>
      </top>
      <bottom style="hair">
        <color indexed="22"/>
      </bottom>
      <diagonal/>
    </border>
    <border>
      <left style="hair">
        <color theme="0" tint="-0.14996795556505021"/>
      </left>
      <right style="medium">
        <color indexed="64"/>
      </right>
      <top style="medium">
        <color indexed="64"/>
      </top>
      <bottom style="hair">
        <color indexed="22"/>
      </bottom>
      <diagonal/>
    </border>
    <border>
      <left style="hair">
        <color theme="0" tint="-0.24994659260841701"/>
      </left>
      <right style="medium">
        <color indexed="64"/>
      </right>
      <top style="medium">
        <color indexed="64"/>
      </top>
      <bottom style="hair">
        <color indexed="22"/>
      </bottom>
      <diagonal/>
    </border>
    <border>
      <left style="hair">
        <color theme="0" tint="-0.24994659260841701"/>
      </left>
      <right style="medium">
        <color indexed="64"/>
      </right>
      <top style="hair">
        <color indexed="22"/>
      </top>
      <bottom style="hair">
        <color indexed="22"/>
      </bottom>
      <diagonal/>
    </border>
    <border>
      <left style="hair">
        <color theme="0" tint="-0.24994659260841701"/>
      </left>
      <right style="medium">
        <color indexed="64"/>
      </right>
      <top style="hair">
        <color indexed="22"/>
      </top>
      <bottom style="medium">
        <color indexed="64"/>
      </bottom>
      <diagonal/>
    </border>
    <border>
      <left style="hair">
        <color theme="0" tint="-0.24994659260841701"/>
      </left>
      <right style="medium">
        <color indexed="64"/>
      </right>
      <top/>
      <bottom style="hair">
        <color indexed="22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hair">
        <color indexed="22"/>
      </top>
      <bottom style="hair">
        <color indexed="22"/>
      </bottom>
      <diagonal/>
    </border>
    <border>
      <left/>
      <right style="medium">
        <color indexed="64"/>
      </right>
      <top style="hair">
        <color indexed="22"/>
      </top>
      <bottom/>
      <diagonal/>
    </border>
  </borders>
  <cellStyleXfs count="7">
    <xf numFmtId="0" fontId="0" fillId="0" borderId="0"/>
    <xf numFmtId="43" fontId="1" fillId="0" borderId="0" applyFont="0" applyFill="0" applyBorder="0" applyAlignment="0" applyProtection="0"/>
    <xf numFmtId="0" fontId="5" fillId="0" borderId="0"/>
    <xf numFmtId="9" fontId="1" fillId="0" borderId="0" applyFont="0" applyFill="0" applyBorder="0" applyAlignment="0" applyProtection="0"/>
    <xf numFmtId="0" fontId="1" fillId="0" borderId="0"/>
    <xf numFmtId="0" fontId="32" fillId="0" borderId="0"/>
    <xf numFmtId="0" fontId="33" fillId="0" borderId="0"/>
  </cellStyleXfs>
  <cellXfs count="235">
    <xf numFmtId="0" fontId="0" fillId="0" borderId="0" xfId="0"/>
    <xf numFmtId="0" fontId="2" fillId="0" borderId="0" xfId="0" applyFont="1" applyBorder="1" applyAlignment="1">
      <alignment vertical="center"/>
    </xf>
    <xf numFmtId="0" fontId="8" fillId="0" borderId="2" xfId="2" applyFont="1" applyFill="1" applyBorder="1" applyAlignment="1">
      <alignment horizontal="left" vertical="center" wrapText="1"/>
    </xf>
    <xf numFmtId="0" fontId="11" fillId="2" borderId="5" xfId="0" applyFont="1" applyFill="1" applyBorder="1" applyAlignment="1">
      <alignment horizontal="left" vertical="center" wrapText="1"/>
    </xf>
    <xf numFmtId="9" fontId="2" fillId="0" borderId="0" xfId="3" applyFont="1" applyBorder="1" applyAlignment="1">
      <alignment vertical="center"/>
    </xf>
    <xf numFmtId="0" fontId="4" fillId="0" borderId="0" xfId="0" applyFont="1" applyBorder="1" applyAlignment="1">
      <alignment vertical="center"/>
    </xf>
    <xf numFmtId="0" fontId="3" fillId="0" borderId="0" xfId="0" applyFont="1" applyFill="1" applyBorder="1" applyAlignment="1">
      <alignment horizontal="center" vertical="center"/>
    </xf>
    <xf numFmtId="17" fontId="3" fillId="0" borderId="0" xfId="0" applyNumberFormat="1" applyFont="1" applyFill="1" applyBorder="1" applyAlignment="1">
      <alignment horizontal="center" vertical="center"/>
    </xf>
    <xf numFmtId="0" fontId="2" fillId="0" borderId="0" xfId="0" applyFont="1" applyFill="1" applyBorder="1" applyAlignment="1">
      <alignment vertical="center"/>
    </xf>
    <xf numFmtId="0" fontId="7" fillId="0" borderId="2" xfId="2" applyFont="1" applyFill="1" applyBorder="1" applyAlignment="1">
      <alignment horizontal="left" vertical="center" wrapText="1"/>
    </xf>
    <xf numFmtId="0" fontId="7" fillId="0" borderId="2" xfId="2" applyFont="1" applyFill="1" applyBorder="1" applyAlignment="1">
      <alignment vertical="center" wrapText="1"/>
    </xf>
    <xf numFmtId="0" fontId="8" fillId="0" borderId="2" xfId="2" applyFont="1" applyFill="1" applyBorder="1" applyAlignment="1">
      <alignment vertical="center" wrapText="1"/>
    </xf>
    <xf numFmtId="0" fontId="8" fillId="0" borderId="6" xfId="2" applyFont="1" applyFill="1" applyBorder="1" applyAlignment="1">
      <alignment vertical="center" wrapText="1"/>
    </xf>
    <xf numFmtId="1" fontId="2" fillId="0" borderId="0" xfId="0" applyNumberFormat="1" applyFont="1" applyBorder="1" applyAlignment="1">
      <alignment vertical="center"/>
    </xf>
    <xf numFmtId="0" fontId="3" fillId="0" borderId="0" xfId="0" applyFont="1" applyFill="1" applyBorder="1" applyAlignment="1">
      <alignment vertical="center"/>
    </xf>
    <xf numFmtId="0" fontId="14" fillId="0" borderId="0" xfId="0" applyFont="1" applyFill="1" applyBorder="1"/>
    <xf numFmtId="0" fontId="2" fillId="0" borderId="0" xfId="0" applyFont="1" applyFill="1" applyBorder="1"/>
    <xf numFmtId="0" fontId="17" fillId="2" borderId="11" xfId="0" applyNumberFormat="1" applyFont="1" applyFill="1" applyBorder="1" applyAlignment="1">
      <alignment horizontal="center" vertical="center"/>
    </xf>
    <xf numFmtId="0" fontId="7" fillId="0" borderId="1" xfId="2" applyFont="1" applyFill="1" applyBorder="1" applyAlignment="1">
      <alignment vertical="center" wrapText="1"/>
    </xf>
    <xf numFmtId="3" fontId="19" fillId="0" borderId="0" xfId="0" applyNumberFormat="1" applyFont="1" applyFill="1" applyBorder="1" applyAlignment="1">
      <alignment horizontal="center" vertical="center"/>
    </xf>
    <xf numFmtId="3" fontId="15" fillId="0" borderId="0" xfId="0" applyNumberFormat="1" applyFont="1" applyFill="1" applyBorder="1" applyAlignment="1">
      <alignment horizontal="center" vertical="center"/>
    </xf>
    <xf numFmtId="3" fontId="18" fillId="0" borderId="0" xfId="1" applyNumberFormat="1" applyFont="1" applyFill="1" applyBorder="1" applyAlignment="1">
      <alignment horizontal="center" vertical="center"/>
    </xf>
    <xf numFmtId="3" fontId="20" fillId="0" borderId="0" xfId="0" applyNumberFormat="1" applyFont="1" applyFill="1" applyBorder="1" applyAlignment="1">
      <alignment horizontal="center" vertical="center"/>
    </xf>
    <xf numFmtId="0" fontId="12" fillId="0" borderId="0" xfId="0" applyFont="1" applyFill="1" applyBorder="1" applyAlignment="1">
      <alignment horizontal="right"/>
    </xf>
    <xf numFmtId="0" fontId="8" fillId="0" borderId="0" xfId="0" applyFont="1" applyFill="1" applyBorder="1" applyAlignment="1">
      <alignment horizontal="right"/>
    </xf>
    <xf numFmtId="0" fontId="13" fillId="0" borderId="0" xfId="0" applyFont="1" applyFill="1" applyBorder="1" applyAlignment="1">
      <alignment horizontal="right"/>
    </xf>
    <xf numFmtId="17" fontId="9" fillId="2" borderId="0" xfId="0" applyNumberFormat="1" applyFont="1" applyFill="1" applyBorder="1" applyAlignment="1">
      <alignment horizontal="center" vertical="center"/>
    </xf>
    <xf numFmtId="3" fontId="16" fillId="2" borderId="0" xfId="0" applyNumberFormat="1" applyFont="1" applyFill="1" applyBorder="1" applyAlignment="1">
      <alignment horizontal="center" vertical="center"/>
    </xf>
    <xf numFmtId="0" fontId="17" fillId="2" borderId="0" xfId="0" applyNumberFormat="1" applyFont="1" applyFill="1" applyBorder="1" applyAlignment="1">
      <alignment horizontal="center" vertical="center"/>
    </xf>
    <xf numFmtId="164" fontId="18" fillId="0" borderId="0" xfId="0" applyNumberFormat="1" applyFont="1" applyFill="1" applyBorder="1" applyAlignment="1">
      <alignment horizontal="center" vertical="center"/>
    </xf>
    <xf numFmtId="1" fontId="15" fillId="0" borderId="0" xfId="0" applyNumberFormat="1" applyFont="1" applyFill="1" applyBorder="1" applyAlignment="1">
      <alignment horizontal="center" vertical="center"/>
    </xf>
    <xf numFmtId="164" fontId="15" fillId="0" borderId="0" xfId="3" applyNumberFormat="1" applyFont="1" applyFill="1" applyBorder="1" applyAlignment="1">
      <alignment horizontal="center" vertical="center"/>
    </xf>
    <xf numFmtId="9" fontId="15" fillId="0" borderId="0" xfId="3" applyNumberFormat="1" applyFont="1" applyFill="1" applyBorder="1" applyAlignment="1">
      <alignment horizontal="center" vertical="center"/>
    </xf>
    <xf numFmtId="9" fontId="15" fillId="0" borderId="0" xfId="3" applyFont="1" applyFill="1" applyBorder="1" applyAlignment="1">
      <alignment horizontal="center" vertical="center"/>
    </xf>
    <xf numFmtId="17" fontId="16" fillId="2" borderId="0" xfId="0" applyNumberFormat="1" applyFont="1" applyFill="1" applyBorder="1" applyAlignment="1">
      <alignment horizontal="center" vertical="center"/>
    </xf>
    <xf numFmtId="3" fontId="18" fillId="0" borderId="0" xfId="0" applyNumberFormat="1" applyFont="1" applyFill="1" applyBorder="1" applyAlignment="1">
      <alignment horizontal="center" vertical="center"/>
    </xf>
    <xf numFmtId="0" fontId="12" fillId="3" borderId="17" xfId="0" applyFont="1" applyFill="1" applyBorder="1" applyAlignment="1">
      <alignment horizontal="right"/>
    </xf>
    <xf numFmtId="0" fontId="12" fillId="3" borderId="0" xfId="0" applyFont="1" applyFill="1" applyBorder="1" applyAlignment="1">
      <alignment horizontal="right"/>
    </xf>
    <xf numFmtId="0" fontId="3" fillId="3" borderId="0" xfId="0" applyFont="1" applyFill="1" applyBorder="1" applyAlignment="1">
      <alignment horizontal="center" vertical="center"/>
    </xf>
    <xf numFmtId="17" fontId="3" fillId="3" borderId="0" xfId="0" applyNumberFormat="1" applyFont="1" applyFill="1" applyBorder="1" applyAlignment="1">
      <alignment horizontal="center" vertical="center"/>
    </xf>
    <xf numFmtId="0" fontId="13" fillId="0" borderId="19" xfId="0" applyFont="1" applyFill="1" applyBorder="1" applyAlignment="1">
      <alignment horizontal="center"/>
    </xf>
    <xf numFmtId="0" fontId="7" fillId="0" borderId="1" xfId="2" applyFont="1" applyFill="1" applyBorder="1" applyAlignment="1">
      <alignment horizontal="left" vertical="center" wrapText="1"/>
    </xf>
    <xf numFmtId="0" fontId="7" fillId="0" borderId="3" xfId="2" applyFont="1" applyFill="1" applyBorder="1" applyAlignment="1">
      <alignment horizontal="left" vertical="center" wrapText="1"/>
    </xf>
    <xf numFmtId="0" fontId="7" fillId="0" borderId="4" xfId="0" applyFont="1" applyFill="1" applyBorder="1" applyAlignment="1">
      <alignment horizontal="left" vertical="center" wrapText="1"/>
    </xf>
    <xf numFmtId="3" fontId="7" fillId="0" borderId="3" xfId="0" applyNumberFormat="1" applyFont="1" applyFill="1" applyBorder="1" applyAlignment="1">
      <alignment horizontal="left" vertical="center"/>
    </xf>
    <xf numFmtId="0" fontId="7" fillId="0" borderId="2" xfId="0" applyFont="1" applyFill="1" applyBorder="1" applyAlignment="1">
      <alignment horizontal="left" vertical="center" wrapText="1"/>
    </xf>
    <xf numFmtId="0" fontId="7" fillId="0" borderId="3" xfId="2" applyFont="1" applyFill="1" applyBorder="1" applyAlignment="1">
      <alignment vertical="center" wrapText="1"/>
    </xf>
    <xf numFmtId="17" fontId="24" fillId="2" borderId="11" xfId="0" applyNumberFormat="1" applyFont="1" applyFill="1" applyBorder="1" applyAlignment="1">
      <alignment horizontal="center" vertical="center"/>
    </xf>
    <xf numFmtId="17" fontId="2" fillId="3" borderId="0" xfId="0" applyNumberFormat="1" applyFont="1" applyFill="1" applyBorder="1" applyAlignment="1">
      <alignment horizontal="center" vertical="center"/>
    </xf>
    <xf numFmtId="17" fontId="2" fillId="0" borderId="0" xfId="0" applyNumberFormat="1" applyFont="1" applyFill="1" applyBorder="1" applyAlignment="1">
      <alignment horizontal="center" vertical="center"/>
    </xf>
    <xf numFmtId="17" fontId="24" fillId="2" borderId="5" xfId="0" applyNumberFormat="1" applyFont="1" applyFill="1" applyBorder="1" applyAlignment="1">
      <alignment horizontal="center" vertical="center"/>
    </xf>
    <xf numFmtId="17" fontId="24" fillId="2" borderId="28" xfId="0" applyNumberFormat="1" applyFont="1" applyFill="1" applyBorder="1" applyAlignment="1">
      <alignment horizontal="center" vertical="center"/>
    </xf>
    <xf numFmtId="0" fontId="7" fillId="0" borderId="4" xfId="2" applyFont="1" applyFill="1" applyBorder="1" applyAlignment="1">
      <alignment vertical="center" wrapText="1"/>
    </xf>
    <xf numFmtId="0" fontId="24" fillId="2" borderId="24" xfId="0" applyFont="1" applyFill="1" applyBorder="1" applyAlignment="1">
      <alignment horizontal="center" vertical="center"/>
    </xf>
    <xf numFmtId="0" fontId="24" fillId="2" borderId="5" xfId="0" applyFont="1" applyFill="1" applyBorder="1" applyAlignment="1">
      <alignment horizontal="center" vertical="center"/>
    </xf>
    <xf numFmtId="0" fontId="24" fillId="2" borderId="16" xfId="0" applyFont="1" applyFill="1" applyBorder="1" applyAlignment="1">
      <alignment horizontal="center" vertical="center"/>
    </xf>
    <xf numFmtId="0" fontId="24" fillId="2" borderId="25" xfId="0" applyFont="1" applyFill="1" applyBorder="1" applyAlignment="1">
      <alignment horizontal="center" vertical="center"/>
    </xf>
    <xf numFmtId="3" fontId="7" fillId="0" borderId="10" xfId="0" applyNumberFormat="1" applyFont="1" applyFill="1" applyBorder="1" applyAlignment="1">
      <alignment horizontal="center" vertical="center"/>
    </xf>
    <xf numFmtId="3" fontId="7" fillId="0" borderId="8" xfId="0" applyNumberFormat="1" applyFont="1" applyFill="1" applyBorder="1" applyAlignment="1">
      <alignment horizontal="center" vertical="center"/>
    </xf>
    <xf numFmtId="3" fontId="7" fillId="0" borderId="7" xfId="0" applyNumberFormat="1" applyFont="1" applyFill="1" applyBorder="1" applyAlignment="1">
      <alignment horizontal="center" vertical="center"/>
    </xf>
    <xf numFmtId="3" fontId="8" fillId="0" borderId="7" xfId="0" applyNumberFormat="1" applyFont="1" applyFill="1" applyBorder="1" applyAlignment="1">
      <alignment horizontal="center" vertical="center"/>
    </xf>
    <xf numFmtId="3" fontId="7" fillId="0" borderId="13" xfId="1" applyNumberFormat="1" applyFont="1" applyFill="1" applyBorder="1" applyAlignment="1">
      <alignment horizontal="center" vertical="center"/>
    </xf>
    <xf numFmtId="1" fontId="7" fillId="0" borderId="15" xfId="0" applyNumberFormat="1" applyFont="1" applyFill="1" applyBorder="1" applyAlignment="1">
      <alignment horizontal="center" vertical="center"/>
    </xf>
    <xf numFmtId="164" fontId="7" fillId="0" borderId="15" xfId="0" applyNumberFormat="1" applyFont="1" applyFill="1" applyBorder="1" applyAlignment="1">
      <alignment horizontal="center" vertical="center"/>
    </xf>
    <xf numFmtId="164" fontId="7" fillId="0" borderId="12" xfId="0" applyNumberFormat="1" applyFont="1" applyFill="1" applyBorder="1" applyAlignment="1">
      <alignment horizontal="center" vertical="center"/>
    </xf>
    <xf numFmtId="1" fontId="7" fillId="0" borderId="10" xfId="0" applyNumberFormat="1" applyFont="1" applyFill="1" applyBorder="1" applyAlignment="1">
      <alignment horizontal="center" vertical="center"/>
    </xf>
    <xf numFmtId="1" fontId="7" fillId="0" borderId="7" xfId="3" applyNumberFormat="1" applyFont="1" applyFill="1" applyBorder="1" applyAlignment="1">
      <alignment horizontal="center" vertical="center"/>
    </xf>
    <xf numFmtId="9" fontId="7" fillId="0" borderId="14" xfId="3" applyNumberFormat="1" applyFont="1" applyFill="1" applyBorder="1" applyAlignment="1">
      <alignment horizontal="center" vertical="center"/>
    </xf>
    <xf numFmtId="3" fontId="7" fillId="0" borderId="9" xfId="0" applyNumberFormat="1" applyFont="1" applyFill="1" applyBorder="1" applyAlignment="1">
      <alignment horizontal="center" vertical="center"/>
    </xf>
    <xf numFmtId="3" fontId="7" fillId="0" borderId="29" xfId="0" applyNumberFormat="1" applyFont="1" applyFill="1" applyBorder="1" applyAlignment="1">
      <alignment horizontal="center" vertical="center"/>
    </xf>
    <xf numFmtId="3" fontId="8" fillId="0" borderId="8" xfId="0" applyNumberFormat="1" applyFont="1" applyFill="1" applyBorder="1" applyAlignment="1">
      <alignment horizontal="center" vertical="center"/>
    </xf>
    <xf numFmtId="3" fontId="8" fillId="0" borderId="10" xfId="0" applyNumberFormat="1" applyFont="1" applyFill="1" applyBorder="1" applyAlignment="1">
      <alignment horizontal="center" vertical="center"/>
    </xf>
    <xf numFmtId="0" fontId="8" fillId="5" borderId="21" xfId="0" applyFont="1" applyFill="1" applyBorder="1" applyAlignment="1">
      <alignment horizontal="center" vertical="center" wrapText="1"/>
    </xf>
    <xf numFmtId="0" fontId="7" fillId="0" borderId="20" xfId="0" applyFont="1" applyFill="1" applyBorder="1" applyAlignment="1">
      <alignment horizontal="center"/>
    </xf>
    <xf numFmtId="0" fontId="7" fillId="0" borderId="20" xfId="0" applyFont="1" applyFill="1" applyBorder="1" applyAlignment="1"/>
    <xf numFmtId="3" fontId="7" fillId="0" borderId="20" xfId="0" applyNumberFormat="1" applyFont="1" applyFill="1" applyBorder="1"/>
    <xf numFmtId="0" fontId="7" fillId="0" borderId="18" xfId="0" applyFont="1" applyFill="1" applyBorder="1" applyAlignment="1">
      <alignment horizontal="center"/>
    </xf>
    <xf numFmtId="0" fontId="7" fillId="0" borderId="18" xfId="0" applyFont="1" applyFill="1" applyBorder="1" applyAlignment="1"/>
    <xf numFmtId="3" fontId="7" fillId="0" borderId="18" xfId="0" applyNumberFormat="1" applyFont="1" applyBorder="1"/>
    <xf numFmtId="3" fontId="7" fillId="0" borderId="18" xfId="0" applyNumberFormat="1" applyFont="1" applyFill="1" applyBorder="1"/>
    <xf numFmtId="0" fontId="7" fillId="0" borderId="0" xfId="0" applyFont="1" applyAlignment="1">
      <alignment horizontal="center"/>
    </xf>
    <xf numFmtId="3" fontId="8" fillId="0" borderId="18" xfId="0" applyNumberFormat="1" applyFont="1" applyBorder="1"/>
    <xf numFmtId="3" fontId="7" fillId="0" borderId="22" xfId="0" applyNumberFormat="1" applyFont="1" applyFill="1" applyBorder="1"/>
    <xf numFmtId="0" fontId="7" fillId="0" borderId="0" xfId="0" applyFont="1"/>
    <xf numFmtId="0" fontId="34" fillId="0" borderId="0" xfId="0" applyFont="1" applyFill="1" applyBorder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0" borderId="19" xfId="0" applyFont="1" applyFill="1" applyBorder="1"/>
    <xf numFmtId="0" fontId="7" fillId="0" borderId="0" xfId="0" applyFont="1" applyFill="1"/>
    <xf numFmtId="0" fontId="7" fillId="0" borderId="19" xfId="0" applyFont="1" applyBorder="1"/>
    <xf numFmtId="3" fontId="7" fillId="0" borderId="23" xfId="0" applyNumberFormat="1" applyFont="1" applyBorder="1"/>
    <xf numFmtId="3" fontId="7" fillId="0" borderId="23" xfId="0" applyNumberFormat="1" applyFont="1" applyFill="1" applyBorder="1"/>
    <xf numFmtId="3" fontId="7" fillId="0" borderId="0" xfId="0" applyNumberFormat="1" applyFont="1"/>
    <xf numFmtId="0" fontId="19" fillId="2" borderId="11" xfId="0" applyNumberFormat="1" applyFont="1" applyFill="1" applyBorder="1" applyAlignment="1">
      <alignment horizontal="center" vertical="center"/>
    </xf>
    <xf numFmtId="0" fontId="2" fillId="0" borderId="0" xfId="0" applyFont="1" applyBorder="1"/>
    <xf numFmtId="0" fontId="2" fillId="0" borderId="0" xfId="0" applyFont="1"/>
    <xf numFmtId="0" fontId="36" fillId="2" borderId="31" xfId="0" applyFont="1" applyFill="1" applyBorder="1" applyAlignment="1">
      <alignment vertical="center"/>
    </xf>
    <xf numFmtId="0" fontId="36" fillId="2" borderId="30" xfId="0" applyFont="1" applyFill="1" applyBorder="1" applyAlignment="1">
      <alignment vertical="center"/>
    </xf>
    <xf numFmtId="0" fontId="36" fillId="2" borderId="22" xfId="0" applyFont="1" applyFill="1" applyBorder="1" applyAlignment="1">
      <alignment horizontal="center" vertical="center"/>
    </xf>
    <xf numFmtId="0" fontId="2" fillId="0" borderId="0" xfId="0" applyFont="1" applyAlignment="1">
      <alignment vertical="center"/>
    </xf>
    <xf numFmtId="0" fontId="2" fillId="0" borderId="0" xfId="0" applyNumberFormat="1" applyFont="1" applyBorder="1" applyAlignment="1">
      <alignment horizontal="center"/>
    </xf>
    <xf numFmtId="0" fontId="2" fillId="0" borderId="0" xfId="0" applyNumberFormat="1" applyFont="1" applyAlignment="1">
      <alignment horizontal="center"/>
    </xf>
    <xf numFmtId="0" fontId="1" fillId="3" borderId="0" xfId="4" applyFill="1"/>
    <xf numFmtId="0" fontId="1" fillId="3" borderId="0" xfId="4" applyFill="1" applyAlignment="1">
      <alignment horizontal="center"/>
    </xf>
    <xf numFmtId="0" fontId="1" fillId="3" borderId="0" xfId="4" applyFill="1" applyBorder="1"/>
    <xf numFmtId="0" fontId="1" fillId="3" borderId="0" xfId="4" applyFill="1" applyBorder="1" applyAlignment="1">
      <alignment horizontal="center"/>
    </xf>
    <xf numFmtId="0" fontId="25" fillId="3" borderId="0" xfId="4" applyFont="1" applyFill="1" applyBorder="1" applyAlignment="1">
      <alignment horizontal="left"/>
    </xf>
    <xf numFmtId="0" fontId="25" fillId="3" borderId="0" xfId="4" applyFont="1" applyFill="1" applyBorder="1" applyAlignment="1">
      <alignment horizontal="left" indent="2"/>
    </xf>
    <xf numFmtId="0" fontId="26" fillId="3" borderId="0" xfId="4" applyFont="1" applyFill="1"/>
    <xf numFmtId="0" fontId="27" fillId="3" borderId="0" xfId="4" applyFont="1" applyFill="1" applyAlignment="1">
      <alignment vertical="top" wrapText="1"/>
    </xf>
    <xf numFmtId="0" fontId="1" fillId="3" borderId="0" xfId="4" applyFill="1" applyAlignment="1">
      <alignment vertical="top" wrapText="1"/>
    </xf>
    <xf numFmtId="0" fontId="28" fillId="3" borderId="0" xfId="4" applyFont="1" applyFill="1"/>
    <xf numFmtId="0" fontId="29" fillId="3" borderId="0" xfId="4" applyFont="1" applyFill="1" applyAlignment="1">
      <alignment wrapText="1"/>
    </xf>
    <xf numFmtId="0" fontId="30" fillId="3" borderId="0" xfId="4" applyFont="1" applyFill="1"/>
    <xf numFmtId="0" fontId="4" fillId="0" borderId="0" xfId="0" applyFont="1" applyBorder="1"/>
    <xf numFmtId="0" fontId="4" fillId="0" borderId="0" xfId="0" applyFont="1"/>
    <xf numFmtId="0" fontId="7" fillId="3" borderId="0" xfId="0" applyFont="1" applyFill="1"/>
    <xf numFmtId="9" fontId="7" fillId="0" borderId="7" xfId="3" applyNumberFormat="1" applyFont="1" applyFill="1" applyBorder="1" applyAlignment="1">
      <alignment horizontal="center" vertical="center"/>
    </xf>
    <xf numFmtId="9" fontId="7" fillId="0" borderId="8" xfId="3" applyNumberFormat="1" applyFont="1" applyFill="1" applyBorder="1" applyAlignment="1">
      <alignment horizontal="center" vertical="center"/>
    </xf>
    <xf numFmtId="3" fontId="7" fillId="0" borderId="9" xfId="1" applyNumberFormat="1" applyFont="1" applyFill="1" applyBorder="1" applyAlignment="1">
      <alignment horizontal="center" vertical="center"/>
    </xf>
    <xf numFmtId="3" fontId="7" fillId="0" borderId="36" xfId="1" applyNumberFormat="1" applyFont="1" applyFill="1" applyBorder="1" applyAlignment="1">
      <alignment horizontal="center" vertical="center"/>
    </xf>
    <xf numFmtId="3" fontId="7" fillId="0" borderId="35" xfId="0" applyNumberFormat="1" applyFont="1" applyFill="1" applyBorder="1" applyAlignment="1">
      <alignment horizontal="center"/>
    </xf>
    <xf numFmtId="3" fontId="7" fillId="0" borderId="37" xfId="1" applyNumberFormat="1" applyFont="1" applyFill="1" applyBorder="1" applyAlignment="1">
      <alignment horizontal="center" vertical="center"/>
    </xf>
    <xf numFmtId="3" fontId="7" fillId="0" borderId="35" xfId="1" applyNumberFormat="1" applyFont="1" applyFill="1" applyBorder="1" applyAlignment="1">
      <alignment horizontal="center" vertical="center"/>
    </xf>
    <xf numFmtId="0" fontId="10" fillId="0" borderId="0" xfId="0" applyNumberFormat="1" applyFont="1" applyFill="1" applyBorder="1" applyAlignment="1">
      <alignment horizontal="center" vertical="center"/>
    </xf>
    <xf numFmtId="1" fontId="10" fillId="0" borderId="0" xfId="0" applyNumberFormat="1" applyFont="1" applyFill="1" applyBorder="1" applyAlignment="1">
      <alignment horizontal="center" vertical="center"/>
    </xf>
    <xf numFmtId="3" fontId="7" fillId="0" borderId="0" xfId="0" applyNumberFormat="1" applyFont="1" applyFill="1" applyBorder="1" applyAlignment="1">
      <alignment vertical="center"/>
    </xf>
    <xf numFmtId="0" fontId="1" fillId="3" borderId="0" xfId="0" applyFont="1" applyFill="1" applyBorder="1" applyAlignment="1">
      <alignment vertical="center"/>
    </xf>
    <xf numFmtId="0" fontId="1" fillId="3" borderId="34" xfId="0" applyFont="1" applyFill="1" applyBorder="1" applyAlignment="1">
      <alignment vertical="center"/>
    </xf>
    <xf numFmtId="0" fontId="1" fillId="3" borderId="32" xfId="0" applyNumberFormat="1" applyFont="1" applyFill="1" applyBorder="1" applyAlignment="1">
      <alignment horizontal="center" vertical="center"/>
    </xf>
    <xf numFmtId="0" fontId="1" fillId="3" borderId="33" xfId="0" applyNumberFormat="1" applyFont="1" applyFill="1" applyBorder="1" applyAlignment="1">
      <alignment horizontal="center" vertical="center"/>
    </xf>
    <xf numFmtId="0" fontId="2" fillId="3" borderId="0" xfId="0" applyFont="1" applyFill="1" applyBorder="1" applyAlignment="1">
      <alignment vertical="center"/>
    </xf>
    <xf numFmtId="0" fontId="6" fillId="3" borderId="0" xfId="0" applyFont="1" applyFill="1" applyBorder="1" applyAlignment="1"/>
    <xf numFmtId="0" fontId="21" fillId="3" borderId="0" xfId="0" applyFont="1" applyFill="1" applyBorder="1" applyAlignment="1"/>
    <xf numFmtId="0" fontId="4" fillId="3" borderId="0" xfId="0" applyFont="1" applyFill="1" applyBorder="1" applyAlignment="1">
      <alignment vertical="center"/>
    </xf>
    <xf numFmtId="0" fontId="22" fillId="0" borderId="0" xfId="0" applyFont="1" applyFill="1" applyBorder="1" applyAlignment="1"/>
    <xf numFmtId="0" fontId="23" fillId="3" borderId="0" xfId="0" applyFont="1" applyFill="1" applyBorder="1" applyAlignment="1"/>
    <xf numFmtId="0" fontId="22" fillId="3" borderId="0" xfId="0" applyFont="1" applyFill="1" applyBorder="1" applyAlignment="1"/>
    <xf numFmtId="17" fontId="9" fillId="0" borderId="0" xfId="0" applyNumberFormat="1" applyFont="1" applyFill="1" applyBorder="1" applyAlignment="1">
      <alignment horizontal="center" vertical="center"/>
    </xf>
    <xf numFmtId="0" fontId="1" fillId="3" borderId="0" xfId="0" applyFont="1" applyFill="1" applyBorder="1"/>
    <xf numFmtId="0" fontId="7" fillId="3" borderId="0" xfId="0" applyFont="1" applyFill="1" applyBorder="1" applyAlignment="1">
      <alignment horizontal="center"/>
    </xf>
    <xf numFmtId="0" fontId="7" fillId="3" borderId="0" xfId="0" applyFont="1" applyFill="1" applyBorder="1"/>
    <xf numFmtId="0" fontId="7" fillId="0" borderId="34" xfId="0" applyFont="1" applyBorder="1"/>
    <xf numFmtId="49" fontId="12" fillId="3" borderId="0" xfId="0" applyNumberFormat="1" applyFont="1" applyFill="1" applyBorder="1" applyAlignment="1">
      <alignment horizontal="right"/>
    </xf>
    <xf numFmtId="0" fontId="6" fillId="3" borderId="0" xfId="0" applyFont="1" applyFill="1" applyBorder="1" applyAlignment="1">
      <alignment horizontal="right"/>
    </xf>
    <xf numFmtId="3" fontId="7" fillId="0" borderId="38" xfId="0" applyNumberFormat="1" applyFont="1" applyFill="1" applyBorder="1" applyAlignment="1">
      <alignment horizontal="center" vertical="center"/>
    </xf>
    <xf numFmtId="3" fontId="7" fillId="0" borderId="39" xfId="0" applyNumberFormat="1" applyFont="1" applyFill="1" applyBorder="1" applyAlignment="1">
      <alignment horizontal="center" vertical="center"/>
    </xf>
    <xf numFmtId="3" fontId="8" fillId="0" borderId="38" xfId="0" applyNumberFormat="1" applyFont="1" applyFill="1" applyBorder="1" applyAlignment="1">
      <alignment horizontal="center" vertical="center"/>
    </xf>
    <xf numFmtId="0" fontId="17" fillId="2" borderId="28" xfId="0" applyNumberFormat="1" applyFont="1" applyFill="1" applyBorder="1" applyAlignment="1">
      <alignment horizontal="center" vertical="center"/>
    </xf>
    <xf numFmtId="1" fontId="7" fillId="0" borderId="38" xfId="0" applyNumberFormat="1" applyFont="1" applyFill="1" applyBorder="1" applyAlignment="1">
      <alignment horizontal="center" vertical="center"/>
    </xf>
    <xf numFmtId="1" fontId="7" fillId="0" borderId="40" xfId="3" applyNumberFormat="1" applyFont="1" applyFill="1" applyBorder="1" applyAlignment="1">
      <alignment horizontal="center" vertical="center"/>
    </xf>
    <xf numFmtId="9" fontId="7" fillId="0" borderId="40" xfId="3" applyNumberFormat="1" applyFont="1" applyFill="1" applyBorder="1" applyAlignment="1">
      <alignment horizontal="center" vertical="center"/>
    </xf>
    <xf numFmtId="9" fontId="7" fillId="0" borderId="39" xfId="3" applyNumberFormat="1" applyFont="1" applyFill="1" applyBorder="1" applyAlignment="1">
      <alignment horizontal="center" vertical="center"/>
    </xf>
    <xf numFmtId="3" fontId="8" fillId="0" borderId="40" xfId="0" applyNumberFormat="1" applyFont="1" applyFill="1" applyBorder="1" applyAlignment="1">
      <alignment horizontal="center" vertical="center"/>
    </xf>
    <xf numFmtId="3" fontId="8" fillId="0" borderId="39" xfId="0" applyNumberFormat="1" applyFont="1" applyFill="1" applyBorder="1" applyAlignment="1">
      <alignment horizontal="center" vertical="center"/>
    </xf>
    <xf numFmtId="17" fontId="3" fillId="3" borderId="17" xfId="0" applyNumberFormat="1" applyFont="1" applyFill="1" applyBorder="1" applyAlignment="1">
      <alignment horizontal="center" vertical="center"/>
    </xf>
    <xf numFmtId="0" fontId="22" fillId="3" borderId="0" xfId="0" applyFont="1" applyFill="1" applyBorder="1" applyAlignment="1">
      <alignment horizontal="right"/>
    </xf>
    <xf numFmtId="3" fontId="7" fillId="0" borderId="13" xfId="0" applyNumberFormat="1" applyFont="1" applyFill="1" applyBorder="1" applyAlignment="1">
      <alignment horizontal="center" vertical="center"/>
    </xf>
    <xf numFmtId="3" fontId="7" fillId="0" borderId="41" xfId="0" applyNumberFormat="1" applyFont="1" applyFill="1" applyBorder="1" applyAlignment="1">
      <alignment horizontal="center" vertical="center"/>
    </xf>
    <xf numFmtId="3" fontId="7" fillId="0" borderId="14" xfId="0" applyNumberFormat="1" applyFont="1" applyFill="1" applyBorder="1" applyAlignment="1">
      <alignment horizontal="center" vertical="center"/>
    </xf>
    <xf numFmtId="3" fontId="8" fillId="0" borderId="14" xfId="0" applyNumberFormat="1" applyFont="1" applyFill="1" applyBorder="1" applyAlignment="1">
      <alignment horizontal="center" vertical="center"/>
    </xf>
    <xf numFmtId="3" fontId="7" fillId="0" borderId="42" xfId="1" applyNumberFormat="1" applyFont="1" applyFill="1" applyBorder="1" applyAlignment="1">
      <alignment horizontal="center" vertical="center"/>
    </xf>
    <xf numFmtId="1" fontId="7" fillId="0" borderId="13" xfId="0" applyNumberFormat="1" applyFont="1" applyFill="1" applyBorder="1" applyAlignment="1">
      <alignment horizontal="center" vertical="center"/>
    </xf>
    <xf numFmtId="1" fontId="7" fillId="0" borderId="14" xfId="3" applyNumberFormat="1" applyFont="1" applyFill="1" applyBorder="1" applyAlignment="1">
      <alignment horizontal="center" vertical="center"/>
    </xf>
    <xf numFmtId="9" fontId="7" fillId="0" borderId="41" xfId="3" applyNumberFormat="1" applyFont="1" applyFill="1" applyBorder="1" applyAlignment="1">
      <alignment horizontal="center" vertical="center"/>
    </xf>
    <xf numFmtId="3" fontId="8" fillId="0" borderId="13" xfId="0" applyNumberFormat="1" applyFont="1" applyFill="1" applyBorder="1" applyAlignment="1">
      <alignment horizontal="center" vertical="center"/>
    </xf>
    <xf numFmtId="3" fontId="8" fillId="0" borderId="41" xfId="0" applyNumberFormat="1" applyFont="1" applyFill="1" applyBorder="1" applyAlignment="1">
      <alignment horizontal="center" vertical="center"/>
    </xf>
    <xf numFmtId="3" fontId="7" fillId="0" borderId="43" xfId="0" applyNumberFormat="1" applyFont="1" applyFill="1" applyBorder="1" applyAlignment="1">
      <alignment horizontal="center" vertical="center"/>
    </xf>
    <xf numFmtId="0" fontId="12" fillId="3" borderId="0" xfId="0" applyFont="1" applyFill="1" applyBorder="1" applyAlignment="1">
      <alignment horizontal="right"/>
    </xf>
    <xf numFmtId="3" fontId="7" fillId="0" borderId="44" xfId="0" applyNumberFormat="1" applyFont="1" applyFill="1" applyBorder="1" applyAlignment="1">
      <alignment horizontal="center" vertical="center"/>
    </xf>
    <xf numFmtId="3" fontId="7" fillId="0" borderId="45" xfId="0" applyNumberFormat="1" applyFont="1" applyFill="1" applyBorder="1" applyAlignment="1">
      <alignment horizontal="center" vertical="center"/>
    </xf>
    <xf numFmtId="3" fontId="8" fillId="0" borderId="46" xfId="0" applyNumberFormat="1" applyFont="1" applyFill="1" applyBorder="1" applyAlignment="1">
      <alignment horizontal="center" vertical="center"/>
    </xf>
    <xf numFmtId="3" fontId="7" fillId="0" borderId="47" xfId="0" applyNumberFormat="1" applyFont="1" applyFill="1" applyBorder="1" applyAlignment="1">
      <alignment horizontal="center" vertical="center"/>
    </xf>
    <xf numFmtId="3" fontId="7" fillId="0" borderId="46" xfId="0" applyNumberFormat="1" applyFont="1" applyFill="1" applyBorder="1" applyAlignment="1">
      <alignment horizontal="center" vertical="center"/>
    </xf>
    <xf numFmtId="3" fontId="7" fillId="0" borderId="44" xfId="1" applyNumberFormat="1" applyFont="1" applyFill="1" applyBorder="1" applyAlignment="1">
      <alignment horizontal="center" vertical="center"/>
    </xf>
    <xf numFmtId="1" fontId="7" fillId="0" borderId="44" xfId="0" applyNumberFormat="1" applyFont="1" applyFill="1" applyBorder="1" applyAlignment="1">
      <alignment horizontal="center" vertical="center"/>
    </xf>
    <xf numFmtId="1" fontId="7" fillId="0" borderId="45" xfId="3" applyNumberFormat="1" applyFont="1" applyFill="1" applyBorder="1" applyAlignment="1">
      <alignment horizontal="center" vertical="center"/>
    </xf>
    <xf numFmtId="9" fontId="7" fillId="0" borderId="45" xfId="3" applyNumberFormat="1" applyFont="1" applyFill="1" applyBorder="1" applyAlignment="1">
      <alignment horizontal="center" vertical="center"/>
    </xf>
    <xf numFmtId="9" fontId="7" fillId="0" borderId="46" xfId="3" applyNumberFormat="1" applyFont="1" applyFill="1" applyBorder="1" applyAlignment="1">
      <alignment horizontal="center" vertical="center"/>
    </xf>
    <xf numFmtId="0" fontId="12" fillId="3" borderId="0" xfId="0" applyFont="1" applyFill="1" applyBorder="1" applyAlignment="1">
      <alignment horizontal="right"/>
    </xf>
    <xf numFmtId="49" fontId="7" fillId="0" borderId="7" xfId="0" applyNumberFormat="1" applyFont="1" applyFill="1" applyBorder="1" applyAlignment="1">
      <alignment horizontal="center" vertical="center"/>
    </xf>
    <xf numFmtId="49" fontId="7" fillId="0" borderId="10" xfId="0" applyNumberFormat="1" applyFont="1" applyFill="1" applyBorder="1" applyAlignment="1">
      <alignment horizontal="center" vertical="center"/>
    </xf>
    <xf numFmtId="49" fontId="7" fillId="0" borderId="18" xfId="0" applyNumberFormat="1" applyFont="1" applyFill="1" applyBorder="1" applyAlignment="1"/>
    <xf numFmtId="49" fontId="7" fillId="0" borderId="19" xfId="0" applyNumberFormat="1" applyFont="1" applyBorder="1"/>
    <xf numFmtId="49" fontId="1" fillId="3" borderId="0" xfId="0" applyNumberFormat="1" applyFont="1" applyFill="1" applyBorder="1" applyAlignment="1">
      <alignment vertical="center"/>
    </xf>
    <xf numFmtId="49" fontId="1" fillId="3" borderId="33" xfId="0" applyNumberFormat="1" applyFont="1" applyFill="1" applyBorder="1" applyAlignment="1">
      <alignment horizontal="center" vertical="center"/>
    </xf>
    <xf numFmtId="49" fontId="2" fillId="0" borderId="0" xfId="0" applyNumberFormat="1" applyFont="1" applyBorder="1" applyAlignment="1">
      <alignment vertical="center"/>
    </xf>
    <xf numFmtId="0" fontId="1" fillId="6" borderId="31" xfId="0" applyFont="1" applyFill="1" applyBorder="1" applyAlignment="1">
      <alignment vertical="center"/>
    </xf>
    <xf numFmtId="0" fontId="1" fillId="6" borderId="30" xfId="0" applyFont="1" applyFill="1" applyBorder="1" applyAlignment="1">
      <alignment vertical="center"/>
    </xf>
    <xf numFmtId="49" fontId="7" fillId="0" borderId="18" xfId="0" applyNumberFormat="1" applyFont="1" applyBorder="1" applyAlignment="1">
      <alignment horizontal="right"/>
    </xf>
    <xf numFmtId="49" fontId="7" fillId="0" borderId="23" xfId="0" applyNumberFormat="1" applyFont="1" applyBorder="1" applyAlignment="1">
      <alignment horizontal="right"/>
    </xf>
    <xf numFmtId="0" fontId="39" fillId="7" borderId="18" xfId="0" applyFont="1" applyFill="1" applyBorder="1" applyAlignment="1">
      <alignment horizontal="center" wrapText="1"/>
    </xf>
    <xf numFmtId="1" fontId="39" fillId="7" borderId="18" xfId="0" applyNumberFormat="1" applyFont="1" applyFill="1" applyBorder="1" applyAlignment="1">
      <alignment horizontal="center" wrapText="1"/>
    </xf>
    <xf numFmtId="0" fontId="40" fillId="7" borderId="0" xfId="0" applyNumberFormat="1" applyFont="1" applyFill="1" applyBorder="1" applyAlignment="1" applyProtection="1">
      <alignment horizontal="center" wrapText="1"/>
    </xf>
    <xf numFmtId="0" fontId="27" fillId="0" borderId="0" xfId="0" applyNumberFormat="1" applyFont="1" applyFill="1" applyBorder="1" applyAlignment="1" applyProtection="1">
      <alignment horizontal="center" wrapText="1"/>
    </xf>
    <xf numFmtId="165" fontId="41" fillId="0" borderId="0" xfId="0" applyNumberFormat="1" applyFont="1" applyAlignment="1">
      <alignment horizontal="center" vertical="center"/>
    </xf>
    <xf numFmtId="1" fontId="41" fillId="0" borderId="0" xfId="0" applyNumberFormat="1" applyFont="1" applyAlignment="1">
      <alignment horizontal="center" vertical="center"/>
    </xf>
    <xf numFmtId="0" fontId="41" fillId="0" borderId="0" xfId="0" applyFont="1" applyAlignment="1">
      <alignment horizontal="center" vertical="center"/>
    </xf>
    <xf numFmtId="0" fontId="41" fillId="0" borderId="0" xfId="0" applyFont="1" applyAlignment="1">
      <alignment vertical="center"/>
    </xf>
    <xf numFmtId="0" fontId="27" fillId="0" borderId="0" xfId="0" applyNumberFormat="1" applyFont="1" applyFill="1" applyBorder="1" applyAlignment="1" applyProtection="1">
      <alignment horizontal="center"/>
    </xf>
    <xf numFmtId="3" fontId="41" fillId="0" borderId="0" xfId="0" applyNumberFormat="1" applyFont="1" applyAlignment="1">
      <alignment horizontal="center" vertical="center"/>
    </xf>
    <xf numFmtId="166" fontId="41" fillId="0" borderId="0" xfId="0" applyNumberFormat="1" applyFont="1" applyAlignment="1">
      <alignment horizontal="right" vertical="center"/>
    </xf>
    <xf numFmtId="3" fontId="41" fillId="0" borderId="0" xfId="0" applyNumberFormat="1" applyFont="1" applyAlignment="1">
      <alignment horizontal="right" vertical="center"/>
    </xf>
    <xf numFmtId="0" fontId="27" fillId="0" borderId="0" xfId="0" applyNumberFormat="1" applyFont="1" applyFill="1" applyBorder="1" applyAlignment="1" applyProtection="1"/>
    <xf numFmtId="1" fontId="27" fillId="0" borderId="0" xfId="0" applyNumberFormat="1" applyFont="1" applyFill="1" applyBorder="1" applyAlignment="1" applyProtection="1">
      <alignment horizontal="center"/>
    </xf>
    <xf numFmtId="0" fontId="41" fillId="0" borderId="0" xfId="0" applyFont="1" applyAlignment="1">
      <alignment horizontal="left" vertical="center"/>
    </xf>
    <xf numFmtId="0" fontId="27" fillId="0" borderId="0" xfId="0" applyNumberFormat="1" applyFont="1" applyFill="1" applyBorder="1" applyAlignment="1" applyProtection="1">
      <alignment horizontal="left"/>
    </xf>
    <xf numFmtId="0" fontId="7" fillId="0" borderId="7" xfId="0" applyNumberFormat="1" applyFont="1" applyFill="1" applyBorder="1" applyAlignment="1">
      <alignment horizontal="center" vertical="center"/>
    </xf>
    <xf numFmtId="164" fontId="7" fillId="0" borderId="10" xfId="0" applyNumberFormat="1" applyFont="1" applyFill="1" applyBorder="1" applyAlignment="1">
      <alignment horizontal="center" vertical="center"/>
    </xf>
    <xf numFmtId="1" fontId="7" fillId="0" borderId="7" xfId="0" applyNumberFormat="1" applyFont="1" applyFill="1" applyBorder="1" applyAlignment="1">
      <alignment horizontal="center" vertical="center"/>
    </xf>
    <xf numFmtId="0" fontId="12" fillId="3" borderId="0" xfId="0" applyFont="1" applyFill="1" applyBorder="1" applyAlignment="1">
      <alignment horizontal="right"/>
    </xf>
    <xf numFmtId="0" fontId="2" fillId="3" borderId="24" xfId="0" applyFont="1" applyFill="1" applyBorder="1" applyAlignment="1">
      <alignment vertical="center"/>
    </xf>
    <xf numFmtId="0" fontId="6" fillId="3" borderId="48" xfId="0" applyFont="1" applyFill="1" applyBorder="1" applyAlignment="1"/>
    <xf numFmtId="0" fontId="2" fillId="3" borderId="48" xfId="0" applyFont="1" applyFill="1" applyBorder="1" applyAlignment="1">
      <alignment vertical="center"/>
    </xf>
    <xf numFmtId="0" fontId="6" fillId="3" borderId="48" xfId="0" applyFont="1" applyFill="1" applyBorder="1" applyAlignment="1">
      <alignment horizontal="right"/>
    </xf>
    <xf numFmtId="0" fontId="6" fillId="3" borderId="49" xfId="0" applyFont="1" applyFill="1" applyBorder="1" applyAlignment="1">
      <alignment horizontal="right"/>
    </xf>
    <xf numFmtId="0" fontId="2" fillId="3" borderId="50" xfId="0" applyFont="1" applyFill="1" applyBorder="1" applyAlignment="1">
      <alignment vertical="center"/>
    </xf>
    <xf numFmtId="0" fontId="12" fillId="3" borderId="51" xfId="0" applyFont="1" applyFill="1" applyBorder="1" applyAlignment="1">
      <alignment horizontal="right"/>
    </xf>
    <xf numFmtId="0" fontId="4" fillId="3" borderId="50" xfId="0" applyFont="1" applyFill="1" applyBorder="1" applyAlignment="1">
      <alignment vertical="center"/>
    </xf>
    <xf numFmtId="0" fontId="6" fillId="3" borderId="51" xfId="0" applyFont="1" applyFill="1" applyBorder="1" applyAlignment="1">
      <alignment horizontal="right"/>
    </xf>
    <xf numFmtId="0" fontId="3" fillId="3" borderId="50" xfId="0" applyFont="1" applyFill="1" applyBorder="1" applyAlignment="1">
      <alignment horizontal="center" vertical="center"/>
    </xf>
    <xf numFmtId="17" fontId="3" fillId="3" borderId="52" xfId="0" applyNumberFormat="1" applyFont="1" applyFill="1" applyBorder="1" applyAlignment="1">
      <alignment horizontal="center" vertical="center"/>
    </xf>
    <xf numFmtId="1" fontId="7" fillId="0" borderId="53" xfId="0" applyNumberFormat="1" applyFont="1" applyFill="1" applyBorder="1" applyAlignment="1">
      <alignment horizontal="center" vertical="center"/>
    </xf>
    <xf numFmtId="164" fontId="7" fillId="0" borderId="53" xfId="0" applyNumberFormat="1" applyFont="1" applyFill="1" applyBorder="1" applyAlignment="1">
      <alignment horizontal="center" vertical="center"/>
    </xf>
    <xf numFmtId="164" fontId="7" fillId="0" borderId="54" xfId="0" applyNumberFormat="1" applyFont="1" applyFill="1" applyBorder="1" applyAlignment="1">
      <alignment horizontal="center" vertical="center"/>
    </xf>
    <xf numFmtId="0" fontId="37" fillId="3" borderId="0" xfId="4" applyFont="1" applyFill="1" applyAlignment="1">
      <alignment horizontal="center" wrapText="1"/>
    </xf>
    <xf numFmtId="0" fontId="1" fillId="3" borderId="0" xfId="4" applyFill="1" applyAlignment="1">
      <alignment vertical="top" wrapText="1"/>
    </xf>
    <xf numFmtId="49" fontId="38" fillId="3" borderId="0" xfId="4" applyNumberFormat="1" applyFont="1" applyFill="1" applyAlignment="1">
      <alignment horizontal="center"/>
    </xf>
    <xf numFmtId="0" fontId="1" fillId="3" borderId="0" xfId="4" applyFont="1" applyFill="1" applyAlignment="1">
      <alignment horizontal="right"/>
    </xf>
    <xf numFmtId="0" fontId="12" fillId="3" borderId="0" xfId="0" applyFont="1" applyFill="1" applyBorder="1" applyAlignment="1">
      <alignment horizontal="right"/>
    </xf>
    <xf numFmtId="17" fontId="35" fillId="3" borderId="0" xfId="0" applyNumberFormat="1" applyFont="1" applyFill="1" applyBorder="1" applyAlignment="1">
      <alignment horizontal="center"/>
    </xf>
    <xf numFmtId="17" fontId="6" fillId="3" borderId="30" xfId="0" applyNumberFormat="1" applyFont="1" applyFill="1" applyBorder="1" applyAlignment="1">
      <alignment horizontal="center" vertical="top"/>
    </xf>
    <xf numFmtId="0" fontId="31" fillId="4" borderId="18" xfId="0" applyFont="1" applyFill="1" applyBorder="1" applyAlignment="1">
      <alignment horizontal="center"/>
    </xf>
    <xf numFmtId="0" fontId="31" fillId="4" borderId="26" xfId="0" applyFont="1" applyFill="1" applyBorder="1" applyAlignment="1">
      <alignment horizontal="center"/>
    </xf>
    <xf numFmtId="0" fontId="31" fillId="4" borderId="27" xfId="0" applyFont="1" applyFill="1" applyBorder="1" applyAlignment="1">
      <alignment horizontal="center"/>
    </xf>
    <xf numFmtId="0" fontId="31" fillId="4" borderId="23" xfId="0" applyFont="1" applyFill="1" applyBorder="1" applyAlignment="1">
      <alignment horizontal="center"/>
    </xf>
  </cellXfs>
  <cellStyles count="7">
    <cellStyle name="Comma" xfId="1" builtinId="3"/>
    <cellStyle name="Normal" xfId="0" builtinId="0"/>
    <cellStyle name="Normal 2" xfId="4"/>
    <cellStyle name="Normal 3" xfId="5"/>
    <cellStyle name="Normal 4" xfId="6"/>
    <cellStyle name="Normal_Sheet1" xfId="2"/>
    <cellStyle name="Percent" xfId="3" builtinId="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FDBF72"/>
      <color rgb="FFBE1E2D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styles" Target="style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emf"/><Relationship Id="rId6" Type="http://schemas.openxmlformats.org/officeDocument/2006/relationships/image" Target="../media/image6.jpeg"/><Relationship Id="rId5" Type="http://schemas.openxmlformats.org/officeDocument/2006/relationships/image" Target="../media/image5.emf"/><Relationship Id="rId4" Type="http://schemas.openxmlformats.org/officeDocument/2006/relationships/image" Target="../media/image4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571500</xdr:colOff>
      <xdr:row>0</xdr:row>
      <xdr:rowOff>0</xdr:rowOff>
    </xdr:from>
    <xdr:to>
      <xdr:col>4</xdr:col>
      <xdr:colOff>561975</xdr:colOff>
      <xdr:row>3</xdr:row>
      <xdr:rowOff>104775</xdr:rowOff>
    </xdr:to>
    <xdr:sp macro="" textlink="">
      <xdr:nvSpPr>
        <xdr:cNvPr id="2" name="Rectangle 1"/>
        <xdr:cNvSpPr>
          <a:spLocks noChangeArrowheads="1"/>
        </xdr:cNvSpPr>
      </xdr:nvSpPr>
      <xdr:spPr bwMode="auto">
        <a:xfrm>
          <a:off x="571500" y="304800"/>
          <a:ext cx="6172200" cy="581025"/>
        </a:xfrm>
        <a:prstGeom prst="rect">
          <a:avLst/>
        </a:prstGeom>
        <a:solidFill>
          <a:srgbClr val="BE1E2D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952500</xdr:colOff>
      <xdr:row>2</xdr:row>
      <xdr:rowOff>104775</xdr:rowOff>
    </xdr:from>
    <xdr:to>
      <xdr:col>4</xdr:col>
      <xdr:colOff>276225</xdr:colOff>
      <xdr:row>7</xdr:row>
      <xdr:rowOff>57150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63420" t="5997" r="15875" b="-1724"/>
        <a:stretch>
          <a:fillRect/>
        </a:stretch>
      </xdr:blipFill>
      <xdr:spPr bwMode="auto">
        <a:xfrm>
          <a:off x="5038725" y="733425"/>
          <a:ext cx="1419225" cy="714375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pic>
    <xdr:clientData/>
  </xdr:twoCellAnchor>
  <xdr:twoCellAnchor>
    <xdr:from>
      <xdr:col>0</xdr:col>
      <xdr:colOff>25977</xdr:colOff>
      <xdr:row>0</xdr:row>
      <xdr:rowOff>0</xdr:rowOff>
    </xdr:from>
    <xdr:to>
      <xdr:col>0</xdr:col>
      <xdr:colOff>1350818</xdr:colOff>
      <xdr:row>51</xdr:row>
      <xdr:rowOff>155863</xdr:rowOff>
    </xdr:to>
    <xdr:sp macro="" textlink="">
      <xdr:nvSpPr>
        <xdr:cNvPr id="4" name="Text Box 3"/>
        <xdr:cNvSpPr txBox="1">
          <a:spLocks noChangeArrowheads="1"/>
        </xdr:cNvSpPr>
      </xdr:nvSpPr>
      <xdr:spPr bwMode="auto">
        <a:xfrm>
          <a:off x="25977" y="307397"/>
          <a:ext cx="1324841" cy="9286875"/>
        </a:xfrm>
        <a:prstGeom prst="rect">
          <a:avLst/>
        </a:prstGeom>
        <a:gradFill flip="none" rotWithShape="1">
          <a:gsLst>
            <a:gs pos="0">
              <a:srgbClr val="BE1E2D"/>
            </a:gs>
            <a:gs pos="17999">
              <a:srgbClr val="FEE7F2"/>
            </a:gs>
            <a:gs pos="36000">
              <a:srgbClr val="FAC77D"/>
            </a:gs>
            <a:gs pos="61000">
              <a:srgbClr val="FBA97D"/>
            </a:gs>
            <a:gs pos="82001">
              <a:srgbClr val="FBD49C"/>
            </a:gs>
            <a:gs pos="100000">
              <a:srgbClr val="FEE7F2"/>
            </a:gs>
          </a:gsLst>
          <a:lin ang="0" scaled="0"/>
          <a:tileRect/>
        </a:gradFill>
        <a:ln w="9525">
          <a:noFill/>
          <a:miter lim="800000"/>
          <a:headEnd/>
          <a:tailEnd/>
        </a:ln>
      </xdr:spPr>
      <xdr:txBody>
        <a:bodyPr vertOverflow="clip" vert="vert270" wrap="square" lIns="64008" tIns="50292" rIns="64008" bIns="50292" anchor="ctr" upright="1"/>
        <a:lstStyle/>
        <a:p>
          <a:pPr algn="l" rtl="0">
            <a:defRPr sz="1000"/>
          </a:pPr>
          <a:r>
            <a:rPr lang="en-US" sz="3000" b="0" i="0" u="none" strike="noStrike" baseline="0">
              <a:solidFill>
                <a:srgbClr val="FFFFFF"/>
              </a:solidFill>
              <a:latin typeface="Arial"/>
              <a:cs typeface="Arial"/>
            </a:rPr>
            <a:t>          </a:t>
          </a:r>
          <a:r>
            <a:rPr lang="en-US" sz="3000" b="0" i="0" u="none" strike="noStrike" baseline="0">
              <a:solidFill>
                <a:srgbClr val="FFFFFF"/>
              </a:solidFill>
              <a:latin typeface="+mn-lt"/>
              <a:cs typeface="Arial"/>
            </a:rPr>
            <a:t>San Francisco Red Light Camera Program</a:t>
          </a:r>
        </a:p>
      </xdr:txBody>
    </xdr:sp>
    <xdr:clientData/>
  </xdr:twoCellAnchor>
  <xdr:twoCellAnchor editAs="oneCell">
    <xdr:from>
      <xdr:col>1</xdr:col>
      <xdr:colOff>1647825</xdr:colOff>
      <xdr:row>2</xdr:row>
      <xdr:rowOff>104775</xdr:rowOff>
    </xdr:from>
    <xdr:to>
      <xdr:col>2</xdr:col>
      <xdr:colOff>933450</xdr:colOff>
      <xdr:row>7</xdr:row>
      <xdr:rowOff>38100</xdr:rowOff>
    </xdr:to>
    <xdr:pic>
      <xdr:nvPicPr>
        <xdr:cNvPr id="6" name="Picture 12" descr="p_010329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t="12408" b="16788"/>
        <a:stretch>
          <a:fillRect/>
        </a:stretch>
      </xdr:blipFill>
      <xdr:spPr bwMode="auto">
        <a:xfrm>
          <a:off x="3667125" y="733425"/>
          <a:ext cx="1352550" cy="695325"/>
        </a:xfrm>
        <a:prstGeom prst="rect">
          <a:avLst/>
        </a:prstGeom>
        <a:noFill/>
        <a:ln w="9525">
          <a:solidFill>
            <a:srgbClr val="FFFFFF"/>
          </a:solidFill>
          <a:miter lim="800000"/>
          <a:headEnd/>
          <a:tailEnd/>
        </a:ln>
      </xdr:spPr>
    </xdr:pic>
    <xdr:clientData/>
  </xdr:twoCellAnchor>
  <xdr:twoCellAnchor editAs="oneCell">
    <xdr:from>
      <xdr:col>1</xdr:col>
      <xdr:colOff>600075</xdr:colOff>
      <xdr:row>2</xdr:row>
      <xdr:rowOff>104775</xdr:rowOff>
    </xdr:from>
    <xdr:to>
      <xdr:col>1</xdr:col>
      <xdr:colOff>1638300</xdr:colOff>
      <xdr:row>7</xdr:row>
      <xdr:rowOff>38100</xdr:rowOff>
    </xdr:to>
    <xdr:pic>
      <xdr:nvPicPr>
        <xdr:cNvPr id="7" name="Picture 13" descr="city+hall+exterior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619375" y="733425"/>
          <a:ext cx="1038225" cy="695325"/>
        </a:xfrm>
        <a:prstGeom prst="rect">
          <a:avLst/>
        </a:prstGeom>
        <a:noFill/>
        <a:ln w="9525">
          <a:solidFill>
            <a:srgbClr val="FFFFFF"/>
          </a:solidFill>
          <a:miter lim="800000"/>
          <a:headEnd/>
          <a:tailEnd/>
        </a:ln>
      </xdr:spPr>
    </xdr:pic>
    <xdr:clientData/>
  </xdr:twoCellAnchor>
  <xdr:twoCellAnchor editAs="oneCell">
    <xdr:from>
      <xdr:col>0</xdr:col>
      <xdr:colOff>1504950</xdr:colOff>
      <xdr:row>2</xdr:row>
      <xdr:rowOff>104775</xdr:rowOff>
    </xdr:from>
    <xdr:to>
      <xdr:col>1</xdr:col>
      <xdr:colOff>590550</xdr:colOff>
      <xdr:row>7</xdr:row>
      <xdr:rowOff>38100</xdr:rowOff>
    </xdr:to>
    <xdr:pic>
      <xdr:nvPicPr>
        <xdr:cNvPr id="8" name="Picture 14" descr="4218230575_c17dbf0fc1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504950" y="745548"/>
          <a:ext cx="1103168" cy="712643"/>
        </a:xfrm>
        <a:prstGeom prst="rect">
          <a:avLst/>
        </a:prstGeom>
        <a:noFill/>
        <a:ln w="9525">
          <a:solidFill>
            <a:srgbClr val="FFFFFF"/>
          </a:solidFill>
          <a:miter lim="800000"/>
          <a:headEnd/>
          <a:tailEnd/>
        </a:ln>
      </xdr:spPr>
    </xdr:pic>
    <xdr:clientData/>
  </xdr:twoCellAnchor>
  <xdr:twoCellAnchor editAs="oneCell">
    <xdr:from>
      <xdr:col>0</xdr:col>
      <xdr:colOff>1992170</xdr:colOff>
      <xdr:row>18</xdr:row>
      <xdr:rowOff>112568</xdr:rowOff>
    </xdr:from>
    <xdr:to>
      <xdr:col>4</xdr:col>
      <xdr:colOff>367144</xdr:colOff>
      <xdr:row>22</xdr:row>
      <xdr:rowOff>51954</xdr:rowOff>
    </xdr:to>
    <xdr:pic>
      <xdr:nvPicPr>
        <xdr:cNvPr id="9" name="Picture 1461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992170" y="3941618"/>
          <a:ext cx="4556699" cy="634712"/>
        </a:xfrm>
        <a:prstGeom prst="rect">
          <a:avLst/>
        </a:prstGeom>
        <a:noFill/>
      </xdr:spPr>
    </xdr:pic>
    <xdr:clientData/>
  </xdr:twoCellAnchor>
  <xdr:twoCellAnchor>
    <xdr:from>
      <xdr:col>2</xdr:col>
      <xdr:colOff>488158</xdr:colOff>
      <xdr:row>45</xdr:row>
      <xdr:rowOff>11906</xdr:rowOff>
    </xdr:from>
    <xdr:to>
      <xdr:col>4</xdr:col>
      <xdr:colOff>2383</xdr:colOff>
      <xdr:row>48</xdr:row>
      <xdr:rowOff>88107</xdr:rowOff>
    </xdr:to>
    <xdr:pic>
      <xdr:nvPicPr>
        <xdr:cNvPr id="6145" name="Picture 1" descr="https://jiratsg.acs-inc.com/jira/s/en_USg3bkcq/660/14/_/jira-logo-scaled.png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4583908" y="8191500"/>
          <a:ext cx="1609725" cy="5762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216475</xdr:colOff>
      <xdr:row>0</xdr:row>
      <xdr:rowOff>190500</xdr:rowOff>
    </xdr:from>
    <xdr:to>
      <xdr:col>0</xdr:col>
      <xdr:colOff>1313755</xdr:colOff>
      <xdr:row>2</xdr:row>
      <xdr:rowOff>132154</xdr:rowOff>
    </xdr:to>
    <xdr:pic>
      <xdr:nvPicPr>
        <xdr:cNvPr id="3" name="Picture 1" descr="https://jiratsg.acs-inc.com/jira/s/en_USg3bkcq/660/14/_/jira-logo-scaled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16475" y="190500"/>
          <a:ext cx="1097280" cy="39192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216475</xdr:colOff>
      <xdr:row>0</xdr:row>
      <xdr:rowOff>190500</xdr:rowOff>
    </xdr:from>
    <xdr:to>
      <xdr:col>0</xdr:col>
      <xdr:colOff>1313755</xdr:colOff>
      <xdr:row>2</xdr:row>
      <xdr:rowOff>132154</xdr:rowOff>
    </xdr:to>
    <xdr:pic>
      <xdr:nvPicPr>
        <xdr:cNvPr id="3" name="Picture 1" descr="https://jiratsg.acs-inc.com/jira/s/en_USg3bkcq/660/14/_/jira-logo-scaled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16475" y="190500"/>
          <a:ext cx="1097280" cy="39192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216475</xdr:colOff>
      <xdr:row>0</xdr:row>
      <xdr:rowOff>190500</xdr:rowOff>
    </xdr:from>
    <xdr:to>
      <xdr:col>0</xdr:col>
      <xdr:colOff>1313755</xdr:colOff>
      <xdr:row>2</xdr:row>
      <xdr:rowOff>132154</xdr:rowOff>
    </xdr:to>
    <xdr:pic>
      <xdr:nvPicPr>
        <xdr:cNvPr id="3" name="Picture 1" descr="https://jiratsg.acs-inc.com/jira/s/en_USg3bkcq/660/14/_/jira-logo-scaled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16475" y="190500"/>
          <a:ext cx="1097280" cy="39192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216475</xdr:colOff>
      <xdr:row>0</xdr:row>
      <xdr:rowOff>190500</xdr:rowOff>
    </xdr:from>
    <xdr:to>
      <xdr:col>0</xdr:col>
      <xdr:colOff>1313755</xdr:colOff>
      <xdr:row>2</xdr:row>
      <xdr:rowOff>132154</xdr:rowOff>
    </xdr:to>
    <xdr:pic>
      <xdr:nvPicPr>
        <xdr:cNvPr id="3" name="Picture 1" descr="https://jiratsg.acs-inc.com/jira/s/en_USg3bkcq/660/14/_/jira-logo-scaled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16475" y="190500"/>
          <a:ext cx="1097280" cy="39192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216475</xdr:colOff>
      <xdr:row>0</xdr:row>
      <xdr:rowOff>190500</xdr:rowOff>
    </xdr:from>
    <xdr:to>
      <xdr:col>0</xdr:col>
      <xdr:colOff>1313755</xdr:colOff>
      <xdr:row>2</xdr:row>
      <xdr:rowOff>132154</xdr:rowOff>
    </xdr:to>
    <xdr:pic>
      <xdr:nvPicPr>
        <xdr:cNvPr id="3" name="Picture 1" descr="https://jiratsg.acs-inc.com/jira/s/en_USg3bkcq/660/14/_/jira-logo-scaled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16475" y="190500"/>
          <a:ext cx="1097280" cy="39192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216477</xdr:colOff>
      <xdr:row>0</xdr:row>
      <xdr:rowOff>190502</xdr:rowOff>
    </xdr:from>
    <xdr:to>
      <xdr:col>0</xdr:col>
      <xdr:colOff>1313757</xdr:colOff>
      <xdr:row>2</xdr:row>
      <xdr:rowOff>132156</xdr:rowOff>
    </xdr:to>
    <xdr:pic>
      <xdr:nvPicPr>
        <xdr:cNvPr id="3" name="Picture 1" descr="https://jiratsg.acs-inc.com/jira/s/en_USg3bkcq/660/14/_/jira-logo-scaled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16477" y="190502"/>
          <a:ext cx="1097280" cy="39192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218209</xdr:colOff>
      <xdr:row>0</xdr:row>
      <xdr:rowOff>192233</xdr:rowOff>
    </xdr:from>
    <xdr:to>
      <xdr:col>0</xdr:col>
      <xdr:colOff>1315489</xdr:colOff>
      <xdr:row>2</xdr:row>
      <xdr:rowOff>133887</xdr:rowOff>
    </xdr:to>
    <xdr:pic>
      <xdr:nvPicPr>
        <xdr:cNvPr id="3" name="Picture 1" descr="https://jiratsg.acs-inc.com/jira/s/en_USg3bkcq/660/14/_/jira-logo-scaled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18209" y="192233"/>
          <a:ext cx="1097280" cy="39192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216477</xdr:colOff>
      <xdr:row>0</xdr:row>
      <xdr:rowOff>190499</xdr:rowOff>
    </xdr:from>
    <xdr:to>
      <xdr:col>0</xdr:col>
      <xdr:colOff>1313757</xdr:colOff>
      <xdr:row>2</xdr:row>
      <xdr:rowOff>132153</xdr:rowOff>
    </xdr:to>
    <xdr:pic>
      <xdr:nvPicPr>
        <xdr:cNvPr id="3" name="Picture 1" descr="https://jiratsg.acs-inc.com/jira/s/en_USg3bkcq/660/14/_/jira-logo-scaled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16477" y="190499"/>
          <a:ext cx="1097280" cy="39192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216475</xdr:colOff>
      <xdr:row>0</xdr:row>
      <xdr:rowOff>190500</xdr:rowOff>
    </xdr:from>
    <xdr:to>
      <xdr:col>0</xdr:col>
      <xdr:colOff>1313755</xdr:colOff>
      <xdr:row>2</xdr:row>
      <xdr:rowOff>132154</xdr:rowOff>
    </xdr:to>
    <xdr:pic>
      <xdr:nvPicPr>
        <xdr:cNvPr id="3" name="Picture 1" descr="https://jiratsg.acs-inc.com/jira/s/en_USg3bkcq/660/14/_/jira-logo-scaled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16475" y="190500"/>
          <a:ext cx="1097280" cy="39192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216479</xdr:colOff>
      <xdr:row>0</xdr:row>
      <xdr:rowOff>190499</xdr:rowOff>
    </xdr:from>
    <xdr:to>
      <xdr:col>0</xdr:col>
      <xdr:colOff>1313759</xdr:colOff>
      <xdr:row>2</xdr:row>
      <xdr:rowOff>132153</xdr:rowOff>
    </xdr:to>
    <xdr:pic>
      <xdr:nvPicPr>
        <xdr:cNvPr id="3" name="Picture 1" descr="https://jiratsg.acs-inc.com/jira/s/en_USg3bkcq/660/14/_/jira-logo-scaled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16479" y="190499"/>
          <a:ext cx="1097280" cy="39192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95251</xdr:colOff>
      <xdr:row>0</xdr:row>
      <xdr:rowOff>71438</xdr:rowOff>
    </xdr:from>
    <xdr:to>
      <xdr:col>0</xdr:col>
      <xdr:colOff>1704976</xdr:colOff>
      <xdr:row>3</xdr:row>
      <xdr:rowOff>30956</xdr:rowOff>
    </xdr:to>
    <xdr:pic>
      <xdr:nvPicPr>
        <xdr:cNvPr id="10241" name="Picture 1" descr="https://jiratsg.acs-inc.com/jira/s/en_USg3bkcq/660/14/_/jira-logo-scaled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5251" y="71438"/>
          <a:ext cx="1609725" cy="5667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216475</xdr:colOff>
      <xdr:row>0</xdr:row>
      <xdr:rowOff>190500</xdr:rowOff>
    </xdr:from>
    <xdr:to>
      <xdr:col>0</xdr:col>
      <xdr:colOff>1313755</xdr:colOff>
      <xdr:row>2</xdr:row>
      <xdr:rowOff>132154</xdr:rowOff>
    </xdr:to>
    <xdr:pic>
      <xdr:nvPicPr>
        <xdr:cNvPr id="3" name="Picture 1" descr="https://jiratsg.acs-inc.com/jira/s/en_USg3bkcq/660/14/_/jira-logo-scaled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16475" y="190500"/>
          <a:ext cx="1097280" cy="39192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216477</xdr:colOff>
      <xdr:row>0</xdr:row>
      <xdr:rowOff>190500</xdr:rowOff>
    </xdr:from>
    <xdr:to>
      <xdr:col>0</xdr:col>
      <xdr:colOff>1313757</xdr:colOff>
      <xdr:row>2</xdr:row>
      <xdr:rowOff>132154</xdr:rowOff>
    </xdr:to>
    <xdr:pic>
      <xdr:nvPicPr>
        <xdr:cNvPr id="3" name="Picture 1" descr="https://jiratsg.acs-inc.com/jira/s/en_USg3bkcq/660/14/_/jira-logo-scaled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16477" y="190500"/>
          <a:ext cx="1097280" cy="39192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216475</xdr:colOff>
      <xdr:row>0</xdr:row>
      <xdr:rowOff>190500</xdr:rowOff>
    </xdr:from>
    <xdr:to>
      <xdr:col>0</xdr:col>
      <xdr:colOff>1313755</xdr:colOff>
      <xdr:row>2</xdr:row>
      <xdr:rowOff>132154</xdr:rowOff>
    </xdr:to>
    <xdr:pic>
      <xdr:nvPicPr>
        <xdr:cNvPr id="3" name="Picture 1" descr="https://jiratsg.acs-inc.com/jira/s/en_USg3bkcq/660/14/_/jira-logo-scaled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16475" y="190500"/>
          <a:ext cx="1097280" cy="39192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216475</xdr:colOff>
      <xdr:row>0</xdr:row>
      <xdr:rowOff>190500</xdr:rowOff>
    </xdr:from>
    <xdr:to>
      <xdr:col>0</xdr:col>
      <xdr:colOff>1313755</xdr:colOff>
      <xdr:row>2</xdr:row>
      <xdr:rowOff>132154</xdr:rowOff>
    </xdr:to>
    <xdr:pic>
      <xdr:nvPicPr>
        <xdr:cNvPr id="3" name="Picture 1" descr="https://jiratsg.acs-inc.com/jira/s/en_USg3bkcq/660/14/_/jira-logo-scaled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16475" y="190500"/>
          <a:ext cx="1097280" cy="39192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216477</xdr:colOff>
      <xdr:row>0</xdr:row>
      <xdr:rowOff>190501</xdr:rowOff>
    </xdr:from>
    <xdr:to>
      <xdr:col>0</xdr:col>
      <xdr:colOff>1313757</xdr:colOff>
      <xdr:row>2</xdr:row>
      <xdr:rowOff>132155</xdr:rowOff>
    </xdr:to>
    <xdr:pic>
      <xdr:nvPicPr>
        <xdr:cNvPr id="3" name="Picture 1" descr="https://jiratsg.acs-inc.com/jira/s/en_USg3bkcq/660/14/_/jira-logo-scaled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16477" y="190501"/>
          <a:ext cx="1097280" cy="39192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216475</xdr:colOff>
      <xdr:row>0</xdr:row>
      <xdr:rowOff>190500</xdr:rowOff>
    </xdr:from>
    <xdr:to>
      <xdr:col>0</xdr:col>
      <xdr:colOff>1313755</xdr:colOff>
      <xdr:row>2</xdr:row>
      <xdr:rowOff>132154</xdr:rowOff>
    </xdr:to>
    <xdr:pic>
      <xdr:nvPicPr>
        <xdr:cNvPr id="3" name="Picture 1" descr="https://jiratsg.acs-inc.com/jira/s/en_USg3bkcq/660/14/_/jira-logo-scaled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16475" y="190500"/>
          <a:ext cx="1097280" cy="39192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216475</xdr:colOff>
      <xdr:row>0</xdr:row>
      <xdr:rowOff>190500</xdr:rowOff>
    </xdr:from>
    <xdr:to>
      <xdr:col>0</xdr:col>
      <xdr:colOff>1313755</xdr:colOff>
      <xdr:row>2</xdr:row>
      <xdr:rowOff>132154</xdr:rowOff>
    </xdr:to>
    <xdr:pic>
      <xdr:nvPicPr>
        <xdr:cNvPr id="3" name="Picture 1" descr="https://jiratsg.acs-inc.com/jira/s/en_USg3bkcq/660/14/_/jira-logo-scaled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16475" y="190500"/>
          <a:ext cx="1097280" cy="39192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216475</xdr:colOff>
      <xdr:row>0</xdr:row>
      <xdr:rowOff>190500</xdr:rowOff>
    </xdr:from>
    <xdr:to>
      <xdr:col>0</xdr:col>
      <xdr:colOff>1313755</xdr:colOff>
      <xdr:row>2</xdr:row>
      <xdr:rowOff>132154</xdr:rowOff>
    </xdr:to>
    <xdr:pic>
      <xdr:nvPicPr>
        <xdr:cNvPr id="3" name="Picture 1" descr="https://jiratsg.acs-inc.com/jira/s/en_USg3bkcq/660/14/_/jira-logo-scaled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16475" y="190500"/>
          <a:ext cx="1097280" cy="39192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216475</xdr:colOff>
      <xdr:row>0</xdr:row>
      <xdr:rowOff>190500</xdr:rowOff>
    </xdr:from>
    <xdr:to>
      <xdr:col>0</xdr:col>
      <xdr:colOff>1313755</xdr:colOff>
      <xdr:row>2</xdr:row>
      <xdr:rowOff>132154</xdr:rowOff>
    </xdr:to>
    <xdr:pic>
      <xdr:nvPicPr>
        <xdr:cNvPr id="3" name="Picture 1" descr="https://jiratsg.acs-inc.com/jira/s/en_USg3bkcq/660/14/_/jira-logo-scaled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16475" y="190500"/>
          <a:ext cx="1097280" cy="39192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216475</xdr:colOff>
      <xdr:row>0</xdr:row>
      <xdr:rowOff>190500</xdr:rowOff>
    </xdr:from>
    <xdr:to>
      <xdr:col>0</xdr:col>
      <xdr:colOff>1313755</xdr:colOff>
      <xdr:row>2</xdr:row>
      <xdr:rowOff>132154</xdr:rowOff>
    </xdr:to>
    <xdr:pic>
      <xdr:nvPicPr>
        <xdr:cNvPr id="3" name="Picture 1" descr="https://jiratsg.acs-inc.com/jira/s/en_USg3bkcq/660/14/_/jira-logo-scaled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16475" y="190500"/>
          <a:ext cx="1097280" cy="39192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0</xdr:row>
      <xdr:rowOff>66675</xdr:rowOff>
    </xdr:from>
    <xdr:to>
      <xdr:col>1</xdr:col>
      <xdr:colOff>1047750</xdr:colOff>
      <xdr:row>3</xdr:row>
      <xdr:rowOff>28575</xdr:rowOff>
    </xdr:to>
    <xdr:pic>
      <xdr:nvPicPr>
        <xdr:cNvPr id="11265" name="Picture 1" descr="https://jiratsg.acs-inc.com/jira/s/en_USg3bkcq/660/14/_/jira-logo-scaled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6675" y="66675"/>
          <a:ext cx="1609725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216475</xdr:colOff>
      <xdr:row>0</xdr:row>
      <xdr:rowOff>190500</xdr:rowOff>
    </xdr:from>
    <xdr:to>
      <xdr:col>0</xdr:col>
      <xdr:colOff>1313755</xdr:colOff>
      <xdr:row>2</xdr:row>
      <xdr:rowOff>132154</xdr:rowOff>
    </xdr:to>
    <xdr:pic>
      <xdr:nvPicPr>
        <xdr:cNvPr id="3" name="Picture 1" descr="https://jiratsg.acs-inc.com/jira/s/en_USg3bkcq/660/14/_/jira-logo-scaled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16475" y="190500"/>
          <a:ext cx="1097280" cy="39192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225137</xdr:colOff>
      <xdr:row>0</xdr:row>
      <xdr:rowOff>190501</xdr:rowOff>
    </xdr:from>
    <xdr:to>
      <xdr:col>0</xdr:col>
      <xdr:colOff>1322417</xdr:colOff>
      <xdr:row>2</xdr:row>
      <xdr:rowOff>132155</xdr:rowOff>
    </xdr:to>
    <xdr:pic>
      <xdr:nvPicPr>
        <xdr:cNvPr id="3" name="Picture 1" descr="https://jiratsg.acs-inc.com/jira/s/en_USg3bkcq/660/14/_/jira-logo-scaled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25137" y="190501"/>
          <a:ext cx="1097280" cy="39192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216478</xdr:colOff>
      <xdr:row>0</xdr:row>
      <xdr:rowOff>190501</xdr:rowOff>
    </xdr:from>
    <xdr:to>
      <xdr:col>0</xdr:col>
      <xdr:colOff>1313758</xdr:colOff>
      <xdr:row>2</xdr:row>
      <xdr:rowOff>132155</xdr:rowOff>
    </xdr:to>
    <xdr:pic>
      <xdr:nvPicPr>
        <xdr:cNvPr id="3" name="Picture 1" descr="https://jiratsg.acs-inc.com/jira/s/en_USg3bkcq/660/14/_/jira-logo-scaled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16478" y="190501"/>
          <a:ext cx="1097280" cy="39192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216475</xdr:colOff>
      <xdr:row>0</xdr:row>
      <xdr:rowOff>190500</xdr:rowOff>
    </xdr:from>
    <xdr:to>
      <xdr:col>0</xdr:col>
      <xdr:colOff>1313755</xdr:colOff>
      <xdr:row>2</xdr:row>
      <xdr:rowOff>132154</xdr:rowOff>
    </xdr:to>
    <xdr:pic>
      <xdr:nvPicPr>
        <xdr:cNvPr id="3" name="Picture 1" descr="https://jiratsg.acs-inc.com/jira/s/en_USg3bkcq/660/14/_/jira-logo-scaled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16475" y="190500"/>
          <a:ext cx="1097280" cy="39192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216475</xdr:colOff>
      <xdr:row>0</xdr:row>
      <xdr:rowOff>190500</xdr:rowOff>
    </xdr:from>
    <xdr:to>
      <xdr:col>0</xdr:col>
      <xdr:colOff>1313755</xdr:colOff>
      <xdr:row>2</xdr:row>
      <xdr:rowOff>132154</xdr:rowOff>
    </xdr:to>
    <xdr:pic>
      <xdr:nvPicPr>
        <xdr:cNvPr id="3" name="Picture 1" descr="https://jiratsg.acs-inc.com/jira/s/en_USg3bkcq/660/14/_/jira-logo-scaled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16475" y="190500"/>
          <a:ext cx="1097280" cy="39192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216475</xdr:colOff>
      <xdr:row>0</xdr:row>
      <xdr:rowOff>190500</xdr:rowOff>
    </xdr:from>
    <xdr:to>
      <xdr:col>0</xdr:col>
      <xdr:colOff>1313755</xdr:colOff>
      <xdr:row>2</xdr:row>
      <xdr:rowOff>132154</xdr:rowOff>
    </xdr:to>
    <xdr:pic>
      <xdr:nvPicPr>
        <xdr:cNvPr id="3" name="Picture 1" descr="https://jiratsg.acs-inc.com/jira/s/en_USg3bkcq/660/14/_/jira-logo-scaled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16475" y="190500"/>
          <a:ext cx="1097280" cy="39192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216475</xdr:colOff>
      <xdr:row>0</xdr:row>
      <xdr:rowOff>190500</xdr:rowOff>
    </xdr:from>
    <xdr:to>
      <xdr:col>0</xdr:col>
      <xdr:colOff>1313755</xdr:colOff>
      <xdr:row>2</xdr:row>
      <xdr:rowOff>132154</xdr:rowOff>
    </xdr:to>
    <xdr:pic>
      <xdr:nvPicPr>
        <xdr:cNvPr id="3" name="Picture 1" descr="https://jiratsg.acs-inc.com/jira/s/en_USg3bkcq/660/14/_/jira-logo-scaled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16475" y="190500"/>
          <a:ext cx="1097280" cy="39192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216477</xdr:colOff>
      <xdr:row>0</xdr:row>
      <xdr:rowOff>190501</xdr:rowOff>
    </xdr:from>
    <xdr:to>
      <xdr:col>0</xdr:col>
      <xdr:colOff>1313757</xdr:colOff>
      <xdr:row>2</xdr:row>
      <xdr:rowOff>132155</xdr:rowOff>
    </xdr:to>
    <xdr:pic>
      <xdr:nvPicPr>
        <xdr:cNvPr id="3" name="Picture 1" descr="https://jiratsg.acs-inc.com/jira/s/en_USg3bkcq/660/14/_/jira-logo-scaled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16477" y="190501"/>
          <a:ext cx="1097280" cy="39192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216475</xdr:colOff>
      <xdr:row>0</xdr:row>
      <xdr:rowOff>190500</xdr:rowOff>
    </xdr:from>
    <xdr:to>
      <xdr:col>0</xdr:col>
      <xdr:colOff>1313755</xdr:colOff>
      <xdr:row>2</xdr:row>
      <xdr:rowOff>132154</xdr:rowOff>
    </xdr:to>
    <xdr:pic>
      <xdr:nvPicPr>
        <xdr:cNvPr id="3" name="Picture 1" descr="https://jiratsg.acs-inc.com/jira/s/en_USg3bkcq/660/14/_/jira-logo-scaled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16475" y="190500"/>
          <a:ext cx="1097280" cy="39192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216475</xdr:colOff>
      <xdr:row>0</xdr:row>
      <xdr:rowOff>190500</xdr:rowOff>
    </xdr:from>
    <xdr:to>
      <xdr:col>0</xdr:col>
      <xdr:colOff>1313755</xdr:colOff>
      <xdr:row>2</xdr:row>
      <xdr:rowOff>132154</xdr:rowOff>
    </xdr:to>
    <xdr:pic>
      <xdr:nvPicPr>
        <xdr:cNvPr id="3" name="Picture 1" descr="https://jiratsg.acs-inc.com/jira/s/en_USg3bkcq/660/14/_/jira-logo-scaled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16475" y="190500"/>
          <a:ext cx="1097280" cy="39192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0</xdr:row>
      <xdr:rowOff>66675</xdr:rowOff>
    </xdr:from>
    <xdr:to>
      <xdr:col>1</xdr:col>
      <xdr:colOff>1047750</xdr:colOff>
      <xdr:row>3</xdr:row>
      <xdr:rowOff>28575</xdr:rowOff>
    </xdr:to>
    <xdr:pic>
      <xdr:nvPicPr>
        <xdr:cNvPr id="12289" name="Picture 1" descr="https://jiratsg.acs-inc.com/jira/s/en_USg3bkcq/660/14/_/jira-logo-scaled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6675" y="66675"/>
          <a:ext cx="1609725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216475</xdr:colOff>
      <xdr:row>0</xdr:row>
      <xdr:rowOff>190498</xdr:rowOff>
    </xdr:from>
    <xdr:to>
      <xdr:col>0</xdr:col>
      <xdr:colOff>1313755</xdr:colOff>
      <xdr:row>2</xdr:row>
      <xdr:rowOff>132152</xdr:rowOff>
    </xdr:to>
    <xdr:pic>
      <xdr:nvPicPr>
        <xdr:cNvPr id="3" name="Picture 1" descr="https://jiratsg.acs-inc.com/jira/s/en_USg3bkcq/660/14/_/jira-logo-scaled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16475" y="190498"/>
          <a:ext cx="1097280" cy="39192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216475</xdr:colOff>
      <xdr:row>0</xdr:row>
      <xdr:rowOff>190500</xdr:rowOff>
    </xdr:from>
    <xdr:to>
      <xdr:col>0</xdr:col>
      <xdr:colOff>1313755</xdr:colOff>
      <xdr:row>2</xdr:row>
      <xdr:rowOff>132154</xdr:rowOff>
    </xdr:to>
    <xdr:pic>
      <xdr:nvPicPr>
        <xdr:cNvPr id="3" name="Picture 1" descr="https://jiratsg.acs-inc.com/jira/s/en_USg3bkcq/660/14/_/jira-logo-scaled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16475" y="190500"/>
          <a:ext cx="1097280" cy="39192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216475</xdr:colOff>
      <xdr:row>0</xdr:row>
      <xdr:rowOff>190500</xdr:rowOff>
    </xdr:from>
    <xdr:to>
      <xdr:col>0</xdr:col>
      <xdr:colOff>1313755</xdr:colOff>
      <xdr:row>2</xdr:row>
      <xdr:rowOff>132154</xdr:rowOff>
    </xdr:to>
    <xdr:pic>
      <xdr:nvPicPr>
        <xdr:cNvPr id="3" name="Picture 1" descr="https://jiratsg.acs-inc.com/jira/s/en_USg3bkcq/660/14/_/jira-logo-scaled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16475" y="190500"/>
          <a:ext cx="1097280" cy="39192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216475</xdr:colOff>
      <xdr:row>0</xdr:row>
      <xdr:rowOff>181841</xdr:rowOff>
    </xdr:from>
    <xdr:to>
      <xdr:col>0</xdr:col>
      <xdr:colOff>1313755</xdr:colOff>
      <xdr:row>2</xdr:row>
      <xdr:rowOff>123495</xdr:rowOff>
    </xdr:to>
    <xdr:pic>
      <xdr:nvPicPr>
        <xdr:cNvPr id="3" name="Picture 1" descr="https://jiratsg.acs-inc.com/jira/s/en_USg3bkcq/660/14/_/jira-logo-scaled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16475" y="181841"/>
          <a:ext cx="1097280" cy="39192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216478</xdr:colOff>
      <xdr:row>0</xdr:row>
      <xdr:rowOff>181842</xdr:rowOff>
    </xdr:from>
    <xdr:to>
      <xdr:col>0</xdr:col>
      <xdr:colOff>1313758</xdr:colOff>
      <xdr:row>2</xdr:row>
      <xdr:rowOff>123496</xdr:rowOff>
    </xdr:to>
    <xdr:pic>
      <xdr:nvPicPr>
        <xdr:cNvPr id="3" name="Picture 1" descr="https://jiratsg.acs-inc.com/jira/s/en_USg3bkcq/660/14/_/jira-logo-scaled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16478" y="181842"/>
          <a:ext cx="1097280" cy="39192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216475</xdr:colOff>
      <xdr:row>0</xdr:row>
      <xdr:rowOff>181839</xdr:rowOff>
    </xdr:from>
    <xdr:to>
      <xdr:col>0</xdr:col>
      <xdr:colOff>1313755</xdr:colOff>
      <xdr:row>2</xdr:row>
      <xdr:rowOff>123493</xdr:rowOff>
    </xdr:to>
    <xdr:pic>
      <xdr:nvPicPr>
        <xdr:cNvPr id="3" name="Picture 1" descr="https://jiratsg.acs-inc.com/jira/s/en_USg3bkcq/660/14/_/jira-logo-scaled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16475" y="181839"/>
          <a:ext cx="1097280" cy="39192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207816</xdr:colOff>
      <xdr:row>0</xdr:row>
      <xdr:rowOff>181841</xdr:rowOff>
    </xdr:from>
    <xdr:to>
      <xdr:col>0</xdr:col>
      <xdr:colOff>1305096</xdr:colOff>
      <xdr:row>2</xdr:row>
      <xdr:rowOff>123495</xdr:rowOff>
    </xdr:to>
    <xdr:pic>
      <xdr:nvPicPr>
        <xdr:cNvPr id="3" name="Picture 1" descr="https://jiratsg.acs-inc.com/jira/s/en_USg3bkcq/660/14/_/jira-logo-scaled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07816" y="181841"/>
          <a:ext cx="1097280" cy="39192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207816</xdr:colOff>
      <xdr:row>0</xdr:row>
      <xdr:rowOff>181841</xdr:rowOff>
    </xdr:from>
    <xdr:to>
      <xdr:col>0</xdr:col>
      <xdr:colOff>1305096</xdr:colOff>
      <xdr:row>2</xdr:row>
      <xdr:rowOff>123495</xdr:rowOff>
    </xdr:to>
    <xdr:pic>
      <xdr:nvPicPr>
        <xdr:cNvPr id="3" name="Picture 1" descr="https://jiratsg.acs-inc.com/jira/s/en_USg3bkcq/660/14/_/jira-logo-scaled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07816" y="181841"/>
          <a:ext cx="1097280" cy="39192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207816</xdr:colOff>
      <xdr:row>0</xdr:row>
      <xdr:rowOff>181841</xdr:rowOff>
    </xdr:from>
    <xdr:to>
      <xdr:col>0</xdr:col>
      <xdr:colOff>1305096</xdr:colOff>
      <xdr:row>2</xdr:row>
      <xdr:rowOff>123495</xdr:rowOff>
    </xdr:to>
    <xdr:pic>
      <xdr:nvPicPr>
        <xdr:cNvPr id="3" name="Picture 1" descr="https://jiratsg.acs-inc.com/jira/s/en_USg3bkcq/660/14/_/jira-logo-scaled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07816" y="181841"/>
          <a:ext cx="1097280" cy="39192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216477</xdr:colOff>
      <xdr:row>0</xdr:row>
      <xdr:rowOff>181841</xdr:rowOff>
    </xdr:from>
    <xdr:to>
      <xdr:col>0</xdr:col>
      <xdr:colOff>1313757</xdr:colOff>
      <xdr:row>2</xdr:row>
      <xdr:rowOff>123495</xdr:rowOff>
    </xdr:to>
    <xdr:pic>
      <xdr:nvPicPr>
        <xdr:cNvPr id="3" name="Picture 1" descr="https://jiratsg.acs-inc.com/jira/s/en_USg3bkcq/660/14/_/jira-logo-scaled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16477" y="181841"/>
          <a:ext cx="1097280" cy="39192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216475</xdr:colOff>
      <xdr:row>0</xdr:row>
      <xdr:rowOff>190501</xdr:rowOff>
    </xdr:from>
    <xdr:to>
      <xdr:col>0</xdr:col>
      <xdr:colOff>1313755</xdr:colOff>
      <xdr:row>2</xdr:row>
      <xdr:rowOff>132155</xdr:rowOff>
    </xdr:to>
    <xdr:pic>
      <xdr:nvPicPr>
        <xdr:cNvPr id="7169" name="Picture 1" descr="https://jiratsg.acs-inc.com/jira/s/en_USg3bkcq/660/14/_/jira-logo-scaled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16475" y="190501"/>
          <a:ext cx="1097280" cy="39192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207816</xdr:colOff>
      <xdr:row>0</xdr:row>
      <xdr:rowOff>190500</xdr:rowOff>
    </xdr:from>
    <xdr:to>
      <xdr:col>0</xdr:col>
      <xdr:colOff>1305096</xdr:colOff>
      <xdr:row>2</xdr:row>
      <xdr:rowOff>132154</xdr:rowOff>
    </xdr:to>
    <xdr:pic>
      <xdr:nvPicPr>
        <xdr:cNvPr id="3" name="Picture 1" descr="https://jiratsg.acs-inc.com/jira/s/en_USg3bkcq/660/14/_/jira-logo-scaled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07816" y="190500"/>
          <a:ext cx="1097280" cy="39192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216479</xdr:colOff>
      <xdr:row>0</xdr:row>
      <xdr:rowOff>190500</xdr:rowOff>
    </xdr:from>
    <xdr:to>
      <xdr:col>0</xdr:col>
      <xdr:colOff>1313759</xdr:colOff>
      <xdr:row>2</xdr:row>
      <xdr:rowOff>132154</xdr:rowOff>
    </xdr:to>
    <xdr:pic>
      <xdr:nvPicPr>
        <xdr:cNvPr id="3" name="Picture 1" descr="https://jiratsg.acs-inc.com/jira/s/en_USg3bkcq/660/14/_/jira-logo-scaled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16479" y="190500"/>
          <a:ext cx="1097280" cy="39192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216475</xdr:colOff>
      <xdr:row>0</xdr:row>
      <xdr:rowOff>190501</xdr:rowOff>
    </xdr:from>
    <xdr:to>
      <xdr:col>0</xdr:col>
      <xdr:colOff>1313755</xdr:colOff>
      <xdr:row>2</xdr:row>
      <xdr:rowOff>132155</xdr:rowOff>
    </xdr:to>
    <xdr:pic>
      <xdr:nvPicPr>
        <xdr:cNvPr id="2" name="Picture 1" descr="https://jiratsg.acs-inc.com/jira/s/en_USg3bkcq/660/14/_/jira-logo-scaled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16475" y="190501"/>
          <a:ext cx="1097280" cy="3988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216475</xdr:colOff>
      <xdr:row>0</xdr:row>
      <xdr:rowOff>190501</xdr:rowOff>
    </xdr:from>
    <xdr:to>
      <xdr:col>0</xdr:col>
      <xdr:colOff>1313755</xdr:colOff>
      <xdr:row>2</xdr:row>
      <xdr:rowOff>132155</xdr:rowOff>
    </xdr:to>
    <xdr:pic>
      <xdr:nvPicPr>
        <xdr:cNvPr id="2" name="Picture 1" descr="https://jiratsg.acs-inc.com/jira/s/en_USg3bkcq/660/14/_/jira-logo-scaled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16475" y="190501"/>
          <a:ext cx="1097280" cy="3988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216477</xdr:colOff>
      <xdr:row>0</xdr:row>
      <xdr:rowOff>190499</xdr:rowOff>
    </xdr:from>
    <xdr:to>
      <xdr:col>0</xdr:col>
      <xdr:colOff>1313757</xdr:colOff>
      <xdr:row>2</xdr:row>
      <xdr:rowOff>132153</xdr:rowOff>
    </xdr:to>
    <xdr:pic>
      <xdr:nvPicPr>
        <xdr:cNvPr id="3" name="Picture 1" descr="https://jiratsg.acs-inc.com/jira/s/en_USg3bkcq/660/14/_/jira-logo-scaled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16477" y="190499"/>
          <a:ext cx="1097280" cy="39192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216475</xdr:colOff>
      <xdr:row>0</xdr:row>
      <xdr:rowOff>190500</xdr:rowOff>
    </xdr:from>
    <xdr:to>
      <xdr:col>0</xdr:col>
      <xdr:colOff>1313755</xdr:colOff>
      <xdr:row>2</xdr:row>
      <xdr:rowOff>132154</xdr:rowOff>
    </xdr:to>
    <xdr:pic>
      <xdr:nvPicPr>
        <xdr:cNvPr id="3" name="Picture 1" descr="https://jiratsg.acs-inc.com/jira/s/en_USg3bkcq/660/14/_/jira-logo-scaled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16475" y="190500"/>
          <a:ext cx="1097280" cy="39192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216475</xdr:colOff>
      <xdr:row>0</xdr:row>
      <xdr:rowOff>190500</xdr:rowOff>
    </xdr:from>
    <xdr:to>
      <xdr:col>0</xdr:col>
      <xdr:colOff>1313755</xdr:colOff>
      <xdr:row>2</xdr:row>
      <xdr:rowOff>132154</xdr:rowOff>
    </xdr:to>
    <xdr:pic>
      <xdr:nvPicPr>
        <xdr:cNvPr id="3" name="Picture 1" descr="https://jiratsg.acs-inc.com/jira/s/en_USg3bkcq/660/14/_/jira-logo-scaled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16475" y="190500"/>
          <a:ext cx="1097280" cy="39192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216475</xdr:colOff>
      <xdr:row>0</xdr:row>
      <xdr:rowOff>190500</xdr:rowOff>
    </xdr:from>
    <xdr:to>
      <xdr:col>0</xdr:col>
      <xdr:colOff>1313755</xdr:colOff>
      <xdr:row>2</xdr:row>
      <xdr:rowOff>132154</xdr:rowOff>
    </xdr:to>
    <xdr:pic>
      <xdr:nvPicPr>
        <xdr:cNvPr id="3" name="Picture 1" descr="https://jiratsg.acs-inc.com/jira/s/en_USg3bkcq/660/14/_/jira-logo-scaled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16475" y="190500"/>
          <a:ext cx="1097280" cy="39192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3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4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1"/>
  <sheetViews>
    <sheetView tabSelected="1" view="pageBreakPreview" zoomScale="80" zoomScaleNormal="100" zoomScaleSheetLayoutView="80" workbookViewId="0">
      <selection activeCell="B28" sqref="B28"/>
    </sheetView>
  </sheetViews>
  <sheetFormatPr defaultRowHeight="12.75"/>
  <cols>
    <col min="1" max="1" width="30.28515625" style="101" customWidth="1"/>
    <col min="2" max="2" width="31" style="102" customWidth="1"/>
    <col min="3" max="4" width="15.7109375" style="101" customWidth="1"/>
    <col min="5" max="256" width="9.140625" style="101"/>
    <col min="257" max="257" width="30.28515625" style="101" customWidth="1"/>
    <col min="258" max="258" width="31" style="101" customWidth="1"/>
    <col min="259" max="260" width="15.7109375" style="101" customWidth="1"/>
    <col min="261" max="512" width="9.140625" style="101"/>
    <col min="513" max="513" width="30.28515625" style="101" customWidth="1"/>
    <col min="514" max="514" width="31" style="101" customWidth="1"/>
    <col min="515" max="516" width="15.7109375" style="101" customWidth="1"/>
    <col min="517" max="768" width="9.140625" style="101"/>
    <col min="769" max="769" width="30.28515625" style="101" customWidth="1"/>
    <col min="770" max="770" width="31" style="101" customWidth="1"/>
    <col min="771" max="772" width="15.7109375" style="101" customWidth="1"/>
    <col min="773" max="1024" width="9.140625" style="101"/>
    <col min="1025" max="1025" width="30.28515625" style="101" customWidth="1"/>
    <col min="1026" max="1026" width="31" style="101" customWidth="1"/>
    <col min="1027" max="1028" width="15.7109375" style="101" customWidth="1"/>
    <col min="1029" max="1280" width="9.140625" style="101"/>
    <col min="1281" max="1281" width="30.28515625" style="101" customWidth="1"/>
    <col min="1282" max="1282" width="31" style="101" customWidth="1"/>
    <col min="1283" max="1284" width="15.7109375" style="101" customWidth="1"/>
    <col min="1285" max="1536" width="9.140625" style="101"/>
    <col min="1537" max="1537" width="30.28515625" style="101" customWidth="1"/>
    <col min="1538" max="1538" width="31" style="101" customWidth="1"/>
    <col min="1539" max="1540" width="15.7109375" style="101" customWidth="1"/>
    <col min="1541" max="1792" width="9.140625" style="101"/>
    <col min="1793" max="1793" width="30.28515625" style="101" customWidth="1"/>
    <col min="1794" max="1794" width="31" style="101" customWidth="1"/>
    <col min="1795" max="1796" width="15.7109375" style="101" customWidth="1"/>
    <col min="1797" max="2048" width="9.140625" style="101"/>
    <col min="2049" max="2049" width="30.28515625" style="101" customWidth="1"/>
    <col min="2050" max="2050" width="31" style="101" customWidth="1"/>
    <col min="2051" max="2052" width="15.7109375" style="101" customWidth="1"/>
    <col min="2053" max="2304" width="9.140625" style="101"/>
    <col min="2305" max="2305" width="30.28515625" style="101" customWidth="1"/>
    <col min="2306" max="2306" width="31" style="101" customWidth="1"/>
    <col min="2307" max="2308" width="15.7109375" style="101" customWidth="1"/>
    <col min="2309" max="2560" width="9.140625" style="101"/>
    <col min="2561" max="2561" width="30.28515625" style="101" customWidth="1"/>
    <col min="2562" max="2562" width="31" style="101" customWidth="1"/>
    <col min="2563" max="2564" width="15.7109375" style="101" customWidth="1"/>
    <col min="2565" max="2816" width="9.140625" style="101"/>
    <col min="2817" max="2817" width="30.28515625" style="101" customWidth="1"/>
    <col min="2818" max="2818" width="31" style="101" customWidth="1"/>
    <col min="2819" max="2820" width="15.7109375" style="101" customWidth="1"/>
    <col min="2821" max="3072" width="9.140625" style="101"/>
    <col min="3073" max="3073" width="30.28515625" style="101" customWidth="1"/>
    <col min="3074" max="3074" width="31" style="101" customWidth="1"/>
    <col min="3075" max="3076" width="15.7109375" style="101" customWidth="1"/>
    <col min="3077" max="3328" width="9.140625" style="101"/>
    <col min="3329" max="3329" width="30.28515625" style="101" customWidth="1"/>
    <col min="3330" max="3330" width="31" style="101" customWidth="1"/>
    <col min="3331" max="3332" width="15.7109375" style="101" customWidth="1"/>
    <col min="3333" max="3584" width="9.140625" style="101"/>
    <col min="3585" max="3585" width="30.28515625" style="101" customWidth="1"/>
    <col min="3586" max="3586" width="31" style="101" customWidth="1"/>
    <col min="3587" max="3588" width="15.7109375" style="101" customWidth="1"/>
    <col min="3589" max="3840" width="9.140625" style="101"/>
    <col min="3841" max="3841" width="30.28515625" style="101" customWidth="1"/>
    <col min="3842" max="3842" width="31" style="101" customWidth="1"/>
    <col min="3843" max="3844" width="15.7109375" style="101" customWidth="1"/>
    <col min="3845" max="4096" width="9.140625" style="101"/>
    <col min="4097" max="4097" width="30.28515625" style="101" customWidth="1"/>
    <col min="4098" max="4098" width="31" style="101" customWidth="1"/>
    <col min="4099" max="4100" width="15.7109375" style="101" customWidth="1"/>
    <col min="4101" max="4352" width="9.140625" style="101"/>
    <col min="4353" max="4353" width="30.28515625" style="101" customWidth="1"/>
    <col min="4354" max="4354" width="31" style="101" customWidth="1"/>
    <col min="4355" max="4356" width="15.7109375" style="101" customWidth="1"/>
    <col min="4357" max="4608" width="9.140625" style="101"/>
    <col min="4609" max="4609" width="30.28515625" style="101" customWidth="1"/>
    <col min="4610" max="4610" width="31" style="101" customWidth="1"/>
    <col min="4611" max="4612" width="15.7109375" style="101" customWidth="1"/>
    <col min="4613" max="4864" width="9.140625" style="101"/>
    <col min="4865" max="4865" width="30.28515625" style="101" customWidth="1"/>
    <col min="4866" max="4866" width="31" style="101" customWidth="1"/>
    <col min="4867" max="4868" width="15.7109375" style="101" customWidth="1"/>
    <col min="4869" max="5120" width="9.140625" style="101"/>
    <col min="5121" max="5121" width="30.28515625" style="101" customWidth="1"/>
    <col min="5122" max="5122" width="31" style="101" customWidth="1"/>
    <col min="5123" max="5124" width="15.7109375" style="101" customWidth="1"/>
    <col min="5125" max="5376" width="9.140625" style="101"/>
    <col min="5377" max="5377" width="30.28515625" style="101" customWidth="1"/>
    <col min="5378" max="5378" width="31" style="101" customWidth="1"/>
    <col min="5379" max="5380" width="15.7109375" style="101" customWidth="1"/>
    <col min="5381" max="5632" width="9.140625" style="101"/>
    <col min="5633" max="5633" width="30.28515625" style="101" customWidth="1"/>
    <col min="5634" max="5634" width="31" style="101" customWidth="1"/>
    <col min="5635" max="5636" width="15.7109375" style="101" customWidth="1"/>
    <col min="5637" max="5888" width="9.140625" style="101"/>
    <col min="5889" max="5889" width="30.28515625" style="101" customWidth="1"/>
    <col min="5890" max="5890" width="31" style="101" customWidth="1"/>
    <col min="5891" max="5892" width="15.7109375" style="101" customWidth="1"/>
    <col min="5893" max="6144" width="9.140625" style="101"/>
    <col min="6145" max="6145" width="30.28515625" style="101" customWidth="1"/>
    <col min="6146" max="6146" width="31" style="101" customWidth="1"/>
    <col min="6147" max="6148" width="15.7109375" style="101" customWidth="1"/>
    <col min="6149" max="6400" width="9.140625" style="101"/>
    <col min="6401" max="6401" width="30.28515625" style="101" customWidth="1"/>
    <col min="6402" max="6402" width="31" style="101" customWidth="1"/>
    <col min="6403" max="6404" width="15.7109375" style="101" customWidth="1"/>
    <col min="6405" max="6656" width="9.140625" style="101"/>
    <col min="6657" max="6657" width="30.28515625" style="101" customWidth="1"/>
    <col min="6658" max="6658" width="31" style="101" customWidth="1"/>
    <col min="6659" max="6660" width="15.7109375" style="101" customWidth="1"/>
    <col min="6661" max="6912" width="9.140625" style="101"/>
    <col min="6913" max="6913" width="30.28515625" style="101" customWidth="1"/>
    <col min="6914" max="6914" width="31" style="101" customWidth="1"/>
    <col min="6915" max="6916" width="15.7109375" style="101" customWidth="1"/>
    <col min="6917" max="7168" width="9.140625" style="101"/>
    <col min="7169" max="7169" width="30.28515625" style="101" customWidth="1"/>
    <col min="7170" max="7170" width="31" style="101" customWidth="1"/>
    <col min="7171" max="7172" width="15.7109375" style="101" customWidth="1"/>
    <col min="7173" max="7424" width="9.140625" style="101"/>
    <col min="7425" max="7425" width="30.28515625" style="101" customWidth="1"/>
    <col min="7426" max="7426" width="31" style="101" customWidth="1"/>
    <col min="7427" max="7428" width="15.7109375" style="101" customWidth="1"/>
    <col min="7429" max="7680" width="9.140625" style="101"/>
    <col min="7681" max="7681" width="30.28515625" style="101" customWidth="1"/>
    <col min="7682" max="7682" width="31" style="101" customWidth="1"/>
    <col min="7683" max="7684" width="15.7109375" style="101" customWidth="1"/>
    <col min="7685" max="7936" width="9.140625" style="101"/>
    <col min="7937" max="7937" width="30.28515625" style="101" customWidth="1"/>
    <col min="7938" max="7938" width="31" style="101" customWidth="1"/>
    <col min="7939" max="7940" width="15.7109375" style="101" customWidth="1"/>
    <col min="7941" max="8192" width="9.140625" style="101"/>
    <col min="8193" max="8193" width="30.28515625" style="101" customWidth="1"/>
    <col min="8194" max="8194" width="31" style="101" customWidth="1"/>
    <col min="8195" max="8196" width="15.7109375" style="101" customWidth="1"/>
    <col min="8197" max="8448" width="9.140625" style="101"/>
    <col min="8449" max="8449" width="30.28515625" style="101" customWidth="1"/>
    <col min="8450" max="8450" width="31" style="101" customWidth="1"/>
    <col min="8451" max="8452" width="15.7109375" style="101" customWidth="1"/>
    <col min="8453" max="8704" width="9.140625" style="101"/>
    <col min="8705" max="8705" width="30.28515625" style="101" customWidth="1"/>
    <col min="8706" max="8706" width="31" style="101" customWidth="1"/>
    <col min="8707" max="8708" width="15.7109375" style="101" customWidth="1"/>
    <col min="8709" max="8960" width="9.140625" style="101"/>
    <col min="8961" max="8961" width="30.28515625" style="101" customWidth="1"/>
    <col min="8962" max="8962" width="31" style="101" customWidth="1"/>
    <col min="8963" max="8964" width="15.7109375" style="101" customWidth="1"/>
    <col min="8965" max="9216" width="9.140625" style="101"/>
    <col min="9217" max="9217" width="30.28515625" style="101" customWidth="1"/>
    <col min="9218" max="9218" width="31" style="101" customWidth="1"/>
    <col min="9219" max="9220" width="15.7109375" style="101" customWidth="1"/>
    <col min="9221" max="9472" width="9.140625" style="101"/>
    <col min="9473" max="9473" width="30.28515625" style="101" customWidth="1"/>
    <col min="9474" max="9474" width="31" style="101" customWidth="1"/>
    <col min="9475" max="9476" width="15.7109375" style="101" customWidth="1"/>
    <col min="9477" max="9728" width="9.140625" style="101"/>
    <col min="9729" max="9729" width="30.28515625" style="101" customWidth="1"/>
    <col min="9730" max="9730" width="31" style="101" customWidth="1"/>
    <col min="9731" max="9732" width="15.7109375" style="101" customWidth="1"/>
    <col min="9733" max="9984" width="9.140625" style="101"/>
    <col min="9985" max="9985" width="30.28515625" style="101" customWidth="1"/>
    <col min="9986" max="9986" width="31" style="101" customWidth="1"/>
    <col min="9987" max="9988" width="15.7109375" style="101" customWidth="1"/>
    <col min="9989" max="10240" width="9.140625" style="101"/>
    <col min="10241" max="10241" width="30.28515625" style="101" customWidth="1"/>
    <col min="10242" max="10242" width="31" style="101" customWidth="1"/>
    <col min="10243" max="10244" width="15.7109375" style="101" customWidth="1"/>
    <col min="10245" max="10496" width="9.140625" style="101"/>
    <col min="10497" max="10497" width="30.28515625" style="101" customWidth="1"/>
    <col min="10498" max="10498" width="31" style="101" customWidth="1"/>
    <col min="10499" max="10500" width="15.7109375" style="101" customWidth="1"/>
    <col min="10501" max="10752" width="9.140625" style="101"/>
    <col min="10753" max="10753" width="30.28515625" style="101" customWidth="1"/>
    <col min="10754" max="10754" width="31" style="101" customWidth="1"/>
    <col min="10755" max="10756" width="15.7109375" style="101" customWidth="1"/>
    <col min="10757" max="11008" width="9.140625" style="101"/>
    <col min="11009" max="11009" width="30.28515625" style="101" customWidth="1"/>
    <col min="11010" max="11010" width="31" style="101" customWidth="1"/>
    <col min="11011" max="11012" width="15.7109375" style="101" customWidth="1"/>
    <col min="11013" max="11264" width="9.140625" style="101"/>
    <col min="11265" max="11265" width="30.28515625" style="101" customWidth="1"/>
    <col min="11266" max="11266" width="31" style="101" customWidth="1"/>
    <col min="11267" max="11268" width="15.7109375" style="101" customWidth="1"/>
    <col min="11269" max="11520" width="9.140625" style="101"/>
    <col min="11521" max="11521" width="30.28515625" style="101" customWidth="1"/>
    <col min="11522" max="11522" width="31" style="101" customWidth="1"/>
    <col min="11523" max="11524" width="15.7109375" style="101" customWidth="1"/>
    <col min="11525" max="11776" width="9.140625" style="101"/>
    <col min="11777" max="11777" width="30.28515625" style="101" customWidth="1"/>
    <col min="11778" max="11778" width="31" style="101" customWidth="1"/>
    <col min="11779" max="11780" width="15.7109375" style="101" customWidth="1"/>
    <col min="11781" max="12032" width="9.140625" style="101"/>
    <col min="12033" max="12033" width="30.28515625" style="101" customWidth="1"/>
    <col min="12034" max="12034" width="31" style="101" customWidth="1"/>
    <col min="12035" max="12036" width="15.7109375" style="101" customWidth="1"/>
    <col min="12037" max="12288" width="9.140625" style="101"/>
    <col min="12289" max="12289" width="30.28515625" style="101" customWidth="1"/>
    <col min="12290" max="12290" width="31" style="101" customWidth="1"/>
    <col min="12291" max="12292" width="15.7109375" style="101" customWidth="1"/>
    <col min="12293" max="12544" width="9.140625" style="101"/>
    <col min="12545" max="12545" width="30.28515625" style="101" customWidth="1"/>
    <col min="12546" max="12546" width="31" style="101" customWidth="1"/>
    <col min="12547" max="12548" width="15.7109375" style="101" customWidth="1"/>
    <col min="12549" max="12800" width="9.140625" style="101"/>
    <col min="12801" max="12801" width="30.28515625" style="101" customWidth="1"/>
    <col min="12802" max="12802" width="31" style="101" customWidth="1"/>
    <col min="12803" max="12804" width="15.7109375" style="101" customWidth="1"/>
    <col min="12805" max="13056" width="9.140625" style="101"/>
    <col min="13057" max="13057" width="30.28515625" style="101" customWidth="1"/>
    <col min="13058" max="13058" width="31" style="101" customWidth="1"/>
    <col min="13059" max="13060" width="15.7109375" style="101" customWidth="1"/>
    <col min="13061" max="13312" width="9.140625" style="101"/>
    <col min="13313" max="13313" width="30.28515625" style="101" customWidth="1"/>
    <col min="13314" max="13314" width="31" style="101" customWidth="1"/>
    <col min="13315" max="13316" width="15.7109375" style="101" customWidth="1"/>
    <col min="13317" max="13568" width="9.140625" style="101"/>
    <col min="13569" max="13569" width="30.28515625" style="101" customWidth="1"/>
    <col min="13570" max="13570" width="31" style="101" customWidth="1"/>
    <col min="13571" max="13572" width="15.7109375" style="101" customWidth="1"/>
    <col min="13573" max="13824" width="9.140625" style="101"/>
    <col min="13825" max="13825" width="30.28515625" style="101" customWidth="1"/>
    <col min="13826" max="13826" width="31" style="101" customWidth="1"/>
    <col min="13827" max="13828" width="15.7109375" style="101" customWidth="1"/>
    <col min="13829" max="14080" width="9.140625" style="101"/>
    <col min="14081" max="14081" width="30.28515625" style="101" customWidth="1"/>
    <col min="14082" max="14082" width="31" style="101" customWidth="1"/>
    <col min="14083" max="14084" width="15.7109375" style="101" customWidth="1"/>
    <col min="14085" max="14336" width="9.140625" style="101"/>
    <col min="14337" max="14337" width="30.28515625" style="101" customWidth="1"/>
    <col min="14338" max="14338" width="31" style="101" customWidth="1"/>
    <col min="14339" max="14340" width="15.7109375" style="101" customWidth="1"/>
    <col min="14341" max="14592" width="9.140625" style="101"/>
    <col min="14593" max="14593" width="30.28515625" style="101" customWidth="1"/>
    <col min="14594" max="14594" width="31" style="101" customWidth="1"/>
    <col min="14595" max="14596" width="15.7109375" style="101" customWidth="1"/>
    <col min="14597" max="14848" width="9.140625" style="101"/>
    <col min="14849" max="14849" width="30.28515625" style="101" customWidth="1"/>
    <col min="14850" max="14850" width="31" style="101" customWidth="1"/>
    <col min="14851" max="14852" width="15.7109375" style="101" customWidth="1"/>
    <col min="14853" max="15104" width="9.140625" style="101"/>
    <col min="15105" max="15105" width="30.28515625" style="101" customWidth="1"/>
    <col min="15106" max="15106" width="31" style="101" customWidth="1"/>
    <col min="15107" max="15108" width="15.7109375" style="101" customWidth="1"/>
    <col min="15109" max="15360" width="9.140625" style="101"/>
    <col min="15361" max="15361" width="30.28515625" style="101" customWidth="1"/>
    <col min="15362" max="15362" width="31" style="101" customWidth="1"/>
    <col min="15363" max="15364" width="15.7109375" style="101" customWidth="1"/>
    <col min="15365" max="15616" width="9.140625" style="101"/>
    <col min="15617" max="15617" width="30.28515625" style="101" customWidth="1"/>
    <col min="15618" max="15618" width="31" style="101" customWidth="1"/>
    <col min="15619" max="15620" width="15.7109375" style="101" customWidth="1"/>
    <col min="15621" max="15872" width="9.140625" style="101"/>
    <col min="15873" max="15873" width="30.28515625" style="101" customWidth="1"/>
    <col min="15874" max="15874" width="31" style="101" customWidth="1"/>
    <col min="15875" max="15876" width="15.7109375" style="101" customWidth="1"/>
    <col min="15877" max="16128" width="9.140625" style="101"/>
    <col min="16129" max="16129" width="30.28515625" style="101" customWidth="1"/>
    <col min="16130" max="16130" width="31" style="101" customWidth="1"/>
    <col min="16131" max="16132" width="15.7109375" style="101" customWidth="1"/>
    <col min="16133" max="16384" width="9.140625" style="101"/>
  </cols>
  <sheetData>
    <row r="1" spans="1:9" ht="12" customHeight="1"/>
    <row r="2" spans="1:9" ht="12" customHeight="1"/>
    <row r="3" spans="1:9" ht="12" customHeight="1"/>
    <row r="4" spans="1:9" ht="12" customHeight="1"/>
    <row r="5" spans="1:9" ht="12" customHeight="1">
      <c r="A5" s="103"/>
      <c r="B5" s="104"/>
      <c r="C5" s="103"/>
      <c r="D5" s="103"/>
    </row>
    <row r="6" spans="1:9" ht="12" customHeight="1">
      <c r="A6" s="105"/>
      <c r="B6" s="104"/>
      <c r="C6" s="106"/>
      <c r="D6" s="106"/>
    </row>
    <row r="7" spans="1:9" ht="12" customHeight="1"/>
    <row r="8" spans="1:9" ht="12" customHeight="1">
      <c r="B8" s="107"/>
    </row>
    <row r="9" spans="1:9" ht="12" customHeight="1">
      <c r="B9" s="101"/>
    </row>
    <row r="10" spans="1:9" ht="12" customHeight="1">
      <c r="A10" s="103"/>
      <c r="B10" s="101"/>
      <c r="C10" s="103"/>
      <c r="D10" s="103"/>
    </row>
    <row r="12" spans="1:9">
      <c r="B12" s="101"/>
    </row>
    <row r="15" spans="1:9" ht="30.75" customHeight="1">
      <c r="I15" s="108"/>
    </row>
    <row r="16" spans="1:9" ht="30.75" customHeight="1">
      <c r="B16" s="224" t="s">
        <v>139</v>
      </c>
      <c r="C16" s="224"/>
      <c r="D16" s="224"/>
      <c r="I16" s="109"/>
    </row>
    <row r="17" spans="2:9" ht="30.75" customHeight="1">
      <c r="B17" s="224"/>
      <c r="C17" s="224"/>
      <c r="D17" s="224"/>
      <c r="I17" s="109"/>
    </row>
    <row r="18" spans="2:9">
      <c r="I18" s="109"/>
    </row>
    <row r="19" spans="2:9">
      <c r="I19" s="109"/>
    </row>
    <row r="20" spans="2:9" ht="14.25">
      <c r="B20" s="110"/>
      <c r="I20" s="109"/>
    </row>
    <row r="21" spans="2:9" ht="15">
      <c r="B21" s="111"/>
      <c r="I21" s="109"/>
    </row>
    <row r="22" spans="2:9">
      <c r="I22" s="109"/>
    </row>
    <row r="23" spans="2:9">
      <c r="H23" s="225"/>
    </row>
    <row r="24" spans="2:9">
      <c r="H24" s="225"/>
    </row>
    <row r="25" spans="2:9">
      <c r="H25" s="225"/>
    </row>
    <row r="26" spans="2:9">
      <c r="B26" s="112"/>
      <c r="H26" s="225"/>
    </row>
    <row r="27" spans="2:9" ht="19.5">
      <c r="B27" s="226" t="s">
        <v>2187</v>
      </c>
      <c r="C27" s="226"/>
      <c r="D27" s="226"/>
    </row>
    <row r="50" spans="2:4">
      <c r="B50" s="227"/>
      <c r="C50" s="227"/>
      <c r="D50" s="227"/>
    </row>
    <row r="51" spans="2:4">
      <c r="C51" s="227" t="s">
        <v>138</v>
      </c>
      <c r="D51" s="227"/>
    </row>
  </sheetData>
  <mergeCells count="5">
    <mergeCell ref="B16:D17"/>
    <mergeCell ref="H23:H26"/>
    <mergeCell ref="B27:D27"/>
    <mergeCell ref="B50:D50"/>
    <mergeCell ref="C51:D51"/>
  </mergeCells>
  <printOptions horizontalCentered="1" verticalCentered="1"/>
  <pageMargins left="0.64" right="0.16" top="0.25" bottom="0.5" header="0.5" footer="0.25"/>
  <pageSetup scale="95" orientation="portrait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67"/>
  <sheetViews>
    <sheetView view="pageBreakPreview" topLeftCell="A19" zoomScale="90" zoomScaleNormal="100" zoomScaleSheetLayoutView="90" workbookViewId="0">
      <selection activeCell="M47" sqref="M47"/>
    </sheetView>
  </sheetViews>
  <sheetFormatPr defaultRowHeight="12.75"/>
  <cols>
    <col min="1" max="1" width="22.85546875" style="1" customWidth="1"/>
    <col min="2" max="13" width="7.140625" style="1" customWidth="1"/>
    <col min="14" max="14" width="4.42578125" style="1" customWidth="1"/>
    <col min="15" max="16384" width="9.140625" style="1"/>
  </cols>
  <sheetData>
    <row r="1" spans="1:21" ht="18" customHeight="1">
      <c r="A1" s="130"/>
      <c r="B1" s="131"/>
      <c r="C1" s="131"/>
      <c r="D1" s="131"/>
      <c r="E1" s="131"/>
      <c r="F1" s="131"/>
      <c r="G1" s="131"/>
      <c r="H1" s="130"/>
      <c r="I1" s="131"/>
      <c r="J1" s="131"/>
      <c r="K1" s="131"/>
      <c r="L1" s="143"/>
      <c r="M1" s="143" t="s">
        <v>202</v>
      </c>
    </row>
    <row r="2" spans="1:21" ht="18" customHeight="1">
      <c r="A2" s="130"/>
      <c r="B2" s="135"/>
      <c r="C2" s="135"/>
      <c r="D2" s="135"/>
      <c r="E2" s="135"/>
      <c r="F2" s="135"/>
      <c r="G2" s="135"/>
      <c r="H2" s="130"/>
      <c r="I2" s="135"/>
      <c r="J2" s="135"/>
      <c r="K2" s="135"/>
      <c r="L2" s="155"/>
      <c r="M2" s="155" t="s">
        <v>2182</v>
      </c>
    </row>
    <row r="3" spans="1:21" s="5" customFormat="1" ht="18" customHeight="1">
      <c r="A3" s="133"/>
      <c r="B3" s="133"/>
      <c r="C3" s="133"/>
      <c r="D3" s="133"/>
      <c r="E3" s="133"/>
      <c r="F3" s="133"/>
      <c r="G3" s="133"/>
      <c r="H3" s="133"/>
      <c r="I3" s="133"/>
      <c r="J3" s="136"/>
      <c r="K3" s="136"/>
      <c r="L3" s="155"/>
      <c r="M3" s="155" t="s">
        <v>205</v>
      </c>
      <c r="N3" s="134"/>
      <c r="O3" s="134"/>
      <c r="P3" s="134"/>
      <c r="Q3" s="134"/>
      <c r="R3" s="134"/>
      <c r="S3" s="134"/>
      <c r="T3" s="134"/>
      <c r="U3" s="134"/>
    </row>
    <row r="4" spans="1:21" s="8" customFormat="1" ht="6.75" customHeight="1" thickBot="1">
      <c r="A4" s="38"/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</row>
    <row r="5" spans="1:21" s="8" customFormat="1" ht="11.25" customHeight="1" thickBot="1">
      <c r="A5" s="53" t="s">
        <v>19</v>
      </c>
      <c r="B5" s="50">
        <v>41275</v>
      </c>
      <c r="C5" s="47">
        <v>41306</v>
      </c>
      <c r="D5" s="47">
        <v>41334</v>
      </c>
      <c r="E5" s="47">
        <v>41365</v>
      </c>
      <c r="F5" s="47">
        <v>41395</v>
      </c>
      <c r="G5" s="47">
        <v>41426</v>
      </c>
      <c r="H5" s="47">
        <v>41456</v>
      </c>
      <c r="I5" s="47">
        <v>41487</v>
      </c>
      <c r="J5" s="47">
        <v>41518</v>
      </c>
      <c r="K5" s="47">
        <v>41548</v>
      </c>
      <c r="L5" s="47">
        <v>41579</v>
      </c>
      <c r="M5" s="51">
        <v>41609</v>
      </c>
    </row>
    <row r="6" spans="1:21" s="8" customFormat="1" ht="11.25" customHeight="1">
      <c r="A6" s="41" t="s">
        <v>129</v>
      </c>
      <c r="B6" s="57">
        <f t="shared" ref="B6:M6" si="0">B32</f>
        <v>10</v>
      </c>
      <c r="C6" s="57">
        <f t="shared" si="0"/>
        <v>18</v>
      </c>
      <c r="D6" s="57">
        <f t="shared" si="0"/>
        <v>19</v>
      </c>
      <c r="E6" s="57">
        <f t="shared" si="0"/>
        <v>19</v>
      </c>
      <c r="F6" s="57">
        <f t="shared" si="0"/>
        <v>16</v>
      </c>
      <c r="G6" s="57">
        <f t="shared" si="0"/>
        <v>14</v>
      </c>
      <c r="H6" s="57">
        <f t="shared" si="0"/>
        <v>30</v>
      </c>
      <c r="I6" s="57">
        <f t="shared" si="0"/>
        <v>25</v>
      </c>
      <c r="J6" s="57">
        <f t="shared" si="0"/>
        <v>19</v>
      </c>
      <c r="K6" s="57">
        <f t="shared" si="0"/>
        <v>9</v>
      </c>
      <c r="L6" s="156">
        <f t="shared" si="0"/>
        <v>18</v>
      </c>
      <c r="M6" s="168">
        <f t="shared" si="0"/>
        <v>17</v>
      </c>
    </row>
    <row r="7" spans="1:21" s="8" customFormat="1" ht="11.25" customHeight="1">
      <c r="A7" s="42" t="s">
        <v>18</v>
      </c>
      <c r="B7" s="57">
        <f t="shared" ref="B7:M7" si="1">SUM(B10:B12)</f>
        <v>117</v>
      </c>
      <c r="C7" s="57">
        <f t="shared" si="1"/>
        <v>115</v>
      </c>
      <c r="D7" s="57">
        <f t="shared" si="1"/>
        <v>88</v>
      </c>
      <c r="E7" s="57">
        <f t="shared" si="1"/>
        <v>104</v>
      </c>
      <c r="F7" s="57">
        <f t="shared" si="1"/>
        <v>92</v>
      </c>
      <c r="G7" s="57">
        <f t="shared" si="1"/>
        <v>123</v>
      </c>
      <c r="H7" s="57">
        <f t="shared" si="1"/>
        <v>128</v>
      </c>
      <c r="I7" s="57">
        <f t="shared" si="1"/>
        <v>129</v>
      </c>
      <c r="J7" s="57">
        <f t="shared" si="1"/>
        <v>141</v>
      </c>
      <c r="K7" s="57">
        <f t="shared" si="1"/>
        <v>82</v>
      </c>
      <c r="L7" s="156">
        <f t="shared" si="1"/>
        <v>151</v>
      </c>
      <c r="M7" s="171">
        <f t="shared" si="1"/>
        <v>138</v>
      </c>
    </row>
    <row r="8" spans="1:21" s="8" customFormat="1" ht="11.25" customHeight="1" thickBot="1">
      <c r="A8" s="43" t="s">
        <v>14</v>
      </c>
      <c r="B8" s="58">
        <f t="shared" ref="B8:M8" si="2">SUM(B6:B7)</f>
        <v>127</v>
      </c>
      <c r="C8" s="58">
        <f t="shared" si="2"/>
        <v>133</v>
      </c>
      <c r="D8" s="58">
        <f t="shared" si="2"/>
        <v>107</v>
      </c>
      <c r="E8" s="58">
        <f t="shared" si="2"/>
        <v>123</v>
      </c>
      <c r="F8" s="58">
        <f t="shared" si="2"/>
        <v>108</v>
      </c>
      <c r="G8" s="58">
        <f t="shared" si="2"/>
        <v>137</v>
      </c>
      <c r="H8" s="58">
        <f t="shared" si="2"/>
        <v>158</v>
      </c>
      <c r="I8" s="58">
        <f t="shared" si="2"/>
        <v>154</v>
      </c>
      <c r="J8" s="58">
        <f t="shared" si="2"/>
        <v>160</v>
      </c>
      <c r="K8" s="58">
        <f t="shared" si="2"/>
        <v>91</v>
      </c>
      <c r="L8" s="157">
        <f t="shared" si="2"/>
        <v>169</v>
      </c>
      <c r="M8" s="172">
        <f t="shared" si="2"/>
        <v>155</v>
      </c>
    </row>
    <row r="9" spans="1:21" s="8" customFormat="1" ht="11.25" customHeight="1" thickBot="1">
      <c r="A9" s="54" t="s">
        <v>18</v>
      </c>
      <c r="B9" s="50">
        <v>41275</v>
      </c>
      <c r="C9" s="47">
        <v>41306</v>
      </c>
      <c r="D9" s="47">
        <v>41334</v>
      </c>
      <c r="E9" s="47">
        <v>41365</v>
      </c>
      <c r="F9" s="47">
        <v>41395</v>
      </c>
      <c r="G9" s="47">
        <v>41426</v>
      </c>
      <c r="H9" s="47">
        <v>41456</v>
      </c>
      <c r="I9" s="47">
        <v>41487</v>
      </c>
      <c r="J9" s="47">
        <v>41518</v>
      </c>
      <c r="K9" s="47">
        <v>41548</v>
      </c>
      <c r="L9" s="47">
        <v>41579</v>
      </c>
      <c r="M9" s="51">
        <v>41609</v>
      </c>
    </row>
    <row r="10" spans="1:21" s="8" customFormat="1" ht="11.25" customHeight="1">
      <c r="A10" s="9" t="s">
        <v>128</v>
      </c>
      <c r="B10" s="57">
        <f t="shared" ref="B10:M10" si="3">B52</f>
        <v>54</v>
      </c>
      <c r="C10" s="57">
        <f t="shared" si="3"/>
        <v>49</v>
      </c>
      <c r="D10" s="57">
        <f t="shared" si="3"/>
        <v>39</v>
      </c>
      <c r="E10" s="57">
        <f t="shared" si="3"/>
        <v>45</v>
      </c>
      <c r="F10" s="57">
        <f t="shared" si="3"/>
        <v>40</v>
      </c>
      <c r="G10" s="59">
        <f t="shared" si="3"/>
        <v>57</v>
      </c>
      <c r="H10" s="59">
        <f t="shared" si="3"/>
        <v>71</v>
      </c>
      <c r="I10" s="59">
        <f t="shared" si="3"/>
        <v>64</v>
      </c>
      <c r="J10" s="59">
        <f t="shared" si="3"/>
        <v>64</v>
      </c>
      <c r="K10" s="59">
        <f t="shared" si="3"/>
        <v>33</v>
      </c>
      <c r="L10" s="158">
        <f t="shared" si="3"/>
        <v>62</v>
      </c>
      <c r="M10" s="168">
        <f t="shared" si="3"/>
        <v>59</v>
      </c>
    </row>
    <row r="11" spans="1:21" s="8" customFormat="1" ht="11.25" customHeight="1">
      <c r="A11" s="9" t="s">
        <v>127</v>
      </c>
      <c r="B11" s="59">
        <f t="shared" ref="B11:M11" si="4">B65</f>
        <v>17</v>
      </c>
      <c r="C11" s="59">
        <f t="shared" si="4"/>
        <v>23</v>
      </c>
      <c r="D11" s="59">
        <f t="shared" si="4"/>
        <v>20</v>
      </c>
      <c r="E11" s="59">
        <f t="shared" si="4"/>
        <v>11</v>
      </c>
      <c r="F11" s="59">
        <f t="shared" si="4"/>
        <v>16</v>
      </c>
      <c r="G11" s="59">
        <f t="shared" si="4"/>
        <v>34</v>
      </c>
      <c r="H11" s="59">
        <f t="shared" si="4"/>
        <v>23</v>
      </c>
      <c r="I11" s="59">
        <f t="shared" si="4"/>
        <v>23</v>
      </c>
      <c r="J11" s="59">
        <f t="shared" si="4"/>
        <v>13</v>
      </c>
      <c r="K11" s="59">
        <f t="shared" si="4"/>
        <v>6</v>
      </c>
      <c r="L11" s="158">
        <f t="shared" si="4"/>
        <v>24</v>
      </c>
      <c r="M11" s="169">
        <f t="shared" si="4"/>
        <v>36</v>
      </c>
    </row>
    <row r="12" spans="1:21" s="8" customFormat="1" ht="11.25" customHeight="1" thickBot="1">
      <c r="A12" s="2" t="s">
        <v>12</v>
      </c>
      <c r="B12" s="60">
        <f>COUNTIFS(Jan!$B:$B,2024,Jan!$F:$F,800)</f>
        <v>46</v>
      </c>
      <c r="C12" s="60">
        <v>43</v>
      </c>
      <c r="D12" s="60">
        <v>29</v>
      </c>
      <c r="E12" s="60">
        <v>48</v>
      </c>
      <c r="F12" s="60">
        <v>36</v>
      </c>
      <c r="G12" s="60">
        <v>32</v>
      </c>
      <c r="H12" s="60">
        <v>34</v>
      </c>
      <c r="I12" s="60">
        <v>42</v>
      </c>
      <c r="J12" s="60">
        <v>64</v>
      </c>
      <c r="K12" s="60">
        <v>43</v>
      </c>
      <c r="L12" s="60">
        <v>65</v>
      </c>
      <c r="M12" s="60">
        <v>43</v>
      </c>
    </row>
    <row r="13" spans="1:21" s="8" customFormat="1" ht="5.0999999999999996" customHeight="1" thickBot="1">
      <c r="A13" s="3"/>
      <c r="B13" s="17"/>
      <c r="C13" s="17"/>
      <c r="D13" s="17"/>
      <c r="E13" s="17"/>
      <c r="F13" s="17"/>
      <c r="G13" s="17"/>
      <c r="H13" s="17"/>
      <c r="I13" s="17"/>
      <c r="J13" s="17"/>
      <c r="K13" s="17"/>
      <c r="L13" s="17"/>
      <c r="M13" s="147"/>
    </row>
    <row r="14" spans="1:21" s="16" customFormat="1" ht="11.25" customHeight="1">
      <c r="A14" s="44" t="s">
        <v>131</v>
      </c>
      <c r="B14" s="120">
        <v>6645</v>
      </c>
      <c r="C14" s="120">
        <v>6384</v>
      </c>
      <c r="D14" s="120">
        <v>6699</v>
      </c>
      <c r="E14" s="120">
        <v>6556</v>
      </c>
      <c r="F14" s="120">
        <v>7690</v>
      </c>
      <c r="G14" s="120">
        <v>7202</v>
      </c>
      <c r="H14" s="119">
        <v>5876</v>
      </c>
      <c r="I14" s="61">
        <v>6538.9</v>
      </c>
      <c r="J14" s="61">
        <v>7628</v>
      </c>
      <c r="K14" s="118">
        <v>6038</v>
      </c>
      <c r="L14" s="160">
        <v>6989</v>
      </c>
      <c r="M14" s="173">
        <v>7210</v>
      </c>
      <c r="O14" s="22"/>
      <c r="P14" s="22"/>
      <c r="Q14" s="22"/>
    </row>
    <row r="15" spans="1:21" s="8" customFormat="1" ht="11.25" customHeight="1">
      <c r="A15" s="45" t="s">
        <v>132</v>
      </c>
      <c r="B15" s="62">
        <f>IFERROR((SUMIFS(Jan!$N:$N,Jan!$J:$J,1,Jan!$B:$B,2024)+SUMIFS(Jan!$N:$N,Jan!$D:$D,"&gt;1",Jan!$B:$B,2024))/(COUNTIFS(Jan!$J:$J,1,Jan!$B:$B,2024)+COUNTIFS(Jan!$D:$D,"&gt;1",Jan!$B:$B,2024)),"")</f>
        <v>26.942307692307693</v>
      </c>
      <c r="C15" s="62">
        <v>21.88</v>
      </c>
      <c r="D15" s="62">
        <v>23.49</v>
      </c>
      <c r="E15" s="62">
        <v>23.1</v>
      </c>
      <c r="F15" s="62">
        <v>24.68</v>
      </c>
      <c r="G15" s="62">
        <v>22.59</v>
      </c>
      <c r="H15" s="62">
        <v>23.8</v>
      </c>
      <c r="I15" s="62">
        <v>23.27</v>
      </c>
      <c r="J15" s="62">
        <v>25.04</v>
      </c>
      <c r="K15" s="62">
        <v>24.79</v>
      </c>
      <c r="L15" s="62">
        <v>23.39</v>
      </c>
      <c r="M15" s="62">
        <v>22.59</v>
      </c>
      <c r="N15" s="15"/>
      <c r="O15" s="1"/>
      <c r="P15" s="1"/>
      <c r="Q15" s="1"/>
    </row>
    <row r="16" spans="1:21" s="8" customFormat="1" ht="11.25" customHeight="1">
      <c r="A16" s="45" t="s">
        <v>133</v>
      </c>
      <c r="B16" s="62">
        <f>IFERROR(AVERAGEIFS(Jan!$N:$N,Jan!$F:$F,800,Jan!$B:$B,2024),"")</f>
        <v>27.173913043478262</v>
      </c>
      <c r="C16" s="62">
        <v>22.68</v>
      </c>
      <c r="D16" s="62">
        <v>24.39</v>
      </c>
      <c r="E16" s="62">
        <v>25.79</v>
      </c>
      <c r="F16" s="62">
        <v>26.1</v>
      </c>
      <c r="G16" s="62">
        <v>24.71</v>
      </c>
      <c r="H16" s="62">
        <v>28.08</v>
      </c>
      <c r="I16" s="62">
        <v>25.88</v>
      </c>
      <c r="J16" s="62">
        <v>26.37</v>
      </c>
      <c r="K16" s="62">
        <v>24.98</v>
      </c>
      <c r="L16" s="62">
        <v>25.49</v>
      </c>
      <c r="M16" s="62">
        <v>24.74</v>
      </c>
      <c r="O16" s="1"/>
      <c r="P16" s="1"/>
      <c r="Q16" s="1"/>
    </row>
    <row r="17" spans="1:17" s="8" customFormat="1" ht="11.25" customHeight="1">
      <c r="A17" s="45" t="s">
        <v>134</v>
      </c>
      <c r="B17" s="63">
        <f>IFERROR((SUMIFS(Jan!$M:$M,Jan!$J:$J,1,Jan!$B:$B,2024)+SUMIFS(Jan!$M:$M,Jan!$D:$D,"&gt;1",Jan!$B:$B,2024))/(COUNTIFS(Jan!$J:$J,1,Jan!$B:$B,2024)+COUNTIFS(Jan!$D:$D,"&gt;1",Jan!$B:$B,2024)),"")</f>
        <v>1.578846153846154</v>
      </c>
      <c r="C17" s="63">
        <v>1.76</v>
      </c>
      <c r="D17" s="63">
        <v>2.0299999999999998</v>
      </c>
      <c r="E17" s="63">
        <v>2.0699999999999998</v>
      </c>
      <c r="F17" s="63">
        <v>2.72</v>
      </c>
      <c r="G17" s="63">
        <v>1.72</v>
      </c>
      <c r="H17" s="63">
        <v>1.18</v>
      </c>
      <c r="I17" s="63">
        <v>2.4900000000000002</v>
      </c>
      <c r="J17" s="63">
        <v>1.67</v>
      </c>
      <c r="K17" s="63">
        <v>1.29</v>
      </c>
      <c r="L17" s="63">
        <v>1.1599999999999999</v>
      </c>
      <c r="M17" s="63">
        <v>1.73</v>
      </c>
      <c r="O17" s="1"/>
      <c r="P17" s="1"/>
      <c r="Q17" s="1"/>
    </row>
    <row r="18" spans="1:17" s="8" customFormat="1" ht="11.25" customHeight="1" thickBot="1">
      <c r="A18" s="43" t="s">
        <v>135</v>
      </c>
      <c r="B18" s="64">
        <f>IFERROR(AVERAGEIFS(Jan!$M:$M,Jan!$F:$F,800,Jan!$B:$B,2024),"")</f>
        <v>1.7347826086956524</v>
      </c>
      <c r="C18" s="64">
        <v>0.39</v>
      </c>
      <c r="D18" s="64">
        <v>0.73</v>
      </c>
      <c r="E18" s="64">
        <v>1.29</v>
      </c>
      <c r="F18" s="64">
        <v>0.56000000000000005</v>
      </c>
      <c r="G18" s="64">
        <v>1.7</v>
      </c>
      <c r="H18" s="64">
        <v>0.68</v>
      </c>
      <c r="I18" s="64">
        <v>1.51</v>
      </c>
      <c r="J18" s="64">
        <v>1.07</v>
      </c>
      <c r="K18" s="64">
        <v>0.78</v>
      </c>
      <c r="L18" s="64">
        <v>0.7</v>
      </c>
      <c r="M18" s="64">
        <v>0.87</v>
      </c>
    </row>
    <row r="19" spans="1:17" s="8" customFormat="1" ht="5.0999999999999996" customHeight="1" thickBot="1">
      <c r="A19" s="3"/>
      <c r="B19" s="17"/>
      <c r="C19" s="17"/>
      <c r="D19" s="17"/>
      <c r="E19" s="17"/>
      <c r="F19" s="17"/>
      <c r="G19" s="17"/>
      <c r="H19" s="17"/>
      <c r="I19" s="17"/>
      <c r="J19" s="17"/>
      <c r="K19" s="17"/>
      <c r="L19" s="17"/>
      <c r="M19" s="147"/>
    </row>
    <row r="20" spans="1:17" s="8" customFormat="1" ht="11.25" customHeight="1">
      <c r="A20" s="42" t="s">
        <v>52</v>
      </c>
      <c r="B20" s="65">
        <v>31</v>
      </c>
      <c r="C20" s="65">
        <v>28</v>
      </c>
      <c r="D20" s="65">
        <v>31</v>
      </c>
      <c r="E20" s="65">
        <v>30</v>
      </c>
      <c r="F20" s="65">
        <v>31</v>
      </c>
      <c r="G20" s="65">
        <v>30</v>
      </c>
      <c r="H20" s="65">
        <v>31</v>
      </c>
      <c r="I20" s="65">
        <v>31</v>
      </c>
      <c r="J20" s="65">
        <v>30</v>
      </c>
      <c r="K20" s="65">
        <v>31</v>
      </c>
      <c r="L20" s="161">
        <v>30</v>
      </c>
      <c r="M20" s="174">
        <v>31</v>
      </c>
    </row>
    <row r="21" spans="1:17" s="8" customFormat="1" ht="11.25" customHeight="1">
      <c r="A21" s="9" t="s">
        <v>15</v>
      </c>
      <c r="B21" s="66">
        <f>B12/B20</f>
        <v>1.4838709677419355</v>
      </c>
      <c r="C21" s="66">
        <f t="shared" ref="C21:M21" si="5">C12/C20</f>
        <v>1.5357142857142858</v>
      </c>
      <c r="D21" s="66">
        <f>D12/D20</f>
        <v>0.93548387096774188</v>
      </c>
      <c r="E21" s="66">
        <f>E12/E20</f>
        <v>1.6</v>
      </c>
      <c r="F21" s="66">
        <f>F12/F20</f>
        <v>1.1612903225806452</v>
      </c>
      <c r="G21" s="66">
        <f>G12/G20</f>
        <v>1.0666666666666667</v>
      </c>
      <c r="H21" s="66">
        <f t="shared" si="5"/>
        <v>1.096774193548387</v>
      </c>
      <c r="I21" s="66">
        <f t="shared" si="5"/>
        <v>1.3548387096774193</v>
      </c>
      <c r="J21" s="66">
        <f t="shared" si="5"/>
        <v>2.1333333333333333</v>
      </c>
      <c r="K21" s="66">
        <f t="shared" si="5"/>
        <v>1.3870967741935485</v>
      </c>
      <c r="L21" s="162">
        <f t="shared" si="5"/>
        <v>2.1666666666666665</v>
      </c>
      <c r="M21" s="175">
        <f t="shared" si="5"/>
        <v>1.3870967741935485</v>
      </c>
    </row>
    <row r="22" spans="1:17" s="8" customFormat="1" ht="11.25" customHeight="1">
      <c r="A22" s="9" t="s">
        <v>130</v>
      </c>
      <c r="B22" s="67">
        <f t="shared" ref="B22:G22" si="6">IFERROR(B12/B7,0)</f>
        <v>0.39316239316239315</v>
      </c>
      <c r="C22" s="67">
        <f t="shared" si="6"/>
        <v>0.37391304347826088</v>
      </c>
      <c r="D22" s="67">
        <f t="shared" si="6"/>
        <v>0.32954545454545453</v>
      </c>
      <c r="E22" s="67">
        <f t="shared" si="6"/>
        <v>0.46153846153846156</v>
      </c>
      <c r="F22" s="67">
        <f t="shared" si="6"/>
        <v>0.39130434782608697</v>
      </c>
      <c r="G22" s="67">
        <f t="shared" si="6"/>
        <v>0.26016260162601629</v>
      </c>
      <c r="H22" s="67">
        <f t="shared" ref="H22:M22" si="7">IFERROR(H12/H7,0)</f>
        <v>0.265625</v>
      </c>
      <c r="I22" s="67">
        <f t="shared" si="7"/>
        <v>0.32558139534883723</v>
      </c>
      <c r="J22" s="67">
        <f t="shared" si="7"/>
        <v>0.45390070921985815</v>
      </c>
      <c r="K22" s="116">
        <f t="shared" si="7"/>
        <v>0.52439024390243905</v>
      </c>
      <c r="L22" s="67">
        <f t="shared" si="7"/>
        <v>0.43046357615894038</v>
      </c>
      <c r="M22" s="176">
        <f t="shared" si="7"/>
        <v>0.31159420289855072</v>
      </c>
      <c r="N22" s="1"/>
    </row>
    <row r="23" spans="1:17" s="8" customFormat="1" ht="11.25" customHeight="1" thickBot="1">
      <c r="A23" s="9" t="s">
        <v>53</v>
      </c>
      <c r="B23" s="67">
        <f t="shared" ref="B23:G23" si="8">IFERROR(B12/(B11+B12),0)</f>
        <v>0.73015873015873012</v>
      </c>
      <c r="C23" s="67">
        <f t="shared" si="8"/>
        <v>0.65151515151515149</v>
      </c>
      <c r="D23" s="67">
        <f t="shared" si="8"/>
        <v>0.59183673469387754</v>
      </c>
      <c r="E23" s="67">
        <f t="shared" si="8"/>
        <v>0.81355932203389836</v>
      </c>
      <c r="F23" s="67">
        <f t="shared" si="8"/>
        <v>0.69230769230769229</v>
      </c>
      <c r="G23" s="67">
        <f t="shared" si="8"/>
        <v>0.48484848484848486</v>
      </c>
      <c r="H23" s="67">
        <f t="shared" ref="H23:M23" si="9">IFERROR(H12/(H11+H12),0)</f>
        <v>0.59649122807017541</v>
      </c>
      <c r="I23" s="67">
        <f t="shared" si="9"/>
        <v>0.64615384615384619</v>
      </c>
      <c r="J23" s="67">
        <f t="shared" si="9"/>
        <v>0.83116883116883122</v>
      </c>
      <c r="K23" s="117">
        <f t="shared" si="9"/>
        <v>0.87755102040816324</v>
      </c>
      <c r="L23" s="163">
        <f t="shared" si="9"/>
        <v>0.7303370786516854</v>
      </c>
      <c r="M23" s="177">
        <f t="shared" si="9"/>
        <v>0.54430379746835444</v>
      </c>
      <c r="N23" s="4"/>
    </row>
    <row r="24" spans="1:17" s="8" customFormat="1" ht="11.25" customHeight="1" thickBot="1">
      <c r="A24" s="56" t="s">
        <v>21</v>
      </c>
      <c r="B24" s="50">
        <v>41275</v>
      </c>
      <c r="C24" s="47">
        <v>41306</v>
      </c>
      <c r="D24" s="47">
        <v>41334</v>
      </c>
      <c r="E24" s="47">
        <v>41365</v>
      </c>
      <c r="F24" s="47">
        <v>41395</v>
      </c>
      <c r="G24" s="47">
        <v>41426</v>
      </c>
      <c r="H24" s="47">
        <v>41456</v>
      </c>
      <c r="I24" s="47">
        <v>41487</v>
      </c>
      <c r="J24" s="47">
        <v>41518</v>
      </c>
      <c r="K24" s="47">
        <v>41548</v>
      </c>
      <c r="L24" s="47">
        <v>41579</v>
      </c>
      <c r="M24" s="51">
        <v>41609</v>
      </c>
    </row>
    <row r="25" spans="1:17" s="8" customFormat="1" ht="11.25" customHeight="1">
      <c r="A25" s="18" t="s">
        <v>5</v>
      </c>
      <c r="B25" s="68">
        <f>COUNTIFS(Jan!$B:$B,2024,Jan!$J:$J,18)</f>
        <v>6</v>
      </c>
      <c r="C25" s="68">
        <v>5</v>
      </c>
      <c r="D25" s="68">
        <v>8</v>
      </c>
      <c r="E25" s="68">
        <v>9</v>
      </c>
      <c r="F25" s="68">
        <v>5</v>
      </c>
      <c r="G25" s="68">
        <v>5</v>
      </c>
      <c r="H25" s="68">
        <v>11</v>
      </c>
      <c r="I25" s="68">
        <v>11</v>
      </c>
      <c r="J25" s="68">
        <v>9</v>
      </c>
      <c r="K25" s="68">
        <v>5</v>
      </c>
      <c r="L25" s="68">
        <v>4</v>
      </c>
      <c r="M25" s="68">
        <v>7</v>
      </c>
    </row>
    <row r="26" spans="1:17" s="8" customFormat="1" ht="11.25" customHeight="1">
      <c r="A26" s="46" t="s">
        <v>40</v>
      </c>
      <c r="B26" s="57">
        <f>COUNTIFS(Jan!$B:$B,2024,Jan!$J:$J,41)</f>
        <v>0</v>
      </c>
      <c r="C26" s="57">
        <f>COUNTIFS(Feb!$B:$B,2024,Feb!$J:$J,41)</f>
        <v>0</v>
      </c>
      <c r="D26" s="57">
        <f>COUNTIFS(Mar!$B:$B,2024,Mar!$J:$J,41)</f>
        <v>0</v>
      </c>
      <c r="E26" s="57">
        <f>COUNTIFS(Apr!$B:$B,2024,Apr!$J:$J,41)</f>
        <v>0</v>
      </c>
      <c r="F26" s="57">
        <v>3</v>
      </c>
      <c r="G26" s="57">
        <f>COUNTIFS(Jun!$B:$B,2024,Jun!$J:$J,41)</f>
        <v>0</v>
      </c>
      <c r="H26" s="57">
        <f>COUNTIFS(Jul!$B:$B,2024,Jul!$J:$J,41)</f>
        <v>0</v>
      </c>
      <c r="I26" s="57">
        <f>COUNTIFS(Aug!$B:$B,2024,Aug!$J:$J,41)</f>
        <v>0</v>
      </c>
      <c r="J26" s="57">
        <f>COUNTIFS(Sep!$B:$B,2024,Sep!$J:$J,41)</f>
        <v>0</v>
      </c>
      <c r="K26" s="57">
        <f>COUNTIFS(Oct!$B:$B,2024,Oct!$J:$J,41)</f>
        <v>0</v>
      </c>
      <c r="L26" s="57">
        <f>COUNTIFS(Nov!$B:$B,2024,Nov!$J:$J,41)</f>
        <v>0</v>
      </c>
      <c r="M26" s="57">
        <v>0</v>
      </c>
    </row>
    <row r="27" spans="1:17" s="8" customFormat="1" ht="11.25" customHeight="1">
      <c r="A27" s="9" t="s">
        <v>11</v>
      </c>
      <c r="B27" s="179">
        <f>COUNTIFS(Jan!$B:$B,2024,Jan!$J:$J,17)</f>
        <v>4</v>
      </c>
      <c r="C27" s="206">
        <v>12</v>
      </c>
      <c r="D27" s="206">
        <v>11</v>
      </c>
      <c r="E27" s="206">
        <v>10</v>
      </c>
      <c r="F27" s="206">
        <v>8</v>
      </c>
      <c r="G27" s="206">
        <v>9</v>
      </c>
      <c r="H27" s="206">
        <v>19</v>
      </c>
      <c r="I27" s="206">
        <v>13</v>
      </c>
      <c r="J27" s="206">
        <v>10</v>
      </c>
      <c r="K27" s="206">
        <v>4</v>
      </c>
      <c r="L27" s="206">
        <v>11</v>
      </c>
      <c r="M27" s="206">
        <v>9</v>
      </c>
    </row>
    <row r="28" spans="1:17" s="8" customFormat="1" ht="11.25" customHeight="1">
      <c r="A28" s="9" t="s">
        <v>143</v>
      </c>
      <c r="B28" s="59">
        <f>COUNTIFS(Jan!$B:$B,2024,Jan!$F:$F,455)</f>
        <v>0</v>
      </c>
      <c r="C28" s="59">
        <f>COUNTIFS(Feb!$B:$B,2024,Feb!$F:$F,455)</f>
        <v>0</v>
      </c>
      <c r="D28" s="59">
        <f>COUNTIFS(Mar!$B:$B,2024,Mar!$F:$F,455)</f>
        <v>0</v>
      </c>
      <c r="E28" s="59">
        <f>COUNTIFS(Apr!$B:$B,2024,Apr!$F:$F,455)</f>
        <v>0</v>
      </c>
      <c r="F28" s="59">
        <f>COUNTIFS(May!$B:$B,2024,May!$F:$F,455)</f>
        <v>0</v>
      </c>
      <c r="G28" s="59">
        <f>COUNTIFS(Jun!$B:$B,2024,Jun!$F:$F,455)</f>
        <v>0</v>
      </c>
      <c r="H28" s="59">
        <f>COUNTIFS(Jul!$B:$B,2024,Jul!$F:$F,455)</f>
        <v>0</v>
      </c>
      <c r="I28" s="59">
        <f>COUNTIFS(Aug!$B:$B,2024,Aug!$F:$F,455)</f>
        <v>0</v>
      </c>
      <c r="J28" s="59">
        <f>COUNTIFS(Sep!$B:$B,2024,Sep!$F:$F,455)</f>
        <v>0</v>
      </c>
      <c r="K28" s="59">
        <f>COUNTIFS(Oct!$B:$B,2024,Oct!$F:$F,455)</f>
        <v>0</v>
      </c>
      <c r="L28" s="59">
        <f>COUNTIFS(Nov!$B:$B,2024,Nov!$F:$F,455)</f>
        <v>0</v>
      </c>
      <c r="M28" s="59">
        <v>0</v>
      </c>
    </row>
    <row r="29" spans="1:17" s="8" customFormat="1" ht="11.25" customHeight="1">
      <c r="A29" s="9" t="s">
        <v>23</v>
      </c>
      <c r="B29" s="59">
        <f>COUNTIFS(Jan!$B:$B,2024,Jan!$J:$J,31)</f>
        <v>0</v>
      </c>
      <c r="C29" s="59">
        <f>COUNTIFS(Feb!$B:$B,2024,Feb!$J:$J,31)</f>
        <v>0</v>
      </c>
      <c r="D29" s="59">
        <f>COUNTIFS(Mar!$B:$B,2024,Mar!$J:$J,31)</f>
        <v>0</v>
      </c>
      <c r="E29" s="59">
        <f>COUNTIFS(Apr!$B:$B,2024,Apr!$J:$J,31)</f>
        <v>0</v>
      </c>
      <c r="F29" s="59">
        <f>COUNTIFS(May!$B:$B,2024,May!$J:$J,31)</f>
        <v>0</v>
      </c>
      <c r="G29" s="59">
        <f>COUNTIFS(Jun!$B:$B,2024,Jun!$J:$J,31)</f>
        <v>0</v>
      </c>
      <c r="H29" s="59">
        <f>COUNTIFS(Jul!$B:$B,2024,Jul!$J:$J,31)</f>
        <v>0</v>
      </c>
      <c r="I29" s="59">
        <f>COUNTIFS(Aug!$B:$B,2024,Aug!$J:$J,31)</f>
        <v>0</v>
      </c>
      <c r="J29" s="59">
        <f>COUNTIFS(Sep!$B:$B,2024,Sep!$J:$J,31)</f>
        <v>0</v>
      </c>
      <c r="K29" s="59">
        <f>COUNTIFS(Oct!$B:$B,2024,Oct!$J:$J,31)</f>
        <v>0</v>
      </c>
      <c r="L29" s="59">
        <f>COUNTIFS(Nov!$B:$B,2024,Nov!$J:$J,31)</f>
        <v>0</v>
      </c>
      <c r="M29" s="59">
        <v>0</v>
      </c>
    </row>
    <row r="30" spans="1:17" s="8" customFormat="1" ht="11.25" customHeight="1">
      <c r="A30" s="9" t="s">
        <v>37</v>
      </c>
      <c r="B30" s="59">
        <f>COUNTIFS(Jan!$B:$B,2024,Jan!$J:$J,4400)</f>
        <v>0</v>
      </c>
      <c r="C30" s="59">
        <v>1</v>
      </c>
      <c r="D30" s="59">
        <f>COUNTIFS(Mar!$B:$B,2024,Mar!$J:$J,4400)</f>
        <v>0</v>
      </c>
      <c r="E30" s="59">
        <f>COUNTIFS(Apr!$B:$B,2024,Apr!$J:$J,4400)</f>
        <v>0</v>
      </c>
      <c r="F30" s="59">
        <f>COUNTIFS(May!$B:$B,2024,May!$J:$J,4400)</f>
        <v>0</v>
      </c>
      <c r="G30" s="59">
        <f>COUNTIFS(Jun!$B:$B,2024,Jun!$J:$J,4400)</f>
        <v>0</v>
      </c>
      <c r="H30" s="59">
        <f>COUNTIFS(Jul!$B:$B,2024,Jul!$J:$J,4400)</f>
        <v>0</v>
      </c>
      <c r="I30" s="59">
        <v>1</v>
      </c>
      <c r="J30" s="59">
        <f>COUNTIFS(Sep!$B:$B,2024,Sep!$J:$J,4400)</f>
        <v>0</v>
      </c>
      <c r="K30" s="59">
        <f>COUNTIFS(Oct!$B:$B,2024,Oct!$J:$J,4400)</f>
        <v>0</v>
      </c>
      <c r="L30" s="59">
        <v>3</v>
      </c>
      <c r="M30" s="59">
        <v>1</v>
      </c>
    </row>
    <row r="31" spans="1:17" s="8" customFormat="1" ht="11.25" customHeight="1">
      <c r="A31" s="10" t="s">
        <v>24</v>
      </c>
      <c r="B31" s="59">
        <f>COUNTIFS(Jan!$B:$B,2024,Jan!$J:$J,30)</f>
        <v>0</v>
      </c>
      <c r="C31" s="59">
        <f>COUNTIFS(Feb!$B:$B,2024,Feb!$J:$J,30)</f>
        <v>0</v>
      </c>
      <c r="D31" s="59">
        <f>COUNTIFS(Mar!$B:$B,2024,Mar!$J:$J,30)</f>
        <v>0</v>
      </c>
      <c r="E31" s="59">
        <f>COUNTIFS(Apr!$B:$B,2024,Apr!$J:$J,30)</f>
        <v>0</v>
      </c>
      <c r="F31" s="59">
        <f>COUNTIFS(May!$B:$B,2024,May!$J:$J,30)</f>
        <v>0</v>
      </c>
      <c r="G31" s="59">
        <f>COUNTIFS(Jun!$B:$B,2024,Jun!$J:$J,30)</f>
        <v>0</v>
      </c>
      <c r="H31" s="59">
        <f>COUNTIFS(Jul!$B:$B,2024,Jul!$J:$J,30)</f>
        <v>0</v>
      </c>
      <c r="I31" s="59">
        <f>COUNTIFS(Aug!$B:$B,2024,Aug!$J:$J,30)</f>
        <v>0</v>
      </c>
      <c r="J31" s="59">
        <f>COUNTIFS(Sep!$B:$B,2024,Sep!$J:$J,30)</f>
        <v>0</v>
      </c>
      <c r="K31" s="59">
        <f>COUNTIFS(Oct!$B:$B,2024,Oct!$J:$J,30)</f>
        <v>0</v>
      </c>
      <c r="L31" s="59">
        <f>COUNTIFS(Nov!$B:$B,2024,Nov!$J:$J,30)</f>
        <v>0</v>
      </c>
      <c r="M31" s="59">
        <v>0</v>
      </c>
    </row>
    <row r="32" spans="1:17" s="14" customFormat="1" ht="11.25" customHeight="1" thickBot="1">
      <c r="A32" s="2" t="s">
        <v>140</v>
      </c>
      <c r="B32" s="60">
        <f>SUM(B25:B31)</f>
        <v>10</v>
      </c>
      <c r="C32" s="60">
        <f t="shared" ref="C32:M32" si="10">SUM(C25:C31)</f>
        <v>18</v>
      </c>
      <c r="D32" s="60">
        <f>SUM(D25:D31)</f>
        <v>19</v>
      </c>
      <c r="E32" s="60">
        <f>SUM(E25:E31)</f>
        <v>19</v>
      </c>
      <c r="F32" s="60">
        <f>SUM(F25:F31)</f>
        <v>16</v>
      </c>
      <c r="G32" s="60">
        <f>SUM(G25:G31)</f>
        <v>14</v>
      </c>
      <c r="H32" s="60">
        <f t="shared" si="10"/>
        <v>30</v>
      </c>
      <c r="I32" s="60">
        <f t="shared" si="10"/>
        <v>25</v>
      </c>
      <c r="J32" s="60">
        <f>SUM(J25:J31)</f>
        <v>19</v>
      </c>
      <c r="K32" s="60">
        <f t="shared" si="10"/>
        <v>9</v>
      </c>
      <c r="L32" s="159">
        <f t="shared" si="10"/>
        <v>18</v>
      </c>
      <c r="M32" s="170">
        <f t="shared" si="10"/>
        <v>17</v>
      </c>
    </row>
    <row r="33" spans="1:13" ht="12" customHeight="1" thickBot="1">
      <c r="A33" s="55" t="s">
        <v>136</v>
      </c>
      <c r="B33" s="50">
        <v>41275</v>
      </c>
      <c r="C33" s="47">
        <v>41306</v>
      </c>
      <c r="D33" s="47">
        <v>41334</v>
      </c>
      <c r="E33" s="47">
        <v>41365</v>
      </c>
      <c r="F33" s="47">
        <v>41395</v>
      </c>
      <c r="G33" s="47">
        <v>41426</v>
      </c>
      <c r="H33" s="47">
        <v>41456</v>
      </c>
      <c r="I33" s="47">
        <v>41487</v>
      </c>
      <c r="J33" s="47">
        <v>41518</v>
      </c>
      <c r="K33" s="47">
        <v>41548</v>
      </c>
      <c r="L33" s="47">
        <v>41579</v>
      </c>
      <c r="M33" s="51">
        <v>41609</v>
      </c>
    </row>
    <row r="34" spans="1:13" s="8" customFormat="1" ht="11.25" customHeight="1">
      <c r="A34" s="46" t="s">
        <v>33</v>
      </c>
      <c r="B34" s="57">
        <f>COUNTIFS(Jan!$B:$B,2024,Jan!$J:$J,40)</f>
        <v>0</v>
      </c>
      <c r="C34" s="57">
        <f>COUNTIFS(Feb!$B:$B,2024,Feb!$J:$J,40)</f>
        <v>0</v>
      </c>
      <c r="D34" s="57">
        <f>COUNTIFS(Mar!$B:$B,2024,Mar!$J:$J,40)</f>
        <v>0</v>
      </c>
      <c r="E34" s="57">
        <f>COUNTIFS(Apr!$B:$B,2024,Apr!$J:$J,40)</f>
        <v>0</v>
      </c>
      <c r="F34" s="57">
        <v>1</v>
      </c>
      <c r="G34" s="57">
        <f>COUNTIFS(Jun!$B:$B,2024,Jun!$J:$J,40)</f>
        <v>0</v>
      </c>
      <c r="H34" s="57">
        <f>COUNTIFS(Jul!$B:$B,2024,Jul!$J:$J,40)</f>
        <v>0</v>
      </c>
      <c r="I34" s="57">
        <f>COUNTIFS(Aug!$B:$B,2024,Aug!$J:$J,40)</f>
        <v>0</v>
      </c>
      <c r="J34" s="57">
        <v>1</v>
      </c>
      <c r="K34" s="57">
        <f>COUNTIFS(Oct!$B:$B,2024,Oct!$J:$J,40)</f>
        <v>0</v>
      </c>
      <c r="L34" s="57">
        <f>COUNTIFS(Nov!$B:$B,2024,Nov!$J:$J,40)</f>
        <v>0</v>
      </c>
      <c r="M34" s="57">
        <v>0</v>
      </c>
    </row>
    <row r="35" spans="1:13" s="8" customFormat="1" ht="11.25" customHeight="1">
      <c r="A35" s="10" t="s">
        <v>4</v>
      </c>
      <c r="B35" s="59">
        <f>COUNTIFS(Jan!$B:$B,2024,Jan!$J:$J,15)</f>
        <v>2</v>
      </c>
      <c r="C35" s="59">
        <v>3</v>
      </c>
      <c r="D35" s="59">
        <f>COUNTIFS(Mar!$B:$B,2024,Mar!$J:$J,15)</f>
        <v>0</v>
      </c>
      <c r="E35" s="59">
        <f>COUNTIFS(Apr!$B:$B,2024,Apr!$J:$J,15)</f>
        <v>0</v>
      </c>
      <c r="F35" s="59">
        <f>COUNTIFS(May!$B:$B,2024,May!$J:$J,15)</f>
        <v>0</v>
      </c>
      <c r="G35" s="59">
        <v>1</v>
      </c>
      <c r="H35" s="59">
        <v>1</v>
      </c>
      <c r="I35" s="59">
        <v>2</v>
      </c>
      <c r="J35" s="59">
        <v>1</v>
      </c>
      <c r="K35" s="59">
        <f>COUNTIFS(Oct!$B:$B,2024,Oct!$J:$J,15)</f>
        <v>0</v>
      </c>
      <c r="L35" s="59">
        <f>COUNTIFS(Nov!$B:$B,2024,Nov!$J:$J,15)</f>
        <v>0</v>
      </c>
      <c r="M35" s="59">
        <v>1</v>
      </c>
    </row>
    <row r="36" spans="1:13" s="8" customFormat="1" ht="11.25" customHeight="1">
      <c r="A36" s="10" t="s">
        <v>39</v>
      </c>
      <c r="B36" s="59">
        <f>COUNTIFS(Jan!$B:$B,2024,Jan!$J:$J,29)</f>
        <v>8</v>
      </c>
      <c r="C36" s="59">
        <v>5</v>
      </c>
      <c r="D36" s="59">
        <v>2</v>
      </c>
      <c r="E36" s="59">
        <v>3</v>
      </c>
      <c r="F36" s="59">
        <v>4</v>
      </c>
      <c r="G36" s="59">
        <v>7</v>
      </c>
      <c r="H36" s="59">
        <v>4</v>
      </c>
      <c r="I36" s="59">
        <v>4</v>
      </c>
      <c r="J36" s="59">
        <v>11</v>
      </c>
      <c r="K36" s="59">
        <v>10</v>
      </c>
      <c r="L36" s="59">
        <v>8</v>
      </c>
      <c r="M36" s="59">
        <v>10</v>
      </c>
    </row>
    <row r="37" spans="1:13" s="8" customFormat="1" ht="11.25" customHeight="1">
      <c r="A37" s="10" t="s">
        <v>3</v>
      </c>
      <c r="B37" s="59">
        <f>COUNTIFS(Jan!$B:$B,2024,Jan!$J:$J,13)</f>
        <v>2</v>
      </c>
      <c r="C37" s="59">
        <v>2</v>
      </c>
      <c r="D37" s="59">
        <v>1</v>
      </c>
      <c r="E37" s="59">
        <v>1</v>
      </c>
      <c r="F37" s="59">
        <v>1</v>
      </c>
      <c r="G37" s="59">
        <v>1</v>
      </c>
      <c r="H37" s="59">
        <v>1</v>
      </c>
      <c r="I37" s="59">
        <v>3</v>
      </c>
      <c r="J37" s="59">
        <v>5</v>
      </c>
      <c r="K37" s="59">
        <v>2</v>
      </c>
      <c r="L37" s="59">
        <f>COUNTIFS(Nov!$B:$B,2024,Nov!$J:$J,13)</f>
        <v>0</v>
      </c>
      <c r="M37" s="59">
        <v>4</v>
      </c>
    </row>
    <row r="38" spans="1:13" s="8" customFormat="1" ht="11.25" customHeight="1">
      <c r="A38" s="9" t="s">
        <v>218</v>
      </c>
      <c r="B38" s="59">
        <f>COUNTIFS(Jan!$B:$B,2024,Jan!$J:$J,43)</f>
        <v>6</v>
      </c>
      <c r="C38" s="59">
        <v>4</v>
      </c>
      <c r="D38" s="59">
        <v>3</v>
      </c>
      <c r="E38" s="59">
        <v>11</v>
      </c>
      <c r="F38" s="59">
        <v>4</v>
      </c>
      <c r="G38" s="59">
        <v>6</v>
      </c>
      <c r="H38" s="59">
        <v>8</v>
      </c>
      <c r="I38" s="59">
        <v>9</v>
      </c>
      <c r="J38" s="59">
        <v>9</v>
      </c>
      <c r="K38" s="59">
        <v>3</v>
      </c>
      <c r="L38" s="59">
        <v>10</v>
      </c>
      <c r="M38" s="59">
        <v>7</v>
      </c>
    </row>
    <row r="39" spans="1:13" s="8" customFormat="1" ht="11.25" customHeight="1">
      <c r="A39" s="10" t="s">
        <v>25</v>
      </c>
      <c r="B39" s="59">
        <f>COUNTIFS(Jan!$B:$B,2024,Jan!$J:$J,24)</f>
        <v>16</v>
      </c>
      <c r="C39" s="59">
        <v>5</v>
      </c>
      <c r="D39" s="59">
        <v>13</v>
      </c>
      <c r="E39" s="59">
        <v>8</v>
      </c>
      <c r="F39" s="59">
        <v>13</v>
      </c>
      <c r="G39" s="59">
        <v>4</v>
      </c>
      <c r="H39" s="59">
        <v>13</v>
      </c>
      <c r="I39" s="59">
        <v>13</v>
      </c>
      <c r="J39" s="59">
        <v>13</v>
      </c>
      <c r="K39" s="59">
        <v>8</v>
      </c>
      <c r="L39" s="59">
        <v>19</v>
      </c>
      <c r="M39" s="59">
        <v>7</v>
      </c>
    </row>
    <row r="40" spans="1:13" s="8" customFormat="1" ht="11.25" customHeight="1">
      <c r="A40" s="10" t="s">
        <v>34</v>
      </c>
      <c r="B40" s="59">
        <f>COUNTIFS(Jan!$B:$B,2024,Jan!$J:$J,9)</f>
        <v>0</v>
      </c>
      <c r="C40" s="59">
        <f>COUNTIFS(Feb!$B:$B,2024,Feb!$J:$J,9)</f>
        <v>0</v>
      </c>
      <c r="D40" s="59">
        <f>COUNTIFS(Mar!$B:$B,2024,Mar!$J:$J,9)</f>
        <v>0</v>
      </c>
      <c r="E40" s="59">
        <f>COUNTIFS(Apr!$B:$B,2024,Apr!$J:$J,9)</f>
        <v>0</v>
      </c>
      <c r="F40" s="59">
        <f>COUNTIFS(May!$B:$B,2024,May!$J:$J,9)</f>
        <v>0</v>
      </c>
      <c r="G40" s="59">
        <f>COUNTIFS(Jun!$B:$B,2024,Jun!$J:$J,9)</f>
        <v>0</v>
      </c>
      <c r="H40" s="59">
        <f>COUNTIFS(Jul!$B:$B,2024,Jul!$J:$J,9)</f>
        <v>0</v>
      </c>
      <c r="I40" s="59">
        <f>COUNTIFS(Aug!$B:$B,2024,Aug!$J:$J,9)</f>
        <v>0</v>
      </c>
      <c r="J40" s="59">
        <f>COUNTIFS(Sep!$B:$B,2024,Sep!$J:$J,9)</f>
        <v>0</v>
      </c>
      <c r="K40" s="59">
        <f>COUNTIFS(Oct!$B:$B,2024,Oct!$J:$J,9)</f>
        <v>0</v>
      </c>
      <c r="L40" s="59">
        <f>COUNTIFS(Nov!$B:$B,2024,Nov!$J:$J,9)</f>
        <v>0</v>
      </c>
      <c r="M40" s="59">
        <v>0</v>
      </c>
    </row>
    <row r="41" spans="1:13" s="8" customFormat="1" ht="11.25" customHeight="1">
      <c r="A41" s="10" t="s">
        <v>31</v>
      </c>
      <c r="B41" s="59">
        <f>COUNTIFS(Jan!$B:$B,2024,Jan!$J:$J,10)</f>
        <v>2</v>
      </c>
      <c r="C41" s="59">
        <v>5</v>
      </c>
      <c r="D41" s="59">
        <v>5</v>
      </c>
      <c r="E41" s="59">
        <v>8</v>
      </c>
      <c r="F41" s="59">
        <v>2</v>
      </c>
      <c r="G41" s="59">
        <v>13</v>
      </c>
      <c r="H41" s="59">
        <v>16</v>
      </c>
      <c r="I41" s="59">
        <v>6</v>
      </c>
      <c r="J41" s="59">
        <v>5</v>
      </c>
      <c r="K41" s="59">
        <v>1</v>
      </c>
      <c r="L41" s="59">
        <v>2</v>
      </c>
      <c r="M41" s="59">
        <v>1</v>
      </c>
    </row>
    <row r="42" spans="1:13" s="8" customFormat="1" ht="11.25" customHeight="1">
      <c r="A42" s="10" t="s">
        <v>144</v>
      </c>
      <c r="B42" s="59">
        <f>COUNTIFS(Jan!$B:$B,2024,Jan!$F:$F,462)</f>
        <v>0</v>
      </c>
      <c r="C42" s="59">
        <f>COUNTIFS(Feb!$B:$B,2024,Feb!$F:$F,462)</f>
        <v>0</v>
      </c>
      <c r="D42" s="59">
        <f>COUNTIFS(Mar!$B:$B,2024,Mar!$F:$F,462)</f>
        <v>0</v>
      </c>
      <c r="E42" s="59">
        <f>COUNTIFS(Apr!$B:$B,2024,Apr!$F:$F,462)</f>
        <v>0</v>
      </c>
      <c r="F42" s="59">
        <f>COUNTIFS(May!$B:$B,2024,May!$F:$F,462)</f>
        <v>0</v>
      </c>
      <c r="G42" s="59">
        <f>COUNTIFS(Jun!$B:$B,2024,Jun!$F:$F,462)</f>
        <v>0</v>
      </c>
      <c r="H42" s="59">
        <f>COUNTIFS(Jul!$B:$B,2024,Jul!$F:$F,462)</f>
        <v>0</v>
      </c>
      <c r="I42" s="59">
        <f>COUNTIFS(Aug!$B:$B,2024,Aug!$F:$F,462)</f>
        <v>0</v>
      </c>
      <c r="J42" s="59">
        <f>COUNTIFS(Sep!$B:$B,2024,Sep!$F:$F,462)</f>
        <v>0</v>
      </c>
      <c r="K42" s="59">
        <f>COUNTIFS(Oct!$B:$B,2024,Oct!$F:$F,462)</f>
        <v>0</v>
      </c>
      <c r="L42" s="59">
        <v>1</v>
      </c>
      <c r="M42" s="59">
        <v>0</v>
      </c>
    </row>
    <row r="43" spans="1:13" s="8" customFormat="1" ht="11.25" customHeight="1">
      <c r="A43" s="10" t="s">
        <v>1</v>
      </c>
      <c r="B43" s="59">
        <f>COUNTIFS(Jan!$B:$B,2024,Jan!$J:$J,11)</f>
        <v>1</v>
      </c>
      <c r="C43" s="59">
        <v>1</v>
      </c>
      <c r="D43" s="59">
        <f>COUNTIFS(Mar!$B:$B,2024,Mar!$J:$J,11)</f>
        <v>0</v>
      </c>
      <c r="E43" s="59">
        <v>1</v>
      </c>
      <c r="F43" s="59">
        <v>1</v>
      </c>
      <c r="G43" s="59">
        <v>1</v>
      </c>
      <c r="H43" s="59">
        <f>COUNTIFS(Jul!$B:$B,2024,Jul!$J:$J,11)</f>
        <v>0</v>
      </c>
      <c r="I43" s="59">
        <v>1</v>
      </c>
      <c r="J43" s="59">
        <v>1</v>
      </c>
      <c r="K43" s="59">
        <f>COUNTIFS(Oct!$B:$B,2024,Oct!$J:$J,11)</f>
        <v>0</v>
      </c>
      <c r="L43" s="59">
        <v>1</v>
      </c>
      <c r="M43" s="59">
        <v>1</v>
      </c>
    </row>
    <row r="44" spans="1:13" s="8" customFormat="1" ht="11.25" customHeight="1">
      <c r="A44" s="10" t="s">
        <v>26</v>
      </c>
      <c r="B44" s="59">
        <f>COUNTIFS(Jan!$B:$B,2024,Jan!$J:$J,20)</f>
        <v>0</v>
      </c>
      <c r="C44" s="59">
        <f>COUNTIFS(Feb!$B:$B,2024,Feb!$J:$J,20)</f>
        <v>0</v>
      </c>
      <c r="D44" s="59">
        <f>COUNTIFS(Mar!$B:$B,2024,Mar!$J:$J,20)</f>
        <v>0</v>
      </c>
      <c r="E44" s="59">
        <f>COUNTIFS(Apr!$B:$B,2024,Apr!$J:$J,20)</f>
        <v>0</v>
      </c>
      <c r="F44" s="59">
        <f>COUNTIFS(May!$B:$B,2024,May!$J:$J,20)</f>
        <v>0</v>
      </c>
      <c r="G44" s="59">
        <f>COUNTIFS(Jun!$B:$B,2024,Jun!$J:$J,20)</f>
        <v>0</v>
      </c>
      <c r="H44" s="59">
        <f>COUNTIFS(Jul!$B:$B,2024,Jul!$J:$J,20)</f>
        <v>0</v>
      </c>
      <c r="I44" s="59">
        <f>COUNTIFS(Aug!$B:$B,2024,Aug!$J:$J,20)</f>
        <v>0</v>
      </c>
      <c r="J44" s="59">
        <f>COUNTIFS(Sep!$B:$B,2024,Sep!$J:$J,20)</f>
        <v>0</v>
      </c>
      <c r="K44" s="59">
        <v>1</v>
      </c>
      <c r="L44" s="59">
        <f>COUNTIFS(Nov!$B:$B,2024,Nov!$J:$J,20)</f>
        <v>0</v>
      </c>
      <c r="M44" s="59">
        <v>0</v>
      </c>
    </row>
    <row r="45" spans="1:13" s="8" customFormat="1" ht="11.25" customHeight="1">
      <c r="A45" s="10" t="s">
        <v>32</v>
      </c>
      <c r="B45" s="59">
        <f>COUNTIFS(Jan!$B:$B,2024,Jan!$J:$J,2)</f>
        <v>13</v>
      </c>
      <c r="C45" s="59">
        <v>19</v>
      </c>
      <c r="D45" s="59">
        <v>14</v>
      </c>
      <c r="E45" s="59">
        <v>10</v>
      </c>
      <c r="F45" s="59">
        <v>12</v>
      </c>
      <c r="G45" s="59">
        <v>21</v>
      </c>
      <c r="H45" s="59">
        <v>24</v>
      </c>
      <c r="I45" s="59">
        <v>21</v>
      </c>
      <c r="J45" s="59">
        <v>13</v>
      </c>
      <c r="K45" s="59">
        <v>5</v>
      </c>
      <c r="L45" s="59">
        <v>19</v>
      </c>
      <c r="M45" s="59">
        <v>21</v>
      </c>
    </row>
    <row r="46" spans="1:13" s="8" customFormat="1" ht="11.25" customHeight="1">
      <c r="A46" s="10" t="s">
        <v>28</v>
      </c>
      <c r="B46" s="59">
        <f>COUNTIFS(Jan!$B:$B,2024,Jan!$J:$J,1700)+COUNTIFS(Jan!$B:$B,2024,Jan!$F:$F,1700)+COUNTIFS(Jan!$B:$B,2024,Jan!$J:$J,19)</f>
        <v>0</v>
      </c>
      <c r="C46" s="59">
        <f>COUNTIFS(Feb!$B:$B,2024,Feb!$J:$J,1700)+COUNTIFS(Feb!$B:$B,2024,Feb!$F:$F,1700)+COUNTIFS(Feb!$B:$B,2024,Feb!$J:$J,19)</f>
        <v>0</v>
      </c>
      <c r="D46" s="59">
        <f>COUNTIFS(Mar!$B:$B,2024,Mar!$J:$J,1700)+COUNTIFS(Mar!$B:$B,2024,Mar!$F:$F,1700)+COUNTIFS(Mar!$B:$B,2024,Mar!$J:$J,19)</f>
        <v>0</v>
      </c>
      <c r="E46" s="59">
        <f>COUNTIFS(Apr!$B:$B,2024,Apr!$J:$J,1700)+COUNTIFS(Apr!$B:$B,2024,Apr!$F:$F,1700)+COUNTIFS(Apr!$B:$B,2024,Apr!$J:$J,19)</f>
        <v>0</v>
      </c>
      <c r="F46" s="59">
        <f>COUNTIFS(May!$B:$B,2024,May!$J:$J,1700)+COUNTIFS(May!$B:$B,2024,May!$F:$F,1700)+COUNTIFS(May!$B:$B,2024,May!$J:$J,19)</f>
        <v>0</v>
      </c>
      <c r="G46" s="59">
        <f>COUNTIFS(Jun!$B:$B,2024,Jun!$J:$J,1700)+COUNTIFS(Jun!$B:$B,2024,Jun!$F:$F,1700)+COUNTIFS(Jun!$B:$B,2024,Jun!$J:$J,19)</f>
        <v>0</v>
      </c>
      <c r="H46" s="59">
        <f>COUNTIFS(Jul!$B:$B,2024,Jul!$J:$J,1700)+COUNTIFS(Jul!$B:$B,2024,Jul!$F:$F,1700)+COUNTIFS(Jul!$B:$B,2024,Jul!$J:$J,19)</f>
        <v>0</v>
      </c>
      <c r="I46" s="59">
        <f>COUNTIFS(Aug!$B:$B,2024,Aug!$J:$J,1700)+COUNTIFS(Aug!$B:$B,2024,Aug!$F:$F,1700)+COUNTIFS(Aug!$B:$B,2024,Aug!$J:$J,19)</f>
        <v>0</v>
      </c>
      <c r="J46" s="59">
        <f>COUNTIFS(Sep!$B:$B,2024,Sep!$J:$J,1700)+COUNTIFS(Sep!$B:$B,2024,Sep!$F:$F,1700)+COUNTIFS(Sep!$B:$B,2024,Sep!$J:$J,19)</f>
        <v>0</v>
      </c>
      <c r="K46" s="59">
        <f>COUNTIFS(Oct!$B:$B,2024,Oct!$J:$J,1700)+COUNTIFS(Oct!$B:$B,2024,Oct!$F:$F,1700)+COUNTIFS(Oct!$B:$B,2024,Oct!$J:$J,19)</f>
        <v>0</v>
      </c>
      <c r="L46" s="59">
        <v>1</v>
      </c>
      <c r="M46" s="59">
        <v>1</v>
      </c>
    </row>
    <row r="47" spans="1:13" s="8" customFormat="1" ht="11.25" customHeight="1">
      <c r="A47" s="10" t="s">
        <v>0</v>
      </c>
      <c r="B47" s="59">
        <f>COUNTIFS(Jan!$B:$B,2024,Jan!$J:$J,3)</f>
        <v>4</v>
      </c>
      <c r="C47" s="59">
        <v>3</v>
      </c>
      <c r="D47" s="59">
        <f>COUNTIFS(Mar!$B:$B,2024,Mar!$J:$J,3)</f>
        <v>0</v>
      </c>
      <c r="E47" s="59">
        <v>2</v>
      </c>
      <c r="F47" s="59">
        <v>1</v>
      </c>
      <c r="G47" s="59">
        <v>3</v>
      </c>
      <c r="H47" s="59">
        <v>3</v>
      </c>
      <c r="I47" s="59">
        <v>4</v>
      </c>
      <c r="J47" s="59">
        <v>2</v>
      </c>
      <c r="K47" s="59">
        <v>2</v>
      </c>
      <c r="L47" s="59">
        <f>COUNTIFS(Nov!$B:$B,2024,Nov!$J:$J,3)</f>
        <v>0</v>
      </c>
      <c r="M47" s="59">
        <v>5</v>
      </c>
    </row>
    <row r="48" spans="1:13" s="8" customFormat="1" ht="11.25" customHeight="1">
      <c r="A48" s="10" t="s">
        <v>35</v>
      </c>
      <c r="B48" s="59">
        <f>COUNTIFS(Jan!$B:$B,2024,Jan!$J:$J,7400)</f>
        <v>0</v>
      </c>
      <c r="C48" s="59">
        <f>COUNTIFS(Feb!$B:$B,2024,Feb!$J:$J,7400)</f>
        <v>0</v>
      </c>
      <c r="D48" s="59">
        <f>COUNTIFS(Mar!$B:$B,2024,Mar!$J:$J,7400)</f>
        <v>0</v>
      </c>
      <c r="E48" s="59">
        <f>COUNTIFS(Apr!$B:$B,2024,Apr!$J:$J,7400)</f>
        <v>0</v>
      </c>
      <c r="F48" s="59">
        <f>COUNTIFS(May!$B:$B,2024,May!$J:$J,7400)</f>
        <v>0</v>
      </c>
      <c r="G48" s="59">
        <f>COUNTIFS(Jun!$B:$B,2024,Jun!$J:$J,7400)</f>
        <v>0</v>
      </c>
      <c r="H48" s="59">
        <f>COUNTIFS(Jul!$B:$B,2024,Jul!$J:$J,7400)</f>
        <v>0</v>
      </c>
      <c r="I48" s="59">
        <v>1</v>
      </c>
      <c r="J48" s="59">
        <f>COUNTIFS(Sep!$B:$B,2024,Sep!$J:$J,7400)</f>
        <v>0</v>
      </c>
      <c r="K48" s="59">
        <f>COUNTIFS(Oct!$B:$B,2024,Oct!$J:$J,7400)</f>
        <v>0</v>
      </c>
      <c r="L48" s="59">
        <f>COUNTIFS(Nov!$B:$B,2024,Nov!$J:$J,7400)</f>
        <v>0</v>
      </c>
      <c r="M48" s="59">
        <v>0</v>
      </c>
    </row>
    <row r="49" spans="1:13" s="8" customFormat="1" ht="11.25" customHeight="1">
      <c r="A49" s="10" t="s">
        <v>2</v>
      </c>
      <c r="B49" s="59">
        <f>COUNTIFS(Jan!$B:$B,2024,Jan!$J:$J,14)</f>
        <v>0</v>
      </c>
      <c r="C49" s="59">
        <v>1</v>
      </c>
      <c r="D49" s="59">
        <f>COUNTIFS(Mar!$B:$B,2024,Mar!$J:$J,14)</f>
        <v>0</v>
      </c>
      <c r="E49" s="59">
        <f>COUNTIFS(Apr!$B:$B,2024,Apr!$J:$J,14)</f>
        <v>0</v>
      </c>
      <c r="F49" s="59">
        <v>1</v>
      </c>
      <c r="G49" s="59">
        <f>COUNTIFS(Jun!$B:$B,2024,Jun!$J:$J,14)</f>
        <v>0</v>
      </c>
      <c r="H49" s="59">
        <f>COUNTIFS(Jul!$B:$B,2024,Jul!$J:$J,14)</f>
        <v>0</v>
      </c>
      <c r="I49" s="59">
        <f>COUNTIFS(Aug!$B:$B,2024,Aug!$J:$J,14)</f>
        <v>0</v>
      </c>
      <c r="J49" s="59">
        <v>2</v>
      </c>
      <c r="K49" s="59">
        <f>COUNTIFS(Oct!$B:$B,2024,Oct!$J:$J,14)</f>
        <v>0</v>
      </c>
      <c r="L49" s="59">
        <v>1</v>
      </c>
      <c r="M49" s="59">
        <v>0</v>
      </c>
    </row>
    <row r="50" spans="1:13" s="8" customFormat="1" ht="11.25" customHeight="1">
      <c r="A50" s="10" t="s">
        <v>142</v>
      </c>
      <c r="B50" s="59">
        <f>COUNTIFS(Jan!$B:$B,2024,Jan!$F:$F,466)</f>
        <v>0</v>
      </c>
      <c r="C50" s="59">
        <f>COUNTIFS(Feb!$B:$B,2024,Feb!$F:$F,466)</f>
        <v>0</v>
      </c>
      <c r="D50" s="59">
        <v>1</v>
      </c>
      <c r="E50" s="59">
        <v>1</v>
      </c>
      <c r="F50" s="59">
        <f>COUNTIFS(May!$B:$B,2024,May!$F:$F,466)</f>
        <v>0</v>
      </c>
      <c r="G50" s="59">
        <f>COUNTIFS(Jun!$B:$B,2024,Jun!$F:$F,466)</f>
        <v>0</v>
      </c>
      <c r="H50" s="59">
        <v>1</v>
      </c>
      <c r="I50" s="59">
        <f>COUNTIFS(Aug!$B:$B,2024,Aug!$F:$F,466)</f>
        <v>0</v>
      </c>
      <c r="J50" s="59">
        <v>1</v>
      </c>
      <c r="K50" s="59">
        <f>COUNTIFS(Oct!$B:$B,2024,Oct!$F:$F,466)</f>
        <v>0</v>
      </c>
      <c r="L50" s="59">
        <f>COUNTIFS(Nov!$B:$B,2024,Nov!$F:$F,466)</f>
        <v>0</v>
      </c>
      <c r="M50" s="59">
        <v>1</v>
      </c>
    </row>
    <row r="51" spans="1:13" s="8" customFormat="1" ht="11.25" customHeight="1">
      <c r="A51" s="10" t="s">
        <v>27</v>
      </c>
      <c r="B51" s="59">
        <f>COUNTIFS(Jan!$B:$B,2024,Jan!$J:$J,25)</f>
        <v>0</v>
      </c>
      <c r="C51" s="59">
        <v>1</v>
      </c>
      <c r="D51" s="59">
        <f>COUNTIFS(Mar!$B:$B,2024,Mar!$J:$J,25)</f>
        <v>0</v>
      </c>
      <c r="E51" s="59">
        <f>COUNTIFS(Apr!$B:$B,2024,Apr!$J:$J,25)</f>
        <v>0</v>
      </c>
      <c r="F51" s="59">
        <f>COUNTIFS(May!$B:$B,2024,May!$J:$J,25)</f>
        <v>0</v>
      </c>
      <c r="G51" s="59">
        <f>COUNTIFS(Jun!$B:$B,2024,Jun!$J:$J,25)</f>
        <v>0</v>
      </c>
      <c r="H51" s="59">
        <f>COUNTIFS(Jul!$B:$B,2024,Jul!$J:$J,25)</f>
        <v>0</v>
      </c>
      <c r="I51" s="59">
        <f>COUNTIFS(Aug!$B:$B,2024,Aug!$J:$J,25)</f>
        <v>0</v>
      </c>
      <c r="J51" s="59">
        <f>COUNTIFS(Sep!$B:$B,2024,Sep!$J:$J,25)</f>
        <v>0</v>
      </c>
      <c r="K51" s="59">
        <v>1</v>
      </c>
      <c r="L51" s="59">
        <f>COUNTIFS(Nov!$B:$B,2024,Nov!$J:$J,25)</f>
        <v>0</v>
      </c>
      <c r="M51" s="59">
        <v>0</v>
      </c>
    </row>
    <row r="52" spans="1:13" s="8" customFormat="1" ht="11.25" customHeight="1" thickBot="1">
      <c r="A52" s="11" t="s">
        <v>16</v>
      </c>
      <c r="B52" s="60">
        <f t="shared" ref="B52:G52" si="11">SUM(B34:B51)</f>
        <v>54</v>
      </c>
      <c r="C52" s="60">
        <f t="shared" si="11"/>
        <v>49</v>
      </c>
      <c r="D52" s="60">
        <f t="shared" si="11"/>
        <v>39</v>
      </c>
      <c r="E52" s="60">
        <f t="shared" si="11"/>
        <v>45</v>
      </c>
      <c r="F52" s="60">
        <f t="shared" si="11"/>
        <v>40</v>
      </c>
      <c r="G52" s="60">
        <f t="shared" si="11"/>
        <v>57</v>
      </c>
      <c r="H52" s="60">
        <f t="shared" ref="H52:M52" si="12">SUM(H34:H51)</f>
        <v>71</v>
      </c>
      <c r="I52" s="60">
        <f t="shared" si="12"/>
        <v>64</v>
      </c>
      <c r="J52" s="60">
        <f t="shared" si="12"/>
        <v>64</v>
      </c>
      <c r="K52" s="60">
        <f t="shared" si="12"/>
        <v>33</v>
      </c>
      <c r="L52" s="159">
        <f t="shared" si="12"/>
        <v>62</v>
      </c>
      <c r="M52" s="170">
        <f t="shared" si="12"/>
        <v>59</v>
      </c>
    </row>
    <row r="53" spans="1:13" ht="12" customHeight="1" thickBot="1">
      <c r="A53" s="55" t="s">
        <v>137</v>
      </c>
      <c r="B53" s="50">
        <v>41275</v>
      </c>
      <c r="C53" s="47">
        <v>41306</v>
      </c>
      <c r="D53" s="47">
        <v>41334</v>
      </c>
      <c r="E53" s="47">
        <v>41365</v>
      </c>
      <c r="F53" s="47">
        <v>41395</v>
      </c>
      <c r="G53" s="47">
        <v>41426</v>
      </c>
      <c r="H53" s="47">
        <v>41456</v>
      </c>
      <c r="I53" s="47">
        <v>41487</v>
      </c>
      <c r="J53" s="47">
        <v>41518</v>
      </c>
      <c r="K53" s="47">
        <v>41548</v>
      </c>
      <c r="L53" s="47">
        <v>41579</v>
      </c>
      <c r="M53" s="51">
        <v>41609</v>
      </c>
    </row>
    <row r="54" spans="1:13" s="8" customFormat="1" ht="11.25" customHeight="1">
      <c r="A54" s="10" t="s">
        <v>30</v>
      </c>
      <c r="B54" s="57">
        <f>COUNTIFS(Jan!$B:$B,2024,Jan!$J:$J,7)</f>
        <v>1</v>
      </c>
      <c r="C54" s="57">
        <v>2</v>
      </c>
      <c r="D54" s="57">
        <v>1</v>
      </c>
      <c r="E54" s="57">
        <v>2</v>
      </c>
      <c r="F54" s="57">
        <v>4</v>
      </c>
      <c r="G54" s="57">
        <v>5</v>
      </c>
      <c r="H54" s="57">
        <v>6</v>
      </c>
      <c r="I54" s="57">
        <v>2</v>
      </c>
      <c r="J54" s="57">
        <v>3</v>
      </c>
      <c r="K54" s="57">
        <v>1</v>
      </c>
      <c r="L54" s="57">
        <v>2</v>
      </c>
      <c r="M54" s="57">
        <v>8</v>
      </c>
    </row>
    <row r="55" spans="1:13" s="8" customFormat="1" ht="11.25" customHeight="1">
      <c r="A55" s="10" t="s">
        <v>29</v>
      </c>
      <c r="B55" s="59">
        <f>COUNTIFS(Jan!$B:$B,2024,Jan!$J:$J,8)</f>
        <v>0</v>
      </c>
      <c r="C55" s="59">
        <f>COUNTIFS(Feb!$B:$B,2024,Feb!$J:$J,8)</f>
        <v>0</v>
      </c>
      <c r="D55" s="59">
        <f>COUNTIFS(Mar!$B:$B,2024,Mar!$J:$J,8)</f>
        <v>0</v>
      </c>
      <c r="E55" s="59">
        <f>COUNTIFS(Apr!$B:$B,2024,Apr!$J:$J,8)</f>
        <v>0</v>
      </c>
      <c r="F55" s="59">
        <f>COUNTIFS(May!$B:$B,2024,May!$J:$J,8)</f>
        <v>0</v>
      </c>
      <c r="G55" s="59">
        <f>COUNTIFS(Jun!$B:$B,2024,Jun!$J:$J,8)</f>
        <v>0</v>
      </c>
      <c r="H55" s="59">
        <f>COUNTIFS(Jul!$B:$B,2024,Jul!$J:$J,8)</f>
        <v>0</v>
      </c>
      <c r="I55" s="59">
        <f>COUNTIFS(Aug!$B:$B,2024,Aug!$J:$J,8)</f>
        <v>0</v>
      </c>
      <c r="J55" s="59">
        <f>COUNTIFS(Sep!$B:$B,2024,Sep!$J:$J,8)</f>
        <v>0</v>
      </c>
      <c r="K55" s="59">
        <f>COUNTIFS(Oct!$B:$B,2024,Oct!$J:$J,8)</f>
        <v>0</v>
      </c>
      <c r="L55" s="59">
        <f>COUNTIFS(Nov!$B:$B,2024,Nov!$J:$J,8)</f>
        <v>0</v>
      </c>
      <c r="M55" s="59">
        <v>0</v>
      </c>
    </row>
    <row r="56" spans="1:13" s="8" customFormat="1" ht="11.25" customHeight="1">
      <c r="A56" s="10" t="s">
        <v>7</v>
      </c>
      <c r="B56" s="59">
        <f>COUNTIFS(Jan!$B:$B,2024,Jan!$J:$J,12)</f>
        <v>10</v>
      </c>
      <c r="C56" s="59">
        <v>14</v>
      </c>
      <c r="D56" s="59">
        <v>16</v>
      </c>
      <c r="E56" s="59">
        <v>6</v>
      </c>
      <c r="F56" s="59">
        <v>8</v>
      </c>
      <c r="G56" s="59">
        <v>12</v>
      </c>
      <c r="H56" s="59">
        <v>10</v>
      </c>
      <c r="I56" s="59">
        <v>16</v>
      </c>
      <c r="J56" s="59">
        <v>8</v>
      </c>
      <c r="K56" s="59">
        <v>5</v>
      </c>
      <c r="L56" s="59">
        <v>21</v>
      </c>
      <c r="M56" s="59">
        <v>23</v>
      </c>
    </row>
    <row r="57" spans="1:13" s="8" customFormat="1" ht="11.25" customHeight="1">
      <c r="A57" s="10" t="s">
        <v>10</v>
      </c>
      <c r="B57" s="59">
        <f>COUNTIFS(Jan!$B:$B,2024,Jan!$J:$J,5100)</f>
        <v>0</v>
      </c>
      <c r="C57" s="59">
        <f>COUNTIFS(Feb!$B:$B,2024,Feb!$J:$J,5100)</f>
        <v>0</v>
      </c>
      <c r="D57" s="59">
        <f>COUNTIFS(Mar!$B:$B,2024,Mar!$J:$J,5100)</f>
        <v>0</v>
      </c>
      <c r="E57" s="59">
        <f>COUNTIFS(Apr!$B:$B,2024,Apr!$J:$J,5100)</f>
        <v>0</v>
      </c>
      <c r="F57" s="59">
        <f>COUNTIFS(May!$B:$B,2024,May!$J:$J,5100)</f>
        <v>0</v>
      </c>
      <c r="G57" s="59">
        <v>3</v>
      </c>
      <c r="H57" s="59">
        <v>6</v>
      </c>
      <c r="I57" s="59">
        <v>4</v>
      </c>
      <c r="J57" s="59">
        <v>2</v>
      </c>
      <c r="K57" s="59">
        <v>0</v>
      </c>
      <c r="L57" s="59">
        <f>COUNTIFS(Nov!$B:$B,2024,Nov!$J:$J,5100)</f>
        <v>0</v>
      </c>
      <c r="M57" s="59">
        <v>0</v>
      </c>
    </row>
    <row r="58" spans="1:13" s="8" customFormat="1" ht="11.25" customHeight="1">
      <c r="A58" s="10" t="s">
        <v>36</v>
      </c>
      <c r="B58" s="59">
        <f>COUNTIFS(Jan!$B:$B,2024,Jan!$J:$J,6200)</f>
        <v>0</v>
      </c>
      <c r="C58" s="59">
        <f>COUNTIFS(Feb!$B:$B,2024,Feb!$J:$J,6200)</f>
        <v>0</v>
      </c>
      <c r="D58" s="59">
        <f>COUNTIFS(Mar!$B:$B,2024,Mar!$J:$J,6200)</f>
        <v>0</v>
      </c>
      <c r="E58" s="59">
        <f>COUNTIFS(Apr!$B:$B,2024,Apr!$J:$J,6200)</f>
        <v>0</v>
      </c>
      <c r="F58" s="59">
        <f>COUNTIFS(May!$B:$B,2024,May!$J:$J,6200)</f>
        <v>0</v>
      </c>
      <c r="G58" s="59">
        <v>7</v>
      </c>
      <c r="H58" s="59">
        <f>COUNTIFS(Jul!$B:$B,2024,Jul!$J:$J,6200)</f>
        <v>0</v>
      </c>
      <c r="I58" s="59">
        <f>COUNTIFS(Aug!$B:$B,2024,Aug!$J:$J,6200)</f>
        <v>0</v>
      </c>
      <c r="J58" s="59">
        <f>COUNTIFS(Sep!$B:$B,2024,Sep!$J:$J,6200)</f>
        <v>0</v>
      </c>
      <c r="K58" s="59">
        <f>COUNTIFS(Oct!$B:$B,2024,Oct!$J:$J,6200)</f>
        <v>0</v>
      </c>
      <c r="L58" s="59">
        <f>COUNTIFS(Nov!$B:$B,2024,Nov!$J:$J,6200)</f>
        <v>0</v>
      </c>
      <c r="M58" s="59">
        <v>0</v>
      </c>
    </row>
    <row r="59" spans="1:13" s="8" customFormat="1" ht="11.25" customHeight="1">
      <c r="A59" s="10" t="s">
        <v>145</v>
      </c>
      <c r="B59" s="59">
        <f>COUNTIFS(Jan!$B:$B,2024,Jan!$J:$J,28)</f>
        <v>0</v>
      </c>
      <c r="C59" s="59">
        <f>COUNTIFS(Feb!$B:$B,2024,Feb!$J:$J,28)</f>
        <v>0</v>
      </c>
      <c r="D59" s="59">
        <f>COUNTIFS(Mar!$B:$B,2024,Mar!$J:$J,28)</f>
        <v>0</v>
      </c>
      <c r="E59" s="59">
        <f>COUNTIFS(Apr!$B:$B,2024,Apr!$J:$J,28)</f>
        <v>0</v>
      </c>
      <c r="F59" s="59">
        <f>COUNTIFS(May!$B:$B,2024,May!$J:$J,28)</f>
        <v>0</v>
      </c>
      <c r="G59" s="59">
        <f>COUNTIFS(Jun!$B:$B,2024,Jun!$J:$J,28)</f>
        <v>0</v>
      </c>
      <c r="H59" s="59">
        <f>COUNTIFS(Jul!$B:$B,2024,Jul!$J:$J,28)</f>
        <v>0</v>
      </c>
      <c r="I59" s="59">
        <f>COUNTIFS(Aug!$B:$B,2024,Aug!$J:$J,28)</f>
        <v>0</v>
      </c>
      <c r="J59" s="59">
        <f>COUNTIFS(Sep!$B:$B,2024,Sep!$J:$J,28)</f>
        <v>0</v>
      </c>
      <c r="K59" s="59">
        <f>COUNTIFS(Oct!$B:$B,2024,Oct!$J:$J,28)</f>
        <v>0</v>
      </c>
      <c r="L59" s="59">
        <f>COUNTIFS(Nov!$B:$B,2024,Nov!$J:$J,28)</f>
        <v>0</v>
      </c>
      <c r="M59" s="59">
        <v>0</v>
      </c>
    </row>
    <row r="60" spans="1:13" s="8" customFormat="1" ht="11.25" customHeight="1">
      <c r="A60" s="10" t="s">
        <v>38</v>
      </c>
      <c r="B60" s="59">
        <f>COUNTIFS(Jan!$B:$B,2024,Jan!$J:$J,6100)</f>
        <v>0</v>
      </c>
      <c r="C60" s="59">
        <v>3</v>
      </c>
      <c r="D60" s="59">
        <f>COUNTIFS(Mar!$B:$B,2024,Mar!$J:$J,6100)</f>
        <v>0</v>
      </c>
      <c r="E60" s="59">
        <f>COUNTIFS(Apr!$B:$B,2024,Apr!$J:$J,6100)</f>
        <v>0</v>
      </c>
      <c r="F60" s="59">
        <f>COUNTIFS(May!$B:$B,2024,May!$J:$J,6100)</f>
        <v>0</v>
      </c>
      <c r="G60" s="59">
        <v>5</v>
      </c>
      <c r="H60" s="59">
        <f>COUNTIFS(Jul!$B:$B,2024,Jul!$J:$J,6100)</f>
        <v>0</v>
      </c>
      <c r="I60" s="59">
        <v>1</v>
      </c>
      <c r="J60" s="59">
        <f>COUNTIFS(Sep!$B:$B,2024,Sep!$J:$J,6100)</f>
        <v>0</v>
      </c>
      <c r="K60" s="59">
        <f>COUNTIFS(Oct!$B:$B,2024,Oct!$J:$J,6100)</f>
        <v>0</v>
      </c>
      <c r="L60" s="59">
        <f>COUNTIFS(Nov!$B:$B,2024,Nov!$J:$J,6100)</f>
        <v>0</v>
      </c>
      <c r="M60" s="59">
        <v>2</v>
      </c>
    </row>
    <row r="61" spans="1:13" s="8" customFormat="1" ht="11.25" customHeight="1">
      <c r="A61" s="10" t="s">
        <v>9</v>
      </c>
      <c r="B61" s="59">
        <f>COUNTIFS(Jan!$B:$B,2024,Jan!$J:$J,6)</f>
        <v>0</v>
      </c>
      <c r="C61" s="59">
        <f>COUNTIFS(Feb!$B:$B,2024,Feb!$J:$J,6)</f>
        <v>0</v>
      </c>
      <c r="D61" s="59">
        <f>COUNTIFS(Mar!$B:$B,2024,Mar!$J:$J,6)</f>
        <v>0</v>
      </c>
      <c r="E61" s="59">
        <f>COUNTIFS(Apr!$B:$B,2024,Apr!$J:$J,6)</f>
        <v>0</v>
      </c>
      <c r="F61" s="59">
        <f>COUNTIFS(May!$B:$B,2024,May!$J:$J,6)</f>
        <v>0</v>
      </c>
      <c r="G61" s="59">
        <f>COUNTIFS(Jun!$B:$B,2024,Jun!$J:$J,6)</f>
        <v>0</v>
      </c>
      <c r="H61" s="59">
        <f>COUNTIFS(Jul!$B:$B,2024,Jul!$J:$J,6)</f>
        <v>0</v>
      </c>
      <c r="I61" s="59">
        <f>COUNTIFS(Aug!$B:$B,2024,Aug!$J:$J,6)</f>
        <v>0</v>
      </c>
      <c r="J61" s="59">
        <f>COUNTIFS(Sep!$B:$B,2024,Sep!$J:$J,6)</f>
        <v>0</v>
      </c>
      <c r="K61" s="59">
        <f>COUNTIFS(Oct!$B:$B,2024,Oct!$J:$J,6)</f>
        <v>0</v>
      </c>
      <c r="L61" s="59">
        <f>COUNTIFS(Nov!$B:$B,2024,Nov!$J:$J,6)</f>
        <v>0</v>
      </c>
      <c r="M61" s="59">
        <v>1</v>
      </c>
    </row>
    <row r="62" spans="1:13" s="8" customFormat="1" ht="11.25" customHeight="1">
      <c r="A62" s="10" t="s">
        <v>8</v>
      </c>
      <c r="B62" s="59">
        <f>COUNTIFS(Jan!$B:$B,2024,Jan!$J:$J,4)</f>
        <v>0</v>
      </c>
      <c r="C62" s="59">
        <f>COUNTIFS(Feb!$B:$B,2024,Feb!$J:$J,4)</f>
        <v>0</v>
      </c>
      <c r="D62" s="59">
        <f>COUNTIFS(Mar!$B:$B,2024,Mar!$J:$J,4)</f>
        <v>0</v>
      </c>
      <c r="E62" s="59">
        <f>COUNTIFS(Apr!$B:$B,2024,Apr!$J:$J,4)</f>
        <v>0</v>
      </c>
      <c r="F62" s="59">
        <f>COUNTIFS(May!$B:$B,2024,May!$J:$J,4)</f>
        <v>0</v>
      </c>
      <c r="G62" s="59">
        <f>COUNTIFS(Jun!$B:$B,2024,Jun!$J:$J,4)</f>
        <v>0</v>
      </c>
      <c r="H62" s="59">
        <f>COUNTIFS(Jul!$B:$B,2024,Jul!$J:$J,4)</f>
        <v>0</v>
      </c>
      <c r="I62" s="59">
        <f>COUNTIFS(Aug!$B:$B,2024,Aug!$J:$J,4)</f>
        <v>0</v>
      </c>
      <c r="J62" s="59">
        <f>COUNTIFS(Sep!$B:$B,2024,Sep!$J:$J,4)</f>
        <v>0</v>
      </c>
      <c r="K62" s="59">
        <f>COUNTIFS(Oct!$B:$B,2024,Oct!$J:$J,4)</f>
        <v>0</v>
      </c>
      <c r="L62" s="59">
        <f>COUNTIFS(Nov!$B:$B,2024,Nov!$J:$J,4)</f>
        <v>0</v>
      </c>
      <c r="M62" s="59">
        <v>0</v>
      </c>
    </row>
    <row r="63" spans="1:13" s="8" customFormat="1" ht="11.25" customHeight="1">
      <c r="A63" s="10" t="s">
        <v>6</v>
      </c>
      <c r="B63" s="59">
        <f>COUNTIFS(Jan!$B:$B,2024,Jan!$J:$J,5)</f>
        <v>0</v>
      </c>
      <c r="C63" s="59">
        <f>COUNTIFS(Feb!$B:$B,2024,Feb!$J:$J,5)</f>
        <v>0</v>
      </c>
      <c r="D63" s="59">
        <f>COUNTIFS(Mar!$B:$B,2024,Mar!$J:$J,5)</f>
        <v>0</v>
      </c>
      <c r="E63" s="59">
        <f>COUNTIFS(Apr!$B:$B,2024,Apr!$J:$J,5)</f>
        <v>0</v>
      </c>
      <c r="F63" s="59">
        <f>COUNTIFS(May!$B:$B,2024,May!$J:$J,5)</f>
        <v>0</v>
      </c>
      <c r="G63" s="59">
        <f>COUNTIFS(Jun!$B:$B,2024,Jun!$J:$J,5)</f>
        <v>0</v>
      </c>
      <c r="H63" s="59">
        <f>COUNTIFS(Jul!$B:$B,2024,Jul!$J:$J,5)</f>
        <v>0</v>
      </c>
      <c r="I63" s="59">
        <f>COUNTIFS(Aug!$B:$B,2024,Aug!$J:$J,5)</f>
        <v>0</v>
      </c>
      <c r="J63" s="59">
        <f>COUNTIFS(Sep!$B:$B,2024,Sep!$J:$J,5)</f>
        <v>0</v>
      </c>
      <c r="K63" s="59">
        <f>COUNTIFS(Oct!$B:$B,2024,Oct!$J:$J,5)</f>
        <v>0</v>
      </c>
      <c r="L63" s="59">
        <f>COUNTIFS(Nov!$B:$B,2024,Nov!$J:$J,5)</f>
        <v>0</v>
      </c>
      <c r="M63" s="59">
        <v>0</v>
      </c>
    </row>
    <row r="64" spans="1:13" s="8" customFormat="1" ht="11.25" customHeight="1">
      <c r="A64" s="52" t="s">
        <v>141</v>
      </c>
      <c r="B64" s="69">
        <f>COUNTIFS(Jan!$B:$B,2024,Jan!$F:$F,456)</f>
        <v>6</v>
      </c>
      <c r="C64" s="69">
        <v>4</v>
      </c>
      <c r="D64" s="69">
        <v>3</v>
      </c>
      <c r="E64" s="69">
        <v>3</v>
      </c>
      <c r="F64" s="69">
        <v>4</v>
      </c>
      <c r="G64" s="69">
        <v>2</v>
      </c>
      <c r="H64" s="69">
        <v>1</v>
      </c>
      <c r="I64" s="69">
        <f>COUNTIFS(Aug!$B:$B,2024,Aug!$F:$F,456)</f>
        <v>0</v>
      </c>
      <c r="J64" s="69">
        <f>COUNTIFS(Sep!$B:$B,2024,Sep!$F:$F,456)</f>
        <v>0</v>
      </c>
      <c r="K64" s="69">
        <f>COUNTIFS(Oct!$B:$B,2024,Oct!$F:$F,456)</f>
        <v>0</v>
      </c>
      <c r="L64" s="69">
        <v>1</v>
      </c>
      <c r="M64" s="69">
        <v>2</v>
      </c>
    </row>
    <row r="65" spans="1:13" s="8" customFormat="1" ht="11.25" customHeight="1" thickBot="1">
      <c r="A65" s="12" t="s">
        <v>16</v>
      </c>
      <c r="B65" s="70">
        <f>SUM(B54:B64)</f>
        <v>17</v>
      </c>
      <c r="C65" s="70">
        <f t="shared" ref="C65:M65" si="13">SUM(C54:C64)</f>
        <v>23</v>
      </c>
      <c r="D65" s="70">
        <f>SUM(D54:D64)</f>
        <v>20</v>
      </c>
      <c r="E65" s="70">
        <f>SUM(E54:E64)</f>
        <v>11</v>
      </c>
      <c r="F65" s="70">
        <f>SUM(F54:F64)</f>
        <v>16</v>
      </c>
      <c r="G65" s="70">
        <f>SUM(G54:G64)</f>
        <v>34</v>
      </c>
      <c r="H65" s="70">
        <f t="shared" si="13"/>
        <v>23</v>
      </c>
      <c r="I65" s="70">
        <f t="shared" si="13"/>
        <v>23</v>
      </c>
      <c r="J65" s="70">
        <f t="shared" si="13"/>
        <v>13</v>
      </c>
      <c r="K65" s="70">
        <f t="shared" si="13"/>
        <v>6</v>
      </c>
      <c r="L65" s="165">
        <f t="shared" si="13"/>
        <v>24</v>
      </c>
      <c r="M65" s="170">
        <f t="shared" si="13"/>
        <v>36</v>
      </c>
    </row>
    <row r="66" spans="1:13" s="8" customFormat="1" ht="15.75" customHeight="1">
      <c r="A66" s="6"/>
      <c r="B66" s="7"/>
      <c r="C66" s="7"/>
      <c r="D66" s="7"/>
      <c r="E66" s="7"/>
      <c r="F66" s="7"/>
      <c r="G66" s="7"/>
      <c r="H66" s="7"/>
      <c r="I66" s="7"/>
      <c r="J66" s="7"/>
      <c r="K66" s="7"/>
      <c r="L66" s="7"/>
      <c r="M66" s="7"/>
    </row>
    <row r="67" spans="1:13" ht="12" customHeight="1">
      <c r="A67" s="6"/>
      <c r="B67" s="7"/>
      <c r="C67" s="7"/>
      <c r="D67" s="7"/>
      <c r="E67" s="7"/>
      <c r="F67" s="7"/>
      <c r="G67" s="7"/>
      <c r="H67" s="7"/>
      <c r="I67" s="7"/>
      <c r="J67" s="7"/>
      <c r="K67" s="7"/>
      <c r="L67" s="7"/>
      <c r="M67" s="7"/>
    </row>
  </sheetData>
  <phoneticPr fontId="0" type="noConversion"/>
  <printOptions horizontalCentered="1" verticalCentered="1"/>
  <pageMargins left="0.14000000000000001" right="0.16" top="0.25" bottom="0.5" header="0.5" footer="0.25"/>
  <pageSetup scale="95" firstPageNumber="3" orientation="portrait" useFirstPageNumber="1" r:id="rId1"/>
  <headerFooter alignWithMargins="0">
    <oddFooter>&amp;R10 of 51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67"/>
  <sheetViews>
    <sheetView view="pageBreakPreview" topLeftCell="A19" zoomScale="90" zoomScaleNormal="100" zoomScaleSheetLayoutView="90" workbookViewId="0">
      <selection activeCell="M47" sqref="M47"/>
    </sheetView>
  </sheetViews>
  <sheetFormatPr defaultRowHeight="12.75"/>
  <cols>
    <col min="1" max="1" width="22.85546875" style="1" customWidth="1"/>
    <col min="2" max="13" width="7.140625" style="1" customWidth="1"/>
    <col min="14" max="14" width="4.42578125" style="1" customWidth="1"/>
    <col min="15" max="16384" width="9.140625" style="1"/>
  </cols>
  <sheetData>
    <row r="1" spans="1:21" ht="18" customHeight="1">
      <c r="A1" s="130"/>
      <c r="B1" s="131"/>
      <c r="C1" s="131"/>
      <c r="D1" s="131"/>
      <c r="E1" s="131"/>
      <c r="F1" s="131"/>
      <c r="G1" s="131"/>
      <c r="H1" s="130"/>
      <c r="I1" s="131"/>
      <c r="J1" s="131"/>
      <c r="K1" s="131"/>
      <c r="L1" s="130"/>
      <c r="M1" s="143" t="s">
        <v>202</v>
      </c>
    </row>
    <row r="2" spans="1:21" ht="18" customHeight="1">
      <c r="A2" s="130"/>
      <c r="B2" s="135"/>
      <c r="C2" s="135"/>
      <c r="D2" s="135"/>
      <c r="E2" s="135"/>
      <c r="F2" s="135"/>
      <c r="G2" s="135"/>
      <c r="H2" s="130"/>
      <c r="I2" s="135"/>
      <c r="J2" s="135"/>
      <c r="K2" s="135"/>
      <c r="L2" s="130"/>
      <c r="M2" s="155" t="s">
        <v>2182</v>
      </c>
    </row>
    <row r="3" spans="1:21" s="5" customFormat="1" ht="18" customHeight="1">
      <c r="A3" s="133"/>
      <c r="B3" s="133"/>
      <c r="C3" s="133"/>
      <c r="D3" s="133"/>
      <c r="E3" s="133"/>
      <c r="F3" s="133"/>
      <c r="G3" s="133"/>
      <c r="H3" s="133"/>
      <c r="I3" s="133"/>
      <c r="J3" s="136"/>
      <c r="K3" s="136"/>
      <c r="L3" s="133"/>
      <c r="M3" s="155" t="s">
        <v>206</v>
      </c>
      <c r="N3" s="134"/>
      <c r="O3" s="134"/>
      <c r="P3" s="134"/>
      <c r="Q3" s="134"/>
      <c r="R3" s="134"/>
      <c r="S3" s="134"/>
      <c r="T3" s="134"/>
      <c r="U3" s="134"/>
    </row>
    <row r="4" spans="1:21" s="8" customFormat="1" ht="6.75" customHeight="1" thickBot="1">
      <c r="A4" s="38"/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</row>
    <row r="5" spans="1:21" s="8" customFormat="1" ht="11.25" customHeight="1" thickBot="1">
      <c r="A5" s="53" t="s">
        <v>19</v>
      </c>
      <c r="B5" s="50">
        <v>41275</v>
      </c>
      <c r="C5" s="47">
        <v>41306</v>
      </c>
      <c r="D5" s="47">
        <v>41334</v>
      </c>
      <c r="E5" s="47">
        <v>41365</v>
      </c>
      <c r="F5" s="47">
        <v>41395</v>
      </c>
      <c r="G5" s="47">
        <v>41426</v>
      </c>
      <c r="H5" s="47">
        <v>41456</v>
      </c>
      <c r="I5" s="47">
        <v>41487</v>
      </c>
      <c r="J5" s="47">
        <v>41518</v>
      </c>
      <c r="K5" s="47">
        <v>41548</v>
      </c>
      <c r="L5" s="47">
        <v>41579</v>
      </c>
      <c r="M5" s="51">
        <v>41609</v>
      </c>
    </row>
    <row r="6" spans="1:21" s="8" customFormat="1" ht="11.25" customHeight="1">
      <c r="A6" s="41" t="s">
        <v>129</v>
      </c>
      <c r="B6" s="57">
        <f t="shared" ref="B6:M6" si="0">B32</f>
        <v>30</v>
      </c>
      <c r="C6" s="57">
        <f t="shared" si="0"/>
        <v>24</v>
      </c>
      <c r="D6" s="57">
        <f t="shared" si="0"/>
        <v>21</v>
      </c>
      <c r="E6" s="57">
        <f t="shared" si="0"/>
        <v>30</v>
      </c>
      <c r="F6" s="57">
        <f t="shared" si="0"/>
        <v>31</v>
      </c>
      <c r="G6" s="57">
        <f t="shared" si="0"/>
        <v>18</v>
      </c>
      <c r="H6" s="57">
        <f t="shared" si="0"/>
        <v>41</v>
      </c>
      <c r="I6" s="57">
        <f t="shared" si="0"/>
        <v>31</v>
      </c>
      <c r="J6" s="57">
        <f t="shared" si="0"/>
        <v>29</v>
      </c>
      <c r="K6" s="57">
        <f t="shared" si="0"/>
        <v>16</v>
      </c>
      <c r="L6" s="156">
        <f t="shared" si="0"/>
        <v>26</v>
      </c>
      <c r="M6" s="168">
        <f t="shared" si="0"/>
        <v>53</v>
      </c>
    </row>
    <row r="7" spans="1:21" s="8" customFormat="1" ht="11.25" customHeight="1">
      <c r="A7" s="42" t="s">
        <v>18</v>
      </c>
      <c r="B7" s="57">
        <f t="shared" ref="B7:M7" si="1">SUM(B10:B12)</f>
        <v>38</v>
      </c>
      <c r="C7" s="57">
        <f t="shared" si="1"/>
        <v>47</v>
      </c>
      <c r="D7" s="57">
        <f t="shared" si="1"/>
        <v>77</v>
      </c>
      <c r="E7" s="57">
        <f t="shared" si="1"/>
        <v>94</v>
      </c>
      <c r="F7" s="57">
        <f t="shared" si="1"/>
        <v>61</v>
      </c>
      <c r="G7" s="57">
        <f t="shared" si="1"/>
        <v>94</v>
      </c>
      <c r="H7" s="57">
        <f t="shared" si="1"/>
        <v>160</v>
      </c>
      <c r="I7" s="57">
        <f t="shared" si="1"/>
        <v>118</v>
      </c>
      <c r="J7" s="57">
        <f t="shared" si="1"/>
        <v>83</v>
      </c>
      <c r="K7" s="57">
        <f t="shared" si="1"/>
        <v>90</v>
      </c>
      <c r="L7" s="156">
        <f t="shared" si="1"/>
        <v>71</v>
      </c>
      <c r="M7" s="171">
        <f t="shared" si="1"/>
        <v>98</v>
      </c>
    </row>
    <row r="8" spans="1:21" s="8" customFormat="1" ht="11.25" customHeight="1" thickBot="1">
      <c r="A8" s="43" t="s">
        <v>14</v>
      </c>
      <c r="B8" s="58">
        <f t="shared" ref="B8:M8" si="2">SUM(B6:B7)</f>
        <v>68</v>
      </c>
      <c r="C8" s="58">
        <f t="shared" si="2"/>
        <v>71</v>
      </c>
      <c r="D8" s="58">
        <f t="shared" si="2"/>
        <v>98</v>
      </c>
      <c r="E8" s="58">
        <f t="shared" si="2"/>
        <v>124</v>
      </c>
      <c r="F8" s="58">
        <f t="shared" si="2"/>
        <v>92</v>
      </c>
      <c r="G8" s="58">
        <f t="shared" si="2"/>
        <v>112</v>
      </c>
      <c r="H8" s="58">
        <f t="shared" si="2"/>
        <v>201</v>
      </c>
      <c r="I8" s="58">
        <f t="shared" si="2"/>
        <v>149</v>
      </c>
      <c r="J8" s="58">
        <f t="shared" si="2"/>
        <v>112</v>
      </c>
      <c r="K8" s="58">
        <f t="shared" si="2"/>
        <v>106</v>
      </c>
      <c r="L8" s="157">
        <f t="shared" si="2"/>
        <v>97</v>
      </c>
      <c r="M8" s="172">
        <f t="shared" si="2"/>
        <v>151</v>
      </c>
    </row>
    <row r="9" spans="1:21" s="8" customFormat="1" ht="11.25" customHeight="1" thickBot="1">
      <c r="A9" s="54" t="s">
        <v>18</v>
      </c>
      <c r="B9" s="50">
        <v>41275</v>
      </c>
      <c r="C9" s="47">
        <v>41306</v>
      </c>
      <c r="D9" s="47">
        <v>41334</v>
      </c>
      <c r="E9" s="47">
        <v>41365</v>
      </c>
      <c r="F9" s="47">
        <v>41395</v>
      </c>
      <c r="G9" s="47">
        <v>41426</v>
      </c>
      <c r="H9" s="47">
        <v>41456</v>
      </c>
      <c r="I9" s="47">
        <v>41487</v>
      </c>
      <c r="J9" s="47">
        <v>41518</v>
      </c>
      <c r="K9" s="47">
        <v>41548</v>
      </c>
      <c r="L9" s="47">
        <v>41579</v>
      </c>
      <c r="M9" s="51">
        <v>41609</v>
      </c>
    </row>
    <row r="10" spans="1:21" s="8" customFormat="1" ht="11.25" customHeight="1">
      <c r="A10" s="9" t="s">
        <v>128</v>
      </c>
      <c r="B10" s="57">
        <f t="shared" ref="B10:M10" si="3">B52</f>
        <v>21</v>
      </c>
      <c r="C10" s="57">
        <f t="shared" si="3"/>
        <v>31</v>
      </c>
      <c r="D10" s="57">
        <f t="shared" si="3"/>
        <v>47</v>
      </c>
      <c r="E10" s="57">
        <f t="shared" si="3"/>
        <v>47</v>
      </c>
      <c r="F10" s="57">
        <f t="shared" si="3"/>
        <v>38</v>
      </c>
      <c r="G10" s="59">
        <f t="shared" si="3"/>
        <v>57</v>
      </c>
      <c r="H10" s="59">
        <f t="shared" si="3"/>
        <v>93</v>
      </c>
      <c r="I10" s="59">
        <f t="shared" si="3"/>
        <v>80</v>
      </c>
      <c r="J10" s="59">
        <f t="shared" si="3"/>
        <v>54</v>
      </c>
      <c r="K10" s="59">
        <f t="shared" si="3"/>
        <v>45</v>
      </c>
      <c r="L10" s="158">
        <f t="shared" si="3"/>
        <v>40</v>
      </c>
      <c r="M10" s="168">
        <f t="shared" si="3"/>
        <v>43</v>
      </c>
    </row>
    <row r="11" spans="1:21" s="8" customFormat="1" ht="11.25" customHeight="1">
      <c r="A11" s="9" t="s">
        <v>127</v>
      </c>
      <c r="B11" s="59">
        <f t="shared" ref="B11:M11" si="4">B65</f>
        <v>8</v>
      </c>
      <c r="C11" s="59">
        <f t="shared" si="4"/>
        <v>4</v>
      </c>
      <c r="D11" s="59">
        <f t="shared" si="4"/>
        <v>14</v>
      </c>
      <c r="E11" s="59">
        <f t="shared" si="4"/>
        <v>21</v>
      </c>
      <c r="F11" s="59">
        <f t="shared" si="4"/>
        <v>12</v>
      </c>
      <c r="G11" s="59">
        <f t="shared" si="4"/>
        <v>15</v>
      </c>
      <c r="H11" s="59">
        <f t="shared" si="4"/>
        <v>33</v>
      </c>
      <c r="I11" s="59">
        <f t="shared" si="4"/>
        <v>9</v>
      </c>
      <c r="J11" s="59">
        <f t="shared" si="4"/>
        <v>12</v>
      </c>
      <c r="K11" s="59">
        <f t="shared" si="4"/>
        <v>10</v>
      </c>
      <c r="L11" s="158">
        <f t="shared" si="4"/>
        <v>12</v>
      </c>
      <c r="M11" s="169">
        <f t="shared" si="4"/>
        <v>28</v>
      </c>
    </row>
    <row r="12" spans="1:21" s="8" customFormat="1" ht="11.25" customHeight="1" thickBot="1">
      <c r="A12" s="2" t="s">
        <v>12</v>
      </c>
      <c r="B12" s="60">
        <f>COUNTIFS(Jan!$B:$B,2031,Jan!$F:$F,800)</f>
        <v>9</v>
      </c>
      <c r="C12" s="60">
        <v>12</v>
      </c>
      <c r="D12" s="60">
        <v>16</v>
      </c>
      <c r="E12" s="60">
        <v>26</v>
      </c>
      <c r="F12" s="60">
        <v>11</v>
      </c>
      <c r="G12" s="60">
        <v>22</v>
      </c>
      <c r="H12" s="60">
        <v>34</v>
      </c>
      <c r="I12" s="60">
        <v>29</v>
      </c>
      <c r="J12" s="60">
        <v>17</v>
      </c>
      <c r="K12" s="60">
        <v>35</v>
      </c>
      <c r="L12" s="60">
        <v>19</v>
      </c>
      <c r="M12" s="60">
        <v>27</v>
      </c>
    </row>
    <row r="13" spans="1:21" s="8" customFormat="1" ht="5.0999999999999996" customHeight="1" thickBot="1">
      <c r="A13" s="3"/>
      <c r="B13" s="17"/>
      <c r="C13" s="17"/>
      <c r="D13" s="17"/>
      <c r="E13" s="17"/>
      <c r="F13" s="17"/>
      <c r="G13" s="17"/>
      <c r="H13" s="17"/>
      <c r="I13" s="17"/>
      <c r="J13" s="17"/>
      <c r="K13" s="17"/>
      <c r="L13" s="17"/>
      <c r="M13" s="147"/>
    </row>
    <row r="14" spans="1:21" s="16" customFormat="1" ht="11.25" customHeight="1">
      <c r="A14" s="44" t="s">
        <v>131</v>
      </c>
      <c r="B14" s="120">
        <v>21509</v>
      </c>
      <c r="C14" s="120">
        <v>23995</v>
      </c>
      <c r="D14" s="120">
        <v>25232</v>
      </c>
      <c r="E14" s="120">
        <v>23429</v>
      </c>
      <c r="F14" s="120">
        <v>21431</v>
      </c>
      <c r="G14" s="120">
        <v>24049</v>
      </c>
      <c r="H14" s="119">
        <v>22919</v>
      </c>
      <c r="I14" s="61">
        <v>19887</v>
      </c>
      <c r="J14" s="61">
        <v>18916</v>
      </c>
      <c r="K14" s="118">
        <v>33395</v>
      </c>
      <c r="L14" s="160">
        <v>28462</v>
      </c>
      <c r="M14" s="173">
        <v>25312</v>
      </c>
      <c r="O14" s="22"/>
      <c r="P14" s="22"/>
      <c r="Q14" s="22"/>
    </row>
    <row r="15" spans="1:21" s="8" customFormat="1" ht="11.25" customHeight="1">
      <c r="A15" s="45" t="s">
        <v>132</v>
      </c>
      <c r="B15" s="62">
        <f>IFERROR((SUMIFS(Jan!$N:$N,Jan!$J:$J,1,Jan!$B:$B,2031)+SUMIFS(Jan!$N:$N,Jan!$D:$D,"&gt;1",Jan!$B:$B,2031))/(COUNTIFS(Jan!$J:$J,1,Jan!$B:$B,2031)+COUNTIFS(Jan!$D:$D,"&gt;1",Jan!$B:$B,2031)),"")</f>
        <v>25.928571428571427</v>
      </c>
      <c r="C15" s="62">
        <v>24.89</v>
      </c>
      <c r="D15" s="62">
        <v>25.1</v>
      </c>
      <c r="E15" s="62">
        <v>23.84</v>
      </c>
      <c r="F15" s="62">
        <v>24.51</v>
      </c>
      <c r="G15" s="62">
        <v>27.2</v>
      </c>
      <c r="H15" s="62">
        <v>26.44</v>
      </c>
      <c r="I15" s="62">
        <v>26.31</v>
      </c>
      <c r="J15" s="62">
        <v>23.78</v>
      </c>
      <c r="K15" s="62">
        <v>25.56</v>
      </c>
      <c r="L15" s="62">
        <v>24.8</v>
      </c>
      <c r="M15" s="62">
        <v>23.45</v>
      </c>
      <c r="N15" s="15"/>
      <c r="O15" s="1"/>
      <c r="P15" s="1"/>
      <c r="Q15" s="1"/>
    </row>
    <row r="16" spans="1:21" s="8" customFormat="1" ht="11.25" customHeight="1">
      <c r="A16" s="45" t="s">
        <v>133</v>
      </c>
      <c r="B16" s="62">
        <f>IFERROR(AVERAGEIFS(Jan!$N:$N,Jan!$F:$F,800,Jan!$B:$B,2031),"")</f>
        <v>26.333333333333332</v>
      </c>
      <c r="C16" s="62">
        <v>27.42</v>
      </c>
      <c r="D16" s="62">
        <v>24.45</v>
      </c>
      <c r="E16" s="62">
        <v>24.09</v>
      </c>
      <c r="F16" s="62">
        <v>22.73</v>
      </c>
      <c r="G16" s="62">
        <v>27.77</v>
      </c>
      <c r="H16" s="62">
        <v>28.15</v>
      </c>
      <c r="I16" s="62">
        <v>26.94</v>
      </c>
      <c r="J16" s="62">
        <v>25.06</v>
      </c>
      <c r="K16" s="62">
        <v>25.89</v>
      </c>
      <c r="L16" s="62">
        <v>25.55</v>
      </c>
      <c r="M16" s="62">
        <v>25.1</v>
      </c>
      <c r="O16" s="1"/>
      <c r="P16" s="1"/>
      <c r="Q16" s="1"/>
    </row>
    <row r="17" spans="1:17" s="8" customFormat="1" ht="11.25" customHeight="1">
      <c r="A17" s="45" t="s">
        <v>134</v>
      </c>
      <c r="B17" s="63">
        <f>IFERROR((SUMIFS(Jan!$M:$M,Jan!$J:$J,1,Jan!$B:$B,2031)+SUMIFS(Jan!$M:$M,Jan!$D:$D,"&gt;1",Jan!$B:$B,2031))/(COUNTIFS(Jan!$J:$J,1,Jan!$B:$B,2031)+COUNTIFS(Jan!$D:$D,"&gt;1",Jan!$B:$B,2031)),"")</f>
        <v>0.63571428571428579</v>
      </c>
      <c r="C17" s="63">
        <v>3.05</v>
      </c>
      <c r="D17" s="63">
        <v>3.27</v>
      </c>
      <c r="E17" s="63">
        <v>4.3499999999999996</v>
      </c>
      <c r="F17" s="63">
        <v>3.48</v>
      </c>
      <c r="G17" s="63">
        <v>2.15</v>
      </c>
      <c r="H17" s="63">
        <v>1.5</v>
      </c>
      <c r="I17" s="63">
        <v>2.0099999999999998</v>
      </c>
      <c r="J17" s="63">
        <v>3.15</v>
      </c>
      <c r="K17" s="63">
        <v>2.59</v>
      </c>
      <c r="L17" s="63">
        <v>2.75</v>
      </c>
      <c r="M17" s="63">
        <v>5.48</v>
      </c>
      <c r="O17" s="1"/>
      <c r="P17" s="1"/>
      <c r="Q17" s="1"/>
    </row>
    <row r="18" spans="1:17" s="8" customFormat="1" ht="11.25" customHeight="1" thickBot="1">
      <c r="A18" s="43" t="s">
        <v>135</v>
      </c>
      <c r="B18" s="64">
        <f>IFERROR(AVERAGEIFS(Jan!$M:$M,Jan!$F:$F,800,Jan!$B:$B,2031),"")</f>
        <v>0.65555555555555556</v>
      </c>
      <c r="C18" s="64">
        <v>3.03</v>
      </c>
      <c r="D18" s="64">
        <v>2.93</v>
      </c>
      <c r="E18" s="64">
        <v>4.21</v>
      </c>
      <c r="F18" s="64">
        <v>0.65</v>
      </c>
      <c r="G18" s="64">
        <v>2.4500000000000002</v>
      </c>
      <c r="H18" s="64">
        <v>0.62</v>
      </c>
      <c r="I18" s="64">
        <v>0.63</v>
      </c>
      <c r="J18" s="64">
        <v>2.25</v>
      </c>
      <c r="K18" s="64">
        <v>1.83</v>
      </c>
      <c r="L18" s="64">
        <v>3.42</v>
      </c>
      <c r="M18" s="64">
        <v>2.82</v>
      </c>
    </row>
    <row r="19" spans="1:17" s="8" customFormat="1" ht="5.0999999999999996" customHeight="1" thickBot="1">
      <c r="A19" s="3"/>
      <c r="B19" s="17"/>
      <c r="C19" s="17"/>
      <c r="D19" s="17"/>
      <c r="E19" s="17"/>
      <c r="F19" s="17"/>
      <c r="G19" s="17"/>
      <c r="H19" s="17"/>
      <c r="I19" s="17"/>
      <c r="J19" s="17"/>
      <c r="K19" s="17"/>
      <c r="L19" s="17"/>
      <c r="M19" s="147"/>
    </row>
    <row r="20" spans="1:17" s="8" customFormat="1" ht="11.25" customHeight="1">
      <c r="A20" s="42" t="s">
        <v>52</v>
      </c>
      <c r="B20" s="65">
        <v>31</v>
      </c>
      <c r="C20" s="65">
        <v>28</v>
      </c>
      <c r="D20" s="65">
        <v>31</v>
      </c>
      <c r="E20" s="65">
        <v>30</v>
      </c>
      <c r="F20" s="65">
        <v>31</v>
      </c>
      <c r="G20" s="65">
        <v>30</v>
      </c>
      <c r="H20" s="65">
        <v>31</v>
      </c>
      <c r="I20" s="65">
        <v>31</v>
      </c>
      <c r="J20" s="65">
        <v>30</v>
      </c>
      <c r="K20" s="65">
        <v>31</v>
      </c>
      <c r="L20" s="161">
        <v>30</v>
      </c>
      <c r="M20" s="174">
        <v>31</v>
      </c>
    </row>
    <row r="21" spans="1:17" s="8" customFormat="1" ht="11.25" customHeight="1">
      <c r="A21" s="9" t="s">
        <v>15</v>
      </c>
      <c r="B21" s="66">
        <f>B12/B20</f>
        <v>0.29032258064516131</v>
      </c>
      <c r="C21" s="66">
        <f t="shared" ref="C21:M21" si="5">C12/C20</f>
        <v>0.42857142857142855</v>
      </c>
      <c r="D21" s="66">
        <f>D12/D20</f>
        <v>0.5161290322580645</v>
      </c>
      <c r="E21" s="66">
        <f>E12/E20</f>
        <v>0.8666666666666667</v>
      </c>
      <c r="F21" s="66">
        <f>F12/F20</f>
        <v>0.35483870967741937</v>
      </c>
      <c r="G21" s="66">
        <f>G12/G20</f>
        <v>0.73333333333333328</v>
      </c>
      <c r="H21" s="66">
        <f t="shared" si="5"/>
        <v>1.096774193548387</v>
      </c>
      <c r="I21" s="66">
        <f t="shared" si="5"/>
        <v>0.93548387096774188</v>
      </c>
      <c r="J21" s="66">
        <f t="shared" si="5"/>
        <v>0.56666666666666665</v>
      </c>
      <c r="K21" s="66">
        <f t="shared" si="5"/>
        <v>1.1290322580645162</v>
      </c>
      <c r="L21" s="162">
        <f t="shared" si="5"/>
        <v>0.6333333333333333</v>
      </c>
      <c r="M21" s="175">
        <f t="shared" si="5"/>
        <v>0.87096774193548387</v>
      </c>
    </row>
    <row r="22" spans="1:17" s="8" customFormat="1" ht="11.25" customHeight="1">
      <c r="A22" s="9" t="s">
        <v>130</v>
      </c>
      <c r="B22" s="67">
        <f t="shared" ref="B22:G22" si="6">IFERROR(B12/B7,0)</f>
        <v>0.23684210526315788</v>
      </c>
      <c r="C22" s="67">
        <f t="shared" si="6"/>
        <v>0.25531914893617019</v>
      </c>
      <c r="D22" s="67">
        <f t="shared" si="6"/>
        <v>0.20779220779220781</v>
      </c>
      <c r="E22" s="67">
        <f t="shared" si="6"/>
        <v>0.27659574468085107</v>
      </c>
      <c r="F22" s="67">
        <f t="shared" si="6"/>
        <v>0.18032786885245902</v>
      </c>
      <c r="G22" s="67">
        <f t="shared" si="6"/>
        <v>0.23404255319148937</v>
      </c>
      <c r="H22" s="67">
        <f t="shared" ref="H22:M22" si="7">IFERROR(H12/H7,0)</f>
        <v>0.21249999999999999</v>
      </c>
      <c r="I22" s="67">
        <f t="shared" si="7"/>
        <v>0.24576271186440679</v>
      </c>
      <c r="J22" s="67">
        <f t="shared" si="7"/>
        <v>0.20481927710843373</v>
      </c>
      <c r="K22" s="116">
        <f t="shared" si="7"/>
        <v>0.3888888888888889</v>
      </c>
      <c r="L22" s="67">
        <f t="shared" si="7"/>
        <v>0.26760563380281688</v>
      </c>
      <c r="M22" s="176">
        <f t="shared" si="7"/>
        <v>0.27551020408163263</v>
      </c>
      <c r="N22" s="1"/>
    </row>
    <row r="23" spans="1:17" s="8" customFormat="1" ht="11.25" customHeight="1" thickBot="1">
      <c r="A23" s="9" t="s">
        <v>53</v>
      </c>
      <c r="B23" s="67">
        <f t="shared" ref="B23:G23" si="8">IFERROR(B12/(B11+B12),0)</f>
        <v>0.52941176470588236</v>
      </c>
      <c r="C23" s="67">
        <f t="shared" si="8"/>
        <v>0.75</v>
      </c>
      <c r="D23" s="67">
        <f t="shared" si="8"/>
        <v>0.53333333333333333</v>
      </c>
      <c r="E23" s="67">
        <f t="shared" si="8"/>
        <v>0.55319148936170215</v>
      </c>
      <c r="F23" s="67">
        <f t="shared" si="8"/>
        <v>0.47826086956521741</v>
      </c>
      <c r="G23" s="67">
        <f t="shared" si="8"/>
        <v>0.59459459459459463</v>
      </c>
      <c r="H23" s="67">
        <f t="shared" ref="H23:M23" si="9">IFERROR(H12/(H11+H12),0)</f>
        <v>0.5074626865671642</v>
      </c>
      <c r="I23" s="67">
        <f t="shared" si="9"/>
        <v>0.76315789473684215</v>
      </c>
      <c r="J23" s="67">
        <f t="shared" si="9"/>
        <v>0.58620689655172409</v>
      </c>
      <c r="K23" s="117">
        <f t="shared" si="9"/>
        <v>0.77777777777777779</v>
      </c>
      <c r="L23" s="163">
        <f t="shared" si="9"/>
        <v>0.61290322580645162</v>
      </c>
      <c r="M23" s="177">
        <f t="shared" si="9"/>
        <v>0.49090909090909091</v>
      </c>
      <c r="N23" s="4"/>
    </row>
    <row r="24" spans="1:17" s="8" customFormat="1" ht="11.25" customHeight="1" thickBot="1">
      <c r="A24" s="56" t="s">
        <v>21</v>
      </c>
      <c r="B24" s="50">
        <v>41275</v>
      </c>
      <c r="C24" s="47">
        <v>41306</v>
      </c>
      <c r="D24" s="47">
        <v>41334</v>
      </c>
      <c r="E24" s="47">
        <v>41365</v>
      </c>
      <c r="F24" s="47">
        <v>41395</v>
      </c>
      <c r="G24" s="47">
        <v>41426</v>
      </c>
      <c r="H24" s="47">
        <v>41456</v>
      </c>
      <c r="I24" s="47">
        <v>41487</v>
      </c>
      <c r="J24" s="47">
        <v>41518</v>
      </c>
      <c r="K24" s="47">
        <v>41548</v>
      </c>
      <c r="L24" s="47">
        <v>41579</v>
      </c>
      <c r="M24" s="51">
        <v>41609</v>
      </c>
    </row>
    <row r="25" spans="1:17" s="8" customFormat="1" ht="11.25" customHeight="1">
      <c r="A25" s="18" t="s">
        <v>5</v>
      </c>
      <c r="B25" s="68">
        <f>COUNTIFS(Jan!$B:$B,2031,Jan!$J:$J,18)</f>
        <v>12</v>
      </c>
      <c r="C25" s="68">
        <v>7</v>
      </c>
      <c r="D25" s="68">
        <v>3</v>
      </c>
      <c r="E25" s="68">
        <v>17</v>
      </c>
      <c r="F25" s="68">
        <v>8</v>
      </c>
      <c r="G25" s="68">
        <v>4</v>
      </c>
      <c r="H25" s="68">
        <v>12</v>
      </c>
      <c r="I25" s="68">
        <v>11</v>
      </c>
      <c r="J25" s="68">
        <v>11</v>
      </c>
      <c r="K25" s="68">
        <v>6</v>
      </c>
      <c r="L25" s="68">
        <v>5</v>
      </c>
      <c r="M25" s="68">
        <v>12</v>
      </c>
    </row>
    <row r="26" spans="1:17" s="8" customFormat="1" ht="11.25" customHeight="1">
      <c r="A26" s="46" t="s">
        <v>40</v>
      </c>
      <c r="B26" s="57">
        <f>COUNTIFS(Jan!$B:$B,2031,Jan!$J:$J,41)</f>
        <v>0</v>
      </c>
      <c r="C26" s="57">
        <f>COUNTIFS(Feb!$B:$B,2031,Feb!$J:$J,41)</f>
        <v>0</v>
      </c>
      <c r="D26" s="57">
        <f>COUNTIFS(Mar!$B:$B,2031,Mar!$J:$J,41)</f>
        <v>0</v>
      </c>
      <c r="E26" s="57">
        <f>COUNTIFS(Apr!$B:$B,2031,Apr!$J:$J,41)</f>
        <v>0</v>
      </c>
      <c r="F26" s="57">
        <v>4</v>
      </c>
      <c r="G26" s="57">
        <f>COUNTIFS(Jun!$B:$B,2031,Jun!$J:$J,41)</f>
        <v>0</v>
      </c>
      <c r="H26" s="57">
        <f>COUNTIFS(Jul!$B:$B,2031,Jul!$J:$J,41)</f>
        <v>0</v>
      </c>
      <c r="I26" s="57">
        <f>COUNTIFS(Aug!$B:$B,2031,Aug!$J:$J,41)</f>
        <v>0</v>
      </c>
      <c r="J26" s="57">
        <f>COUNTIFS(Sep!$B:$B,2031,Sep!$J:$J,41)</f>
        <v>0</v>
      </c>
      <c r="K26" s="57">
        <f>COUNTIFS(Oct!$B:$B,2031,Oct!$J:$J,41)</f>
        <v>0</v>
      </c>
      <c r="L26" s="57">
        <f>COUNTIFS(Nov!$B:$B,2031,Nov!$J:$J,41)</f>
        <v>0</v>
      </c>
      <c r="M26" s="57">
        <v>5</v>
      </c>
    </row>
    <row r="27" spans="1:17" s="8" customFormat="1" ht="11.25" customHeight="1">
      <c r="A27" s="9" t="s">
        <v>11</v>
      </c>
      <c r="B27" s="179">
        <f>COUNTIFS(Jan!$B:$B,2031,Jan!$J:$J,17)</f>
        <v>17</v>
      </c>
      <c r="C27" s="206">
        <v>17</v>
      </c>
      <c r="D27" s="206">
        <v>18</v>
      </c>
      <c r="E27" s="206">
        <v>11</v>
      </c>
      <c r="F27" s="206">
        <v>16</v>
      </c>
      <c r="G27" s="206">
        <v>13</v>
      </c>
      <c r="H27" s="206">
        <v>25</v>
      </c>
      <c r="I27" s="206">
        <v>19</v>
      </c>
      <c r="J27" s="206">
        <v>16</v>
      </c>
      <c r="K27" s="206">
        <v>9</v>
      </c>
      <c r="L27" s="206">
        <v>18</v>
      </c>
      <c r="M27" s="206">
        <v>32</v>
      </c>
    </row>
    <row r="28" spans="1:17" s="8" customFormat="1" ht="11.25" customHeight="1">
      <c r="A28" s="9" t="s">
        <v>143</v>
      </c>
      <c r="B28" s="59">
        <f>COUNTIFS(Jan!$B:$B,2031,Jan!$F:$F,455)</f>
        <v>0</v>
      </c>
      <c r="C28" s="59">
        <f>COUNTIFS(Feb!$B:$B,2031,Feb!$F:$F,455)</f>
        <v>0</v>
      </c>
      <c r="D28" s="59">
        <f>COUNTIFS(Mar!$B:$B,2031,Mar!$F:$F,455)</f>
        <v>0</v>
      </c>
      <c r="E28" s="59">
        <f>COUNTIFS(Apr!$B:$B,2031,Apr!$F:$F,455)</f>
        <v>0</v>
      </c>
      <c r="F28" s="59">
        <f>COUNTIFS(May!$B:$B,2031,May!$F:$F,455)</f>
        <v>0</v>
      </c>
      <c r="G28" s="59">
        <f>COUNTIFS(Jun!$B:$B,2031,Jun!$F:$F,455)</f>
        <v>0</v>
      </c>
      <c r="H28" s="59">
        <f>COUNTIFS(Jul!$B:$B,2031,Jul!$F:$F,455)</f>
        <v>0</v>
      </c>
      <c r="I28" s="59">
        <f>COUNTIFS(Aug!$B:$B,2031,Aug!$F:$F,455)</f>
        <v>0</v>
      </c>
      <c r="J28" s="59">
        <f>COUNTIFS(Sep!$B:$B,2031,Sep!$F:$F,455)</f>
        <v>0</v>
      </c>
      <c r="K28" s="59">
        <f>COUNTIFS(Oct!$B:$B,2031,Oct!$F:$F,455)</f>
        <v>0</v>
      </c>
      <c r="L28" s="59">
        <f>COUNTIFS(Nov!$B:$B,2031,Nov!$F:$F,455)</f>
        <v>0</v>
      </c>
      <c r="M28" s="59">
        <v>0</v>
      </c>
    </row>
    <row r="29" spans="1:17" s="8" customFormat="1" ht="11.25" customHeight="1">
      <c r="A29" s="9" t="s">
        <v>23</v>
      </c>
      <c r="B29" s="59">
        <f>COUNTIFS(Jan!$B:$B,2031,Jan!$J:$J,31)</f>
        <v>0</v>
      </c>
      <c r="C29" s="59">
        <f>COUNTIFS(Feb!$B:$B,2031,Feb!$J:$J,31)</f>
        <v>0</v>
      </c>
      <c r="D29" s="59">
        <f>COUNTIFS(Mar!$B:$B,2031,Mar!$J:$J,31)</f>
        <v>0</v>
      </c>
      <c r="E29" s="59">
        <f>COUNTIFS(Apr!$B:$B,2031,Apr!$J:$J,31)</f>
        <v>0</v>
      </c>
      <c r="F29" s="59">
        <f>COUNTIFS(May!$B:$B,2031,May!$J:$J,31)</f>
        <v>0</v>
      </c>
      <c r="G29" s="59">
        <f>COUNTIFS(Jun!$B:$B,2031,Jun!$J:$J,31)</f>
        <v>0</v>
      </c>
      <c r="H29" s="59">
        <f>COUNTIFS(Jul!$B:$B,2031,Jul!$J:$J,31)</f>
        <v>0</v>
      </c>
      <c r="I29" s="59">
        <f>COUNTIFS(Aug!$B:$B,2031,Aug!$J:$J,31)</f>
        <v>0</v>
      </c>
      <c r="J29" s="59">
        <f>COUNTIFS(Sep!$B:$B,2031,Sep!$J:$J,31)</f>
        <v>0</v>
      </c>
      <c r="K29" s="59">
        <f>COUNTIFS(Oct!$B:$B,2031,Oct!$J:$J,31)</f>
        <v>0</v>
      </c>
      <c r="L29" s="59">
        <f>COUNTIFS(Nov!$B:$B,2031,Nov!$J:$J,31)</f>
        <v>0</v>
      </c>
      <c r="M29" s="59">
        <v>0</v>
      </c>
    </row>
    <row r="30" spans="1:17" s="8" customFormat="1" ht="11.25" customHeight="1">
      <c r="A30" s="9" t="s">
        <v>37</v>
      </c>
      <c r="B30" s="59">
        <f>COUNTIFS(Jan!$B:$B,2031,Jan!$J:$J,4400)</f>
        <v>1</v>
      </c>
      <c r="C30" s="59">
        <f>COUNTIFS(Feb!$B:$B,2031,Feb!$J:$J,4400)</f>
        <v>0</v>
      </c>
      <c r="D30" s="59">
        <f>COUNTIFS(Mar!$B:$B,2031,Mar!$J:$J,4400)</f>
        <v>0</v>
      </c>
      <c r="E30" s="59">
        <v>2</v>
      </c>
      <c r="F30" s="59">
        <v>3</v>
      </c>
      <c r="G30" s="59">
        <v>1</v>
      </c>
      <c r="H30" s="59">
        <v>4</v>
      </c>
      <c r="I30" s="59">
        <v>1</v>
      </c>
      <c r="J30" s="59">
        <v>2</v>
      </c>
      <c r="K30" s="59">
        <v>1</v>
      </c>
      <c r="L30" s="59">
        <v>3</v>
      </c>
      <c r="M30" s="59">
        <v>4</v>
      </c>
    </row>
    <row r="31" spans="1:17" s="8" customFormat="1" ht="11.25" customHeight="1">
      <c r="A31" s="10" t="s">
        <v>24</v>
      </c>
      <c r="B31" s="59">
        <f>COUNTIFS(Jan!$B:$B,2031,Jan!$J:$J,30)</f>
        <v>0</v>
      </c>
      <c r="C31" s="59">
        <f>COUNTIFS(Feb!$B:$B,2031,Feb!$J:$J,30)</f>
        <v>0</v>
      </c>
      <c r="D31" s="59">
        <f>COUNTIFS(Mar!$B:$B,2031,Mar!$J:$J,30)</f>
        <v>0</v>
      </c>
      <c r="E31" s="59">
        <f>COUNTIFS(Apr!$B:$B,2031,Apr!$J:$J,30)</f>
        <v>0</v>
      </c>
      <c r="F31" s="59">
        <f>COUNTIFS(May!$B:$B,2031,May!$J:$J,30)</f>
        <v>0</v>
      </c>
      <c r="G31" s="59">
        <f>COUNTIFS(Jun!$B:$B,2031,Jun!$J:$J,30)</f>
        <v>0</v>
      </c>
      <c r="H31" s="59">
        <f>COUNTIFS(Jul!$B:$B,2031,Jul!$J:$J,30)</f>
        <v>0</v>
      </c>
      <c r="I31" s="59">
        <f>COUNTIFS(Aug!$B:$B,2031,Aug!$J:$J,30)</f>
        <v>0</v>
      </c>
      <c r="J31" s="59">
        <f>COUNTIFS(Sep!$B:$B,2031,Sep!$J:$J,30)</f>
        <v>0</v>
      </c>
      <c r="K31" s="59">
        <f>COUNTIFS(Oct!$B:$B,2031,Oct!$J:$J,30)</f>
        <v>0</v>
      </c>
      <c r="L31" s="59">
        <f>COUNTIFS(Nov!$B:$B,2031,Nov!$J:$J,30)</f>
        <v>0</v>
      </c>
      <c r="M31" s="59">
        <v>0</v>
      </c>
    </row>
    <row r="32" spans="1:17" s="14" customFormat="1" ht="11.25" customHeight="1" thickBot="1">
      <c r="A32" s="2" t="s">
        <v>140</v>
      </c>
      <c r="B32" s="60">
        <f>SUM(B25:B31)</f>
        <v>30</v>
      </c>
      <c r="C32" s="60">
        <f t="shared" ref="C32:M32" si="10">SUM(C25:C31)</f>
        <v>24</v>
      </c>
      <c r="D32" s="60">
        <f>SUM(D25:D31)</f>
        <v>21</v>
      </c>
      <c r="E32" s="60">
        <f>SUM(E25:E31)</f>
        <v>30</v>
      </c>
      <c r="F32" s="60">
        <f>SUM(F25:F31)</f>
        <v>31</v>
      </c>
      <c r="G32" s="60">
        <f>SUM(G25:G31)</f>
        <v>18</v>
      </c>
      <c r="H32" s="60">
        <f t="shared" si="10"/>
        <v>41</v>
      </c>
      <c r="I32" s="60">
        <f t="shared" si="10"/>
        <v>31</v>
      </c>
      <c r="J32" s="60">
        <f>SUM(J25:J31)</f>
        <v>29</v>
      </c>
      <c r="K32" s="60">
        <f t="shared" si="10"/>
        <v>16</v>
      </c>
      <c r="L32" s="159">
        <f t="shared" si="10"/>
        <v>26</v>
      </c>
      <c r="M32" s="170">
        <f t="shared" si="10"/>
        <v>53</v>
      </c>
    </row>
    <row r="33" spans="1:13" ht="12" customHeight="1" thickBot="1">
      <c r="A33" s="55" t="s">
        <v>136</v>
      </c>
      <c r="B33" s="50">
        <v>41275</v>
      </c>
      <c r="C33" s="47">
        <v>41306</v>
      </c>
      <c r="D33" s="47">
        <v>41334</v>
      </c>
      <c r="E33" s="47">
        <v>41365</v>
      </c>
      <c r="F33" s="47">
        <v>41395</v>
      </c>
      <c r="G33" s="47">
        <v>41426</v>
      </c>
      <c r="H33" s="47">
        <v>41456</v>
      </c>
      <c r="I33" s="47">
        <v>41487</v>
      </c>
      <c r="J33" s="47">
        <v>41518</v>
      </c>
      <c r="K33" s="47">
        <v>41548</v>
      </c>
      <c r="L33" s="47">
        <v>41579</v>
      </c>
      <c r="M33" s="51">
        <v>41609</v>
      </c>
    </row>
    <row r="34" spans="1:13" s="8" customFormat="1" ht="11.25" customHeight="1">
      <c r="A34" s="46" t="s">
        <v>33</v>
      </c>
      <c r="B34" s="57">
        <f>COUNTIFS(Jan!$B:$B,2031,Jan!$J:$J,40)</f>
        <v>0</v>
      </c>
      <c r="C34" s="57">
        <f>COUNTIFS(Feb!$B:$B,2031,Feb!$J:$J,40)</f>
        <v>0</v>
      </c>
      <c r="D34" s="57">
        <f>COUNTIFS(Mar!$B:$B,2031,Mar!$J:$J,40)</f>
        <v>0</v>
      </c>
      <c r="E34" s="57">
        <f>COUNTIFS(Apr!$B:$B,2031,Apr!$J:$J,40)</f>
        <v>0</v>
      </c>
      <c r="F34" s="57">
        <f>COUNTIFS(May!$B:$B,2031,May!$J:$J,40)</f>
        <v>0</v>
      </c>
      <c r="G34" s="57">
        <v>1</v>
      </c>
      <c r="H34" s="57">
        <f>COUNTIFS(Jul!$B:$B,2031,Jul!$J:$J,40)</f>
        <v>0</v>
      </c>
      <c r="I34" s="57">
        <f>COUNTIFS(Aug!$B:$B,2031,Aug!$J:$J,40)</f>
        <v>0</v>
      </c>
      <c r="J34" s="57">
        <f>COUNTIFS(Sep!$B:$B,2031,Sep!$J:$J,40)</f>
        <v>0</v>
      </c>
      <c r="K34" s="57">
        <f>COUNTIFS(Oct!$B:$B,2031,Oct!$J:$J,40)</f>
        <v>0</v>
      </c>
      <c r="L34" s="57">
        <f>COUNTIFS(Nov!$B:$B,2031,Nov!$J:$J,40)</f>
        <v>0</v>
      </c>
      <c r="M34" s="57">
        <v>0</v>
      </c>
    </row>
    <row r="35" spans="1:13" s="8" customFormat="1" ht="11.25" customHeight="1">
      <c r="A35" s="10" t="s">
        <v>4</v>
      </c>
      <c r="B35" s="59">
        <f>COUNTIFS(Jan!$B:$B,2031,Jan!$J:$J,15)</f>
        <v>2</v>
      </c>
      <c r="C35" s="59">
        <v>5</v>
      </c>
      <c r="D35" s="59">
        <f>COUNTIFS(Mar!$B:$B,2031,Mar!$J:$J,15)</f>
        <v>0</v>
      </c>
      <c r="E35" s="59">
        <v>4</v>
      </c>
      <c r="F35" s="59">
        <v>3</v>
      </c>
      <c r="G35" s="59">
        <v>13</v>
      </c>
      <c r="H35" s="59">
        <v>7</v>
      </c>
      <c r="I35" s="59">
        <v>3</v>
      </c>
      <c r="J35" s="59">
        <v>2</v>
      </c>
      <c r="K35" s="59">
        <v>2</v>
      </c>
      <c r="L35" s="59">
        <f>COUNTIFS(Nov!$B:$B,2031,Nov!$J:$J,15)</f>
        <v>0</v>
      </c>
      <c r="M35" s="59">
        <v>5</v>
      </c>
    </row>
    <row r="36" spans="1:13" s="8" customFormat="1" ht="11.25" customHeight="1">
      <c r="A36" s="10" t="s">
        <v>39</v>
      </c>
      <c r="B36" s="59">
        <f>COUNTIFS(Jan!$B:$B,2031,Jan!$J:$J,29)</f>
        <v>4</v>
      </c>
      <c r="C36" s="59">
        <v>4</v>
      </c>
      <c r="D36" s="59">
        <v>2</v>
      </c>
      <c r="E36" s="59">
        <v>5</v>
      </c>
      <c r="F36" s="59">
        <v>1</v>
      </c>
      <c r="G36" s="59">
        <v>3</v>
      </c>
      <c r="H36" s="59">
        <v>3</v>
      </c>
      <c r="I36" s="59">
        <v>4</v>
      </c>
      <c r="J36" s="59">
        <v>3</v>
      </c>
      <c r="K36" s="59">
        <v>3</v>
      </c>
      <c r="L36" s="59">
        <v>3</v>
      </c>
      <c r="M36" s="59">
        <v>1</v>
      </c>
    </row>
    <row r="37" spans="1:13" s="8" customFormat="1" ht="11.25" customHeight="1">
      <c r="A37" s="10" t="s">
        <v>3</v>
      </c>
      <c r="B37" s="59">
        <f>COUNTIFS(Jan!$B:$B,2031,Jan!$J:$J,13)</f>
        <v>0</v>
      </c>
      <c r="C37" s="59">
        <f>COUNTIFS(Feb!$B:$B,2031,Feb!$J:$J,13)</f>
        <v>0</v>
      </c>
      <c r="D37" s="59">
        <f>COUNTIFS(Mar!$B:$B,2031,Mar!$J:$J,13)</f>
        <v>0</v>
      </c>
      <c r="E37" s="59">
        <f>COUNTIFS(Apr!$B:$B,2031,Apr!$J:$J,13)</f>
        <v>0</v>
      </c>
      <c r="F37" s="59">
        <f>COUNTIFS(May!$B:$B,2031,May!$J:$J,13)</f>
        <v>0</v>
      </c>
      <c r="G37" s="59">
        <f>COUNTIFS(Jun!$B:$B,2031,Jun!$J:$J,13)</f>
        <v>0</v>
      </c>
      <c r="H37" s="59">
        <f>COUNTIFS(Jul!$B:$B,2031,Jul!$J:$J,13)</f>
        <v>0</v>
      </c>
      <c r="I37" s="59">
        <v>2</v>
      </c>
      <c r="J37" s="59">
        <f>COUNTIFS(Sep!$B:$B,2031,Sep!$J:$J,13)</f>
        <v>0</v>
      </c>
      <c r="K37" s="59">
        <f>COUNTIFS(Oct!$B:$B,2031,Oct!$J:$J,13)</f>
        <v>0</v>
      </c>
      <c r="L37" s="59">
        <f>COUNTIFS(Nov!$B:$B,2031,Nov!$J:$J,13)</f>
        <v>0</v>
      </c>
      <c r="M37" s="59">
        <v>0</v>
      </c>
    </row>
    <row r="38" spans="1:13" s="8" customFormat="1" ht="11.25" customHeight="1">
      <c r="A38" s="9" t="s">
        <v>218</v>
      </c>
      <c r="B38" s="59">
        <f>COUNTIFS(Jan!$B:$B,2031,Jan!$J:$J,43)</f>
        <v>0</v>
      </c>
      <c r="C38" s="59">
        <f>COUNTIFS(Feb!$B:$B,2031,Feb!$J:$J,43)</f>
        <v>0</v>
      </c>
      <c r="D38" s="59">
        <f>COUNTIFS(Mar!$B:$B,2031,Mar!$J:$J,43)</f>
        <v>0</v>
      </c>
      <c r="E38" s="59">
        <f>COUNTIFS(Apr!$B:$B,2031,Apr!$J:$J,43)</f>
        <v>0</v>
      </c>
      <c r="F38" s="59">
        <f>COUNTIFS(May!$B:$B,2031,May!$J:$J,43)</f>
        <v>0</v>
      </c>
      <c r="G38" s="59">
        <f>COUNTIFS(Jun!$B:$B,2031,Jun!$J:$J,43)</f>
        <v>0</v>
      </c>
      <c r="H38" s="59">
        <f>COUNTIFS(Jul!$B:$B,2031,Jul!$J:$J,43)</f>
        <v>0</v>
      </c>
      <c r="I38" s="59">
        <v>1</v>
      </c>
      <c r="J38" s="59">
        <f>COUNTIFS(Sep!$B:$B,2031,Sep!$J:$J,43)</f>
        <v>0</v>
      </c>
      <c r="K38" s="59">
        <f>COUNTIFS(Oct!$B:$B,2031,Oct!$J:$J,43)</f>
        <v>0</v>
      </c>
      <c r="L38" s="59">
        <f>COUNTIFS(Nov!$B:$B,2031,Nov!$J:$J,43)</f>
        <v>0</v>
      </c>
      <c r="M38" s="59">
        <v>0</v>
      </c>
    </row>
    <row r="39" spans="1:13" s="8" customFormat="1" ht="11.25" customHeight="1">
      <c r="A39" s="10" t="s">
        <v>25</v>
      </c>
      <c r="B39" s="59">
        <f>COUNTIFS(Jan!$B:$B,2031,Jan!$J:$J,24)</f>
        <v>4</v>
      </c>
      <c r="C39" s="59">
        <v>2</v>
      </c>
      <c r="D39" s="59">
        <v>8</v>
      </c>
      <c r="E39" s="59">
        <v>10</v>
      </c>
      <c r="F39" s="59">
        <v>5</v>
      </c>
      <c r="G39" s="59">
        <v>9</v>
      </c>
      <c r="H39" s="59">
        <v>5</v>
      </c>
      <c r="I39" s="59">
        <v>8</v>
      </c>
      <c r="J39" s="59">
        <v>3</v>
      </c>
      <c r="K39" s="59">
        <v>6</v>
      </c>
      <c r="L39" s="59">
        <v>7</v>
      </c>
      <c r="M39" s="59">
        <v>6</v>
      </c>
    </row>
    <row r="40" spans="1:13" s="8" customFormat="1" ht="11.25" customHeight="1">
      <c r="A40" s="10" t="s">
        <v>34</v>
      </c>
      <c r="B40" s="59">
        <f>COUNTIFS(Jan!$B:$B,2031,Jan!$J:$J,9)</f>
        <v>0</v>
      </c>
      <c r="C40" s="59">
        <f>COUNTIFS(Feb!$B:$B,2031,Feb!$J:$J,9)</f>
        <v>0</v>
      </c>
      <c r="D40" s="59">
        <f>COUNTIFS(Mar!$B:$B,2031,Mar!$J:$J,9)</f>
        <v>0</v>
      </c>
      <c r="E40" s="59">
        <f>COUNTIFS(Apr!$B:$B,2031,Apr!$J:$J,9)</f>
        <v>0</v>
      </c>
      <c r="F40" s="59">
        <f>COUNTIFS(May!$B:$B,2031,May!$J:$J,9)</f>
        <v>0</v>
      </c>
      <c r="G40" s="59">
        <v>1</v>
      </c>
      <c r="H40" s="59">
        <f>COUNTIFS(Jul!$B:$B,2031,Jul!$J:$J,9)</f>
        <v>0</v>
      </c>
      <c r="I40" s="59">
        <f>COUNTIFS(Aug!$B:$B,2031,Aug!$J:$J,9)</f>
        <v>0</v>
      </c>
      <c r="J40" s="59">
        <f>COUNTIFS(Sep!$B:$B,2031,Sep!$J:$J,9)</f>
        <v>0</v>
      </c>
      <c r="K40" s="59">
        <f>COUNTIFS(Oct!$B:$B,2031,Oct!$J:$J,9)</f>
        <v>0</v>
      </c>
      <c r="L40" s="59">
        <f>COUNTIFS(Nov!$B:$B,2031,Nov!$J:$J,9)</f>
        <v>0</v>
      </c>
      <c r="M40" s="59">
        <v>0</v>
      </c>
    </row>
    <row r="41" spans="1:13" s="8" customFormat="1" ht="11.25" customHeight="1">
      <c r="A41" s="10" t="s">
        <v>31</v>
      </c>
      <c r="B41" s="59">
        <f>COUNTIFS(Jan!$B:$B,2031,Jan!$J:$J,10)</f>
        <v>6</v>
      </c>
      <c r="C41" s="59">
        <v>9</v>
      </c>
      <c r="D41" s="59">
        <v>23</v>
      </c>
      <c r="E41" s="59">
        <v>15</v>
      </c>
      <c r="F41" s="59">
        <v>13</v>
      </c>
      <c r="G41" s="59">
        <v>11</v>
      </c>
      <c r="H41" s="59">
        <v>46</v>
      </c>
      <c r="I41" s="59">
        <v>26</v>
      </c>
      <c r="J41" s="59">
        <v>19</v>
      </c>
      <c r="K41" s="59">
        <v>11</v>
      </c>
      <c r="L41" s="59">
        <v>10</v>
      </c>
      <c r="M41" s="59">
        <v>10</v>
      </c>
    </row>
    <row r="42" spans="1:13" s="8" customFormat="1" ht="11.25" customHeight="1">
      <c r="A42" s="10" t="s">
        <v>144</v>
      </c>
      <c r="B42" s="59">
        <f>COUNTIFS(Jan!$B:$B,2031,Jan!$F:$F,462)</f>
        <v>0</v>
      </c>
      <c r="C42" s="59">
        <f>COUNTIFS(Feb!$B:$B,2031,Feb!$F:$F,462)</f>
        <v>0</v>
      </c>
      <c r="D42" s="59">
        <f>COUNTIFS(Mar!$B:$B,2031,Mar!$F:$F,462)</f>
        <v>0</v>
      </c>
      <c r="E42" s="59">
        <f>COUNTIFS(Apr!$B:$B,2031,Apr!$F:$F,462)</f>
        <v>0</v>
      </c>
      <c r="F42" s="59">
        <f>COUNTIFS(May!$B:$B,2031,May!$F:$F,462)</f>
        <v>0</v>
      </c>
      <c r="G42" s="59">
        <f>COUNTIFS(Jun!$B:$B,2031,Jun!$F:$F,462)</f>
        <v>0</v>
      </c>
      <c r="H42" s="59">
        <f>COUNTIFS(Jul!$B:$B,2031,Jul!$F:$F,462)</f>
        <v>0</v>
      </c>
      <c r="I42" s="59">
        <f>COUNTIFS(Aug!$B:$B,2031,Aug!$F:$F,462)</f>
        <v>0</v>
      </c>
      <c r="J42" s="59">
        <f>COUNTIFS(Sep!$B:$B,2031,Sep!$F:$F,462)</f>
        <v>0</v>
      </c>
      <c r="K42" s="59">
        <f>COUNTIFS(Oct!$B:$B,2031,Oct!$F:$F,462)</f>
        <v>0</v>
      </c>
      <c r="L42" s="59">
        <f>COUNTIFS(Nov!$B:$B,2031,Nov!$F:$F,462)</f>
        <v>0</v>
      </c>
      <c r="M42" s="59">
        <v>0</v>
      </c>
    </row>
    <row r="43" spans="1:13" s="8" customFormat="1" ht="11.25" customHeight="1">
      <c r="A43" s="10" t="s">
        <v>1</v>
      </c>
      <c r="B43" s="59">
        <f>COUNTIFS(Jan!$B:$B,2031,Jan!$J:$J,11)</f>
        <v>1</v>
      </c>
      <c r="C43" s="59">
        <v>2</v>
      </c>
      <c r="D43" s="59">
        <v>1</v>
      </c>
      <c r="E43" s="59">
        <v>4</v>
      </c>
      <c r="F43" s="59">
        <v>3</v>
      </c>
      <c r="G43" s="59">
        <v>4</v>
      </c>
      <c r="H43" s="59">
        <v>5</v>
      </c>
      <c r="I43" s="59">
        <v>5</v>
      </c>
      <c r="J43" s="59">
        <v>11</v>
      </c>
      <c r="K43" s="59">
        <v>8</v>
      </c>
      <c r="L43" s="59">
        <v>4</v>
      </c>
      <c r="M43" s="59">
        <v>4</v>
      </c>
    </row>
    <row r="44" spans="1:13" s="8" customFormat="1" ht="11.25" customHeight="1">
      <c r="A44" s="10" t="s">
        <v>26</v>
      </c>
      <c r="B44" s="59">
        <f>COUNTIFS(Jan!$B:$B,2031,Jan!$J:$J,20)</f>
        <v>0</v>
      </c>
      <c r="C44" s="59">
        <v>1</v>
      </c>
      <c r="D44" s="59">
        <f>COUNTIFS(Mar!$B:$B,2031,Mar!$J:$J,20)</f>
        <v>0</v>
      </c>
      <c r="E44" s="59">
        <f>COUNTIFS(Apr!$B:$B,2031,Apr!$J:$J,20)</f>
        <v>0</v>
      </c>
      <c r="F44" s="59">
        <f>COUNTIFS(May!$B:$B,2031,May!$J:$J,20)</f>
        <v>0</v>
      </c>
      <c r="G44" s="59">
        <f>COUNTIFS(Jun!$B:$B,2031,Jun!$J:$J,20)</f>
        <v>0</v>
      </c>
      <c r="H44" s="59">
        <v>1</v>
      </c>
      <c r="I44" s="59">
        <v>1</v>
      </c>
      <c r="J44" s="59">
        <f>COUNTIFS(Sep!$B:$B,2031,Sep!$J:$J,20)</f>
        <v>0</v>
      </c>
      <c r="K44" s="59">
        <f>COUNTIFS(Oct!$B:$B,2031,Oct!$J:$J,20)</f>
        <v>0</v>
      </c>
      <c r="L44" s="59">
        <f>COUNTIFS(Nov!$B:$B,2031,Nov!$J:$J,20)</f>
        <v>0</v>
      </c>
      <c r="M44" s="59">
        <v>0</v>
      </c>
    </row>
    <row r="45" spans="1:13" s="8" customFormat="1" ht="11.25" customHeight="1">
      <c r="A45" s="10" t="s">
        <v>32</v>
      </c>
      <c r="B45" s="59">
        <f>COUNTIFS(Jan!$B:$B,2031,Jan!$J:$J,2)</f>
        <v>2</v>
      </c>
      <c r="C45" s="59">
        <v>5</v>
      </c>
      <c r="D45" s="59">
        <v>9</v>
      </c>
      <c r="E45" s="59">
        <v>6</v>
      </c>
      <c r="F45" s="59">
        <v>10</v>
      </c>
      <c r="G45" s="59">
        <v>10</v>
      </c>
      <c r="H45" s="59">
        <v>19</v>
      </c>
      <c r="I45" s="59">
        <v>17</v>
      </c>
      <c r="J45" s="59">
        <v>10</v>
      </c>
      <c r="K45" s="59">
        <v>8</v>
      </c>
      <c r="L45" s="59">
        <v>10</v>
      </c>
      <c r="M45" s="59">
        <v>13</v>
      </c>
    </row>
    <row r="46" spans="1:13" s="8" customFormat="1" ht="11.25" customHeight="1">
      <c r="A46" s="10" t="s">
        <v>28</v>
      </c>
      <c r="B46" s="59">
        <f>COUNTIFS(Jan!$B:$B,2031,Jan!$J:$J,1700)+COUNTIFS(Jan!$B:$B,2031,Jan!$F:$F,1700)+COUNTIFS(Jan!$B:$B,2031,Jan!$J:$J,19)</f>
        <v>0</v>
      </c>
      <c r="C46" s="59">
        <f>COUNTIFS(Feb!$B:$B,2031,Feb!$J:$J,1700)+COUNTIFS(Feb!$B:$B,2031,Feb!$F:$F,1700)+COUNTIFS(Feb!$B:$B,2031,Feb!$J:$J,19)</f>
        <v>0</v>
      </c>
      <c r="D46" s="59">
        <f>COUNTIFS(Mar!$B:$B,2031,Mar!$J:$J,1700)+COUNTIFS(Mar!$B:$B,2031,Mar!$F:$F,1700)+COUNTIFS(Mar!$B:$B,2031,Mar!$J:$J,19)</f>
        <v>0</v>
      </c>
      <c r="E46" s="59">
        <f>COUNTIFS(Apr!$B:$B,2031,Apr!$J:$J,1700)+COUNTIFS(Apr!$B:$B,2031,Apr!$F:$F,1700)+COUNTIFS(Apr!$B:$B,2031,Apr!$J:$J,19)</f>
        <v>0</v>
      </c>
      <c r="F46" s="59">
        <f>COUNTIFS(May!$B:$B,2031,May!$J:$J,1700)+COUNTIFS(May!$B:$B,2031,May!$F:$F,1700)+COUNTIFS(May!$B:$B,2031,May!$J:$J,19)</f>
        <v>0</v>
      </c>
      <c r="G46" s="59">
        <f>COUNTIFS(Jun!$B:$B,2031,Jun!$J:$J,1700)+COUNTIFS(Jun!$B:$B,2031,Jun!$F:$F,1700)+COUNTIFS(Jun!$B:$B,2031,Jun!$J:$J,19)</f>
        <v>0</v>
      </c>
      <c r="H46" s="59">
        <f>COUNTIFS(Jul!$B:$B,2031,Jul!$J:$J,1700)+COUNTIFS(Jul!$B:$B,2031,Jul!$F:$F,1700)+COUNTIFS(Jul!$B:$B,2031,Jul!$J:$J,19)</f>
        <v>0</v>
      </c>
      <c r="I46" s="59">
        <v>1</v>
      </c>
      <c r="J46" s="59">
        <f>COUNTIFS(Sep!$B:$B,2031,Sep!$J:$J,1700)+COUNTIFS(Sep!$B:$B,2031,Sep!$F:$F,1700)+COUNTIFS(Sep!$B:$B,2031,Sep!$J:$J,19)</f>
        <v>0</v>
      </c>
      <c r="K46" s="59">
        <f>COUNTIFS(Oct!$B:$B,2031,Oct!$J:$J,1700)+COUNTIFS(Oct!$B:$B,2031,Oct!$F:$F,1700)+COUNTIFS(Oct!$B:$B,2031,Oct!$J:$J,19)</f>
        <v>0</v>
      </c>
      <c r="L46" s="59">
        <v>1</v>
      </c>
      <c r="M46" s="59">
        <v>1</v>
      </c>
    </row>
    <row r="47" spans="1:13" s="8" customFormat="1" ht="11.25" customHeight="1">
      <c r="A47" s="10" t="s">
        <v>0</v>
      </c>
      <c r="B47" s="59">
        <f>COUNTIFS(Jan!$B:$B,2031,Jan!$J:$J,3)</f>
        <v>0</v>
      </c>
      <c r="C47" s="59">
        <f>COUNTIFS(Feb!$B:$B,2031,Feb!$J:$J,3)</f>
        <v>0</v>
      </c>
      <c r="D47" s="59">
        <f>COUNTIFS(Mar!$B:$B,2031,Mar!$J:$J,3)</f>
        <v>0</v>
      </c>
      <c r="E47" s="59">
        <f>COUNTIFS(Apr!$B:$B,2031,Apr!$J:$J,3)</f>
        <v>0</v>
      </c>
      <c r="F47" s="59">
        <v>3</v>
      </c>
      <c r="G47" s="59">
        <v>2</v>
      </c>
      <c r="H47" s="59">
        <v>6</v>
      </c>
      <c r="I47" s="59">
        <v>7</v>
      </c>
      <c r="J47" s="59">
        <v>4</v>
      </c>
      <c r="K47" s="59">
        <v>2</v>
      </c>
      <c r="L47" s="59">
        <v>2</v>
      </c>
      <c r="M47" s="59">
        <v>2</v>
      </c>
    </row>
    <row r="48" spans="1:13" s="8" customFormat="1" ht="11.25" customHeight="1">
      <c r="A48" s="10" t="s">
        <v>35</v>
      </c>
      <c r="B48" s="59">
        <f>COUNTIFS(Jan!$B:$B,2031,Jan!$J:$J,7400)</f>
        <v>0</v>
      </c>
      <c r="C48" s="59">
        <f>COUNTIFS(Feb!$B:$B,2031,Feb!$J:$J,7400)</f>
        <v>0</v>
      </c>
      <c r="D48" s="59">
        <f>COUNTIFS(Mar!$B:$B,2031,Mar!$J:$J,7400)</f>
        <v>0</v>
      </c>
      <c r="E48" s="59">
        <f>COUNTIFS(Apr!$B:$B,2031,Apr!$J:$J,7400)</f>
        <v>0</v>
      </c>
      <c r="F48" s="59">
        <f>COUNTIFS(May!$B:$B,2031,May!$J:$J,7400)</f>
        <v>0</v>
      </c>
      <c r="G48" s="59">
        <f>COUNTIFS(Jun!$B:$B,2031,Jun!$J:$J,7400)</f>
        <v>0</v>
      </c>
      <c r="H48" s="59">
        <f>COUNTIFS(Jul!$B:$B,2031,Jul!$J:$J,7400)</f>
        <v>0</v>
      </c>
      <c r="I48" s="59">
        <f>COUNTIFS(Aug!$B:$B,2031,Aug!$J:$J,7400)</f>
        <v>0</v>
      </c>
      <c r="J48" s="59">
        <f>COUNTIFS(Sep!$B:$B,2031,Sep!$J:$J,7400)</f>
        <v>0</v>
      </c>
      <c r="K48" s="59">
        <f>COUNTIFS(Oct!$B:$B,2031,Oct!$J:$J,7400)</f>
        <v>0</v>
      </c>
      <c r="L48" s="59">
        <f>COUNTIFS(Nov!$B:$B,2031,Nov!$J:$J,7400)</f>
        <v>0</v>
      </c>
      <c r="M48" s="59">
        <v>0</v>
      </c>
    </row>
    <row r="49" spans="1:13" s="8" customFormat="1" ht="11.25" customHeight="1">
      <c r="A49" s="10" t="s">
        <v>2</v>
      </c>
      <c r="B49" s="59">
        <f>COUNTIFS(Jan!$B:$B,2031,Jan!$J:$J,14)</f>
        <v>2</v>
      </c>
      <c r="C49" s="59">
        <v>3</v>
      </c>
      <c r="D49" s="59">
        <v>4</v>
      </c>
      <c r="E49" s="59">
        <v>3</v>
      </c>
      <c r="F49" s="59">
        <f>COUNTIFS(May!$B:$B,2031,May!$J:$J,14)</f>
        <v>0</v>
      </c>
      <c r="G49" s="59">
        <v>3</v>
      </c>
      <c r="H49" s="59">
        <v>1</v>
      </c>
      <c r="I49" s="59">
        <v>4</v>
      </c>
      <c r="J49" s="59">
        <v>1</v>
      </c>
      <c r="K49" s="59">
        <v>4</v>
      </c>
      <c r="L49" s="59">
        <v>3</v>
      </c>
      <c r="M49" s="59">
        <v>1</v>
      </c>
    </row>
    <row r="50" spans="1:13" s="8" customFormat="1" ht="11.25" customHeight="1">
      <c r="A50" s="10" t="s">
        <v>142</v>
      </c>
      <c r="B50" s="59">
        <f>COUNTIFS(Jan!$B:$B,2031,Jan!$F:$F,466)</f>
        <v>0</v>
      </c>
      <c r="C50" s="59">
        <f>COUNTIFS(Feb!$B:$B,2031,Feb!$F:$F,466)</f>
        <v>0</v>
      </c>
      <c r="D50" s="59">
        <f>COUNTIFS(Mar!$B:$B,2031,Mar!$F:$F,466)</f>
        <v>0</v>
      </c>
      <c r="E50" s="59">
        <f>COUNTIFS(Apr!$B:$B,2031,Apr!$F:$F,466)</f>
        <v>0</v>
      </c>
      <c r="F50" s="59">
        <f>COUNTIFS(May!$B:$B,2031,May!$F:$F,466)</f>
        <v>0</v>
      </c>
      <c r="G50" s="59">
        <f>COUNTIFS(Jun!$B:$B,2031,Jun!$F:$F,466)</f>
        <v>0</v>
      </c>
      <c r="H50" s="59">
        <f>COUNTIFS(Jul!$B:$B,2031,Jul!$F:$F,466)</f>
        <v>0</v>
      </c>
      <c r="I50" s="59">
        <v>1</v>
      </c>
      <c r="J50" s="59">
        <f>COUNTIFS(Sep!$B:$B,2031,Sep!$F:$F,466)</f>
        <v>0</v>
      </c>
      <c r="K50" s="59">
        <f>COUNTIFS(Oct!$B:$B,2031,Oct!$F:$F,466)</f>
        <v>0</v>
      </c>
      <c r="L50" s="59">
        <f>COUNTIFS(Nov!$B:$B,2031,Nov!$F:$F,466)</f>
        <v>0</v>
      </c>
      <c r="M50" s="59">
        <v>0</v>
      </c>
    </row>
    <row r="51" spans="1:13" s="8" customFormat="1" ht="11.25" customHeight="1">
      <c r="A51" s="10" t="s">
        <v>27</v>
      </c>
      <c r="B51" s="59">
        <f>COUNTIFS(Jan!$B:$B,2031,Jan!$J:$J,25)</f>
        <v>0</v>
      </c>
      <c r="C51" s="59">
        <f>COUNTIFS(Feb!$B:$B,2031,Feb!$J:$J,25)</f>
        <v>0</v>
      </c>
      <c r="D51" s="59">
        <f>COUNTIFS(Mar!$B:$B,2031,Mar!$J:$J,25)</f>
        <v>0</v>
      </c>
      <c r="E51" s="59">
        <f>COUNTIFS(Apr!$B:$B,2031,Apr!$J:$J,25)</f>
        <v>0</v>
      </c>
      <c r="F51" s="59">
        <f>COUNTIFS(May!$B:$B,2031,May!$J:$J,25)</f>
        <v>0</v>
      </c>
      <c r="G51" s="59">
        <f>COUNTIFS(Jun!$B:$B,2031,Jun!$J:$J,25)</f>
        <v>0</v>
      </c>
      <c r="H51" s="59">
        <f>COUNTIFS(Jul!$B:$B,2031,Jul!$J:$J,25)</f>
        <v>0</v>
      </c>
      <c r="I51" s="59">
        <f>COUNTIFS(Aug!$B:$B,2031,Aug!$J:$J,25)</f>
        <v>0</v>
      </c>
      <c r="J51" s="59">
        <v>1</v>
      </c>
      <c r="K51" s="59">
        <v>1</v>
      </c>
      <c r="L51" s="59">
        <f>COUNTIFS(Nov!$B:$B,2031,Nov!$J:$J,25)</f>
        <v>0</v>
      </c>
      <c r="M51" s="59">
        <v>0</v>
      </c>
    </row>
    <row r="52" spans="1:13" s="8" customFormat="1" ht="11.25" customHeight="1" thickBot="1">
      <c r="A52" s="11" t="s">
        <v>16</v>
      </c>
      <c r="B52" s="60">
        <f t="shared" ref="B52:G52" si="11">SUM(B34:B51)</f>
        <v>21</v>
      </c>
      <c r="C52" s="60">
        <f t="shared" si="11"/>
        <v>31</v>
      </c>
      <c r="D52" s="60">
        <f t="shared" si="11"/>
        <v>47</v>
      </c>
      <c r="E52" s="60">
        <f t="shared" si="11"/>
        <v>47</v>
      </c>
      <c r="F52" s="60">
        <f t="shared" si="11"/>
        <v>38</v>
      </c>
      <c r="G52" s="60">
        <f t="shared" si="11"/>
        <v>57</v>
      </c>
      <c r="H52" s="60">
        <f t="shared" ref="H52:M52" si="12">SUM(H34:H51)</f>
        <v>93</v>
      </c>
      <c r="I52" s="60">
        <f t="shared" si="12"/>
        <v>80</v>
      </c>
      <c r="J52" s="60">
        <f t="shared" si="12"/>
        <v>54</v>
      </c>
      <c r="K52" s="60">
        <f t="shared" si="12"/>
        <v>45</v>
      </c>
      <c r="L52" s="159">
        <f t="shared" si="12"/>
        <v>40</v>
      </c>
      <c r="M52" s="170">
        <f t="shared" si="12"/>
        <v>43</v>
      </c>
    </row>
    <row r="53" spans="1:13" ht="12" customHeight="1" thickBot="1">
      <c r="A53" s="55" t="s">
        <v>137</v>
      </c>
      <c r="B53" s="50">
        <v>41275</v>
      </c>
      <c r="C53" s="47">
        <v>41306</v>
      </c>
      <c r="D53" s="47">
        <v>41334</v>
      </c>
      <c r="E53" s="47">
        <v>41365</v>
      </c>
      <c r="F53" s="47">
        <v>41395</v>
      </c>
      <c r="G53" s="47">
        <v>41426</v>
      </c>
      <c r="H53" s="47">
        <v>41456</v>
      </c>
      <c r="I53" s="47">
        <v>41487</v>
      </c>
      <c r="J53" s="47">
        <v>41518</v>
      </c>
      <c r="K53" s="47">
        <v>41548</v>
      </c>
      <c r="L53" s="47">
        <v>41579</v>
      </c>
      <c r="M53" s="51">
        <v>41609</v>
      </c>
    </row>
    <row r="54" spans="1:13" s="8" customFormat="1" ht="11.25" customHeight="1">
      <c r="A54" s="10" t="s">
        <v>30</v>
      </c>
      <c r="B54" s="57">
        <f>COUNTIFS(Jan!$B:$B,2031,Jan!$J:$J,7)</f>
        <v>2</v>
      </c>
      <c r="C54" s="57">
        <v>2</v>
      </c>
      <c r="D54" s="57">
        <v>5</v>
      </c>
      <c r="E54" s="57">
        <v>11</v>
      </c>
      <c r="F54" s="57">
        <v>5</v>
      </c>
      <c r="G54" s="57">
        <v>2</v>
      </c>
      <c r="H54" s="57">
        <v>12</v>
      </c>
      <c r="I54" s="57">
        <v>2</v>
      </c>
      <c r="J54" s="57">
        <v>4</v>
      </c>
      <c r="K54" s="57">
        <v>1</v>
      </c>
      <c r="L54" s="57">
        <v>3</v>
      </c>
      <c r="M54" s="57">
        <v>10</v>
      </c>
    </row>
    <row r="55" spans="1:13" s="8" customFormat="1" ht="11.25" customHeight="1">
      <c r="A55" s="10" t="s">
        <v>29</v>
      </c>
      <c r="B55" s="59">
        <f>COUNTIFS(Jan!$B:$B,2031,Jan!$J:$J,8)</f>
        <v>0</v>
      </c>
      <c r="C55" s="59">
        <f>COUNTIFS(Feb!$B:$B,2031,Feb!$J:$J,8)</f>
        <v>0</v>
      </c>
      <c r="D55" s="59">
        <f>COUNTIFS(Mar!$B:$B,2031,Mar!$J:$J,8)</f>
        <v>0</v>
      </c>
      <c r="E55" s="59">
        <f>COUNTIFS(Apr!$B:$B,2031,Apr!$J:$J,8)</f>
        <v>0</v>
      </c>
      <c r="F55" s="59">
        <f>COUNTIFS(May!$B:$B,2031,May!$J:$J,8)</f>
        <v>0</v>
      </c>
      <c r="G55" s="59">
        <f>COUNTIFS(Jun!$B:$B,2031,Jun!$J:$J,8)</f>
        <v>0</v>
      </c>
      <c r="H55" s="59">
        <f>COUNTIFS(Jul!$B:$B,2031,Jul!$J:$J,8)</f>
        <v>0</v>
      </c>
      <c r="I55" s="59">
        <f>COUNTIFS(Aug!$B:$B,2031,Aug!$J:$J,8)</f>
        <v>0</v>
      </c>
      <c r="J55" s="59">
        <f>COUNTIFS(Sep!$B:$B,2031,Sep!$J:$J,8)</f>
        <v>0</v>
      </c>
      <c r="K55" s="59">
        <f>COUNTIFS(Oct!$B:$B,2031,Oct!$J:$J,8)</f>
        <v>0</v>
      </c>
      <c r="L55" s="59">
        <f>COUNTIFS(Nov!$B:$B,2031,Nov!$J:$J,8)</f>
        <v>0</v>
      </c>
      <c r="M55" s="59">
        <v>0</v>
      </c>
    </row>
    <row r="56" spans="1:13" s="8" customFormat="1" ht="11.25" customHeight="1">
      <c r="A56" s="10" t="s">
        <v>7</v>
      </c>
      <c r="B56" s="59">
        <f>COUNTIFS(Jan!$B:$B,2031,Jan!$J:$J,12)</f>
        <v>1</v>
      </c>
      <c r="C56" s="59">
        <v>2</v>
      </c>
      <c r="D56" s="59">
        <v>4</v>
      </c>
      <c r="E56" s="59">
        <v>4</v>
      </c>
      <c r="F56" s="59">
        <v>3</v>
      </c>
      <c r="G56" s="59">
        <v>9</v>
      </c>
      <c r="H56" s="59">
        <v>14</v>
      </c>
      <c r="I56" s="59">
        <v>5</v>
      </c>
      <c r="J56" s="59">
        <v>7</v>
      </c>
      <c r="K56" s="59">
        <v>8</v>
      </c>
      <c r="L56" s="59">
        <v>9</v>
      </c>
      <c r="M56" s="59">
        <v>14</v>
      </c>
    </row>
    <row r="57" spans="1:13" s="8" customFormat="1" ht="11.25" customHeight="1">
      <c r="A57" s="10" t="s">
        <v>10</v>
      </c>
      <c r="B57" s="59">
        <f>COUNTIFS(Jan!$B:$B,2031,Jan!$J:$J,5100)</f>
        <v>0</v>
      </c>
      <c r="C57" s="59">
        <f>COUNTIFS(Feb!$B:$B,2031,Feb!$J:$J,5100)</f>
        <v>0</v>
      </c>
      <c r="D57" s="59">
        <f>COUNTIFS(Mar!$B:$B,2031,Mar!$J:$J,5100)</f>
        <v>0</v>
      </c>
      <c r="E57" s="59">
        <f>COUNTIFS(Apr!$B:$B,2031,Apr!$J:$J,5100)</f>
        <v>0</v>
      </c>
      <c r="F57" s="59">
        <f>COUNTIFS(May!$B:$B,2031,May!$J:$J,5100)</f>
        <v>0</v>
      </c>
      <c r="G57" s="59">
        <f>COUNTIFS(Jun!$B:$B,2031,Jun!$J:$J,5100)</f>
        <v>0</v>
      </c>
      <c r="H57" s="59">
        <f>COUNTIFS(Jul!$B:$B,2031,Jul!$J:$J,5100)</f>
        <v>0</v>
      </c>
      <c r="I57" s="59">
        <f>COUNTIFS(Aug!$B:$B,2031,Aug!$J:$J,5100)</f>
        <v>0</v>
      </c>
      <c r="J57" s="59">
        <f>COUNTIFS(Sep!$B:$B,2031,Sep!$J:$J,5100)</f>
        <v>0</v>
      </c>
      <c r="K57" s="59">
        <f>COUNTIFS(Oct!$B:$B,2031,Oct!$J:$J,5100)</f>
        <v>0</v>
      </c>
      <c r="L57" s="59">
        <f>COUNTIFS(Nov!$B:$B,2031,Nov!$J:$J,5100)</f>
        <v>0</v>
      </c>
      <c r="M57" s="59">
        <v>0</v>
      </c>
    </row>
    <row r="58" spans="1:13" s="8" customFormat="1" ht="11.25" customHeight="1">
      <c r="A58" s="10" t="s">
        <v>36</v>
      </c>
      <c r="B58" s="59">
        <f>COUNTIFS(Jan!$B:$B,2031,Jan!$J:$J,6200)</f>
        <v>0</v>
      </c>
      <c r="C58" s="59">
        <f>COUNTIFS(Feb!$B:$B,2031,Feb!$J:$J,6200)</f>
        <v>0</v>
      </c>
      <c r="D58" s="59">
        <f>COUNTIFS(Mar!$B:$B,2031,Mar!$J:$J,6200)</f>
        <v>0</v>
      </c>
      <c r="E58" s="59">
        <f>COUNTIFS(Apr!$B:$B,2031,Apr!$J:$J,6200)</f>
        <v>0</v>
      </c>
      <c r="F58" s="59">
        <f>COUNTIFS(May!$B:$B,2031,May!$J:$J,6200)</f>
        <v>0</v>
      </c>
      <c r="G58" s="59">
        <f>COUNTIFS(Jun!$B:$B,2031,Jun!$J:$J,6200)</f>
        <v>0</v>
      </c>
      <c r="H58" s="59">
        <f>COUNTIFS(Jul!$B:$B,2031,Jul!$J:$J,6200)</f>
        <v>0</v>
      </c>
      <c r="I58" s="59">
        <v>1</v>
      </c>
      <c r="J58" s="59">
        <f>COUNTIFS(Sep!$B:$B,2031,Sep!$J:$J,6200)</f>
        <v>0</v>
      </c>
      <c r="K58" s="59">
        <v>1</v>
      </c>
      <c r="L58" s="59">
        <f>COUNTIFS(Nov!$B:$B,2031,Nov!$J:$J,6200)</f>
        <v>0</v>
      </c>
      <c r="M58" s="59">
        <v>0</v>
      </c>
    </row>
    <row r="59" spans="1:13" s="8" customFormat="1" ht="11.25" customHeight="1">
      <c r="A59" s="10" t="s">
        <v>145</v>
      </c>
      <c r="B59" s="59">
        <f>COUNTIFS(Jan!$B:$B,2031,Jan!$J:$J,28)</f>
        <v>0</v>
      </c>
      <c r="C59" s="59">
        <f>COUNTIFS(Feb!$B:$B,2031,Feb!$J:$J,28)</f>
        <v>0</v>
      </c>
      <c r="D59" s="59">
        <f>COUNTIFS(Mar!$B:$B,2031,Mar!$J:$J,28)</f>
        <v>0</v>
      </c>
      <c r="E59" s="59">
        <f>COUNTIFS(Apr!$B:$B,2031,Apr!$J:$J,28)</f>
        <v>0</v>
      </c>
      <c r="F59" s="59">
        <f>COUNTIFS(May!$B:$B,2031,May!$J:$J,28)</f>
        <v>0</v>
      </c>
      <c r="G59" s="59">
        <f>COUNTIFS(Jun!$B:$B,2031,Jun!$J:$J,28)</f>
        <v>0</v>
      </c>
      <c r="H59" s="59">
        <f>COUNTIFS(Jul!$B:$B,2031,Jul!$J:$J,28)</f>
        <v>0</v>
      </c>
      <c r="I59" s="59">
        <f>COUNTIFS(Aug!$B:$B,2031,Aug!$J:$J,28)</f>
        <v>0</v>
      </c>
      <c r="J59" s="59">
        <f>COUNTIFS(Sep!$B:$B,2031,Sep!$J:$J,28)</f>
        <v>0</v>
      </c>
      <c r="K59" s="59">
        <f>COUNTIFS(Oct!$B:$B,2031,Oct!$J:$J,28)</f>
        <v>0</v>
      </c>
      <c r="L59" s="59">
        <f>COUNTIFS(Nov!$B:$B,2031,Nov!$J:$J,28)</f>
        <v>0</v>
      </c>
      <c r="M59" s="59">
        <v>0</v>
      </c>
    </row>
    <row r="60" spans="1:13" s="8" customFormat="1" ht="11.25" customHeight="1">
      <c r="A60" s="10" t="s">
        <v>38</v>
      </c>
      <c r="B60" s="59">
        <f>COUNTIFS(Jan!$B:$B,2031,Jan!$J:$J,6100)</f>
        <v>0</v>
      </c>
      <c r="C60" s="59">
        <f>COUNTIFS(Feb!$B:$B,2031,Feb!$J:$J,6100)</f>
        <v>0</v>
      </c>
      <c r="D60" s="59">
        <v>1</v>
      </c>
      <c r="E60" s="59">
        <f>COUNTIFS(Apr!$B:$B,2031,Apr!$J:$J,6100)</f>
        <v>0</v>
      </c>
      <c r="F60" s="59">
        <f>COUNTIFS(May!$B:$B,2031,May!$J:$J,6100)</f>
        <v>0</v>
      </c>
      <c r="G60" s="59">
        <v>4</v>
      </c>
      <c r="H60" s="59">
        <v>1</v>
      </c>
      <c r="I60" s="59">
        <v>1</v>
      </c>
      <c r="J60" s="59">
        <f>COUNTIFS(Sep!$B:$B,2031,Sep!$J:$J,6100)</f>
        <v>0</v>
      </c>
      <c r="K60" s="59">
        <f>COUNTIFS(Oct!$B:$B,2031,Oct!$J:$J,6100)</f>
        <v>0</v>
      </c>
      <c r="L60" s="59">
        <f>COUNTIFS(Nov!$B:$B,2031,Nov!$J:$J,6100)</f>
        <v>0</v>
      </c>
      <c r="M60" s="59">
        <v>0</v>
      </c>
    </row>
    <row r="61" spans="1:13" s="8" customFormat="1" ht="11.25" customHeight="1">
      <c r="A61" s="10" t="s">
        <v>9</v>
      </c>
      <c r="B61" s="59">
        <f>COUNTIFS(Jan!$B:$B,2031,Jan!$J:$J,6)</f>
        <v>0</v>
      </c>
      <c r="C61" s="59">
        <f>COUNTIFS(Feb!$B:$B,2031,Feb!$J:$J,6)</f>
        <v>0</v>
      </c>
      <c r="D61" s="59">
        <f>COUNTIFS(Mar!$B:$B,2031,Mar!$J:$J,6)</f>
        <v>0</v>
      </c>
      <c r="E61" s="59">
        <f>COUNTIFS(Apr!$B:$B,2031,Apr!$J:$J,6)</f>
        <v>0</v>
      </c>
      <c r="F61" s="59">
        <f>COUNTIFS(May!$B:$B,2031,May!$J:$J,6)</f>
        <v>0</v>
      </c>
      <c r="G61" s="59">
        <f>COUNTIFS(Jun!$B:$B,2031,Jun!$J:$J,6)</f>
        <v>0</v>
      </c>
      <c r="H61" s="59">
        <f>COUNTIFS(Jul!$B:$B,2031,Jul!$J:$J,6)</f>
        <v>0</v>
      </c>
      <c r="I61" s="59">
        <f>COUNTIFS(Aug!$B:$B,2031,Aug!$J:$J,6)</f>
        <v>0</v>
      </c>
      <c r="J61" s="59">
        <f>COUNTIFS(Sep!$B:$B,2031,Sep!$J:$J,6)</f>
        <v>0</v>
      </c>
      <c r="K61" s="59">
        <f>COUNTIFS(Oct!$B:$B,2031,Oct!$J:$J,6)</f>
        <v>0</v>
      </c>
      <c r="L61" s="59">
        <f>COUNTIFS(Nov!$B:$B,2031,Nov!$J:$J,6)</f>
        <v>0</v>
      </c>
      <c r="M61" s="59">
        <v>0</v>
      </c>
    </row>
    <row r="62" spans="1:13" s="8" customFormat="1" ht="11.25" customHeight="1">
      <c r="A62" s="10" t="s">
        <v>8</v>
      </c>
      <c r="B62" s="59">
        <f>COUNTIFS(Jan!$B:$B,2031,Jan!$J:$J,4)</f>
        <v>0</v>
      </c>
      <c r="C62" s="59">
        <f>COUNTIFS(Feb!$B:$B,2031,Feb!$J:$J,4)</f>
        <v>0</v>
      </c>
      <c r="D62" s="59">
        <f>COUNTIFS(Mar!$B:$B,2031,Mar!$J:$J,4)</f>
        <v>0</v>
      </c>
      <c r="E62" s="59">
        <f>COUNTIFS(Apr!$B:$B,2031,Apr!$J:$J,4)</f>
        <v>0</v>
      </c>
      <c r="F62" s="59">
        <f>COUNTIFS(May!$B:$B,2031,May!$J:$J,4)</f>
        <v>0</v>
      </c>
      <c r="G62" s="59">
        <f>COUNTIFS(Jun!$B:$B,2031,Jun!$J:$J,4)</f>
        <v>0</v>
      </c>
      <c r="H62" s="59">
        <f>COUNTIFS(Jul!$B:$B,2031,Jul!$J:$J,4)</f>
        <v>0</v>
      </c>
      <c r="I62" s="59">
        <f>COUNTIFS(Aug!$B:$B,2031,Aug!$J:$J,4)</f>
        <v>0</v>
      </c>
      <c r="J62" s="59">
        <f>COUNTIFS(Sep!$B:$B,2031,Sep!$J:$J,4)</f>
        <v>0</v>
      </c>
      <c r="K62" s="59">
        <f>COUNTIFS(Oct!$B:$B,2031,Oct!$J:$J,4)</f>
        <v>0</v>
      </c>
      <c r="L62" s="59">
        <f>COUNTIFS(Nov!$B:$B,2031,Nov!$J:$J,4)</f>
        <v>0</v>
      </c>
      <c r="M62" s="59">
        <v>0</v>
      </c>
    </row>
    <row r="63" spans="1:13" s="8" customFormat="1" ht="11.25" customHeight="1">
      <c r="A63" s="10" t="s">
        <v>6</v>
      </c>
      <c r="B63" s="59">
        <f>COUNTIFS(Jan!$B:$B,2031,Jan!$J:$J,5)</f>
        <v>0</v>
      </c>
      <c r="C63" s="59">
        <f>COUNTIFS(Feb!$B:$B,2031,Feb!$J:$J,5)</f>
        <v>0</v>
      </c>
      <c r="D63" s="59">
        <f>COUNTIFS(Mar!$B:$B,2031,Mar!$J:$J,5)</f>
        <v>0</v>
      </c>
      <c r="E63" s="59">
        <f>COUNTIFS(Apr!$B:$B,2031,Apr!$J:$J,5)</f>
        <v>0</v>
      </c>
      <c r="F63" s="59">
        <f>COUNTIFS(May!$B:$B,2031,May!$J:$J,5)</f>
        <v>0</v>
      </c>
      <c r="G63" s="59">
        <f>COUNTIFS(Jun!$B:$B,2031,Jun!$J:$J,5)</f>
        <v>0</v>
      </c>
      <c r="H63" s="59">
        <f>COUNTIFS(Jul!$B:$B,2031,Jul!$J:$J,5)</f>
        <v>0</v>
      </c>
      <c r="I63" s="59">
        <f>COUNTIFS(Aug!$B:$B,2031,Aug!$J:$J,5)</f>
        <v>0</v>
      </c>
      <c r="J63" s="59">
        <f>COUNTIFS(Sep!$B:$B,2031,Sep!$J:$J,5)</f>
        <v>0</v>
      </c>
      <c r="K63" s="59">
        <f>COUNTIFS(Oct!$B:$B,2031,Oct!$J:$J,5)</f>
        <v>0</v>
      </c>
      <c r="L63" s="59">
        <f>COUNTIFS(Nov!$B:$B,2031,Nov!$J:$J,5)</f>
        <v>0</v>
      </c>
      <c r="M63" s="59">
        <v>0</v>
      </c>
    </row>
    <row r="64" spans="1:13" s="8" customFormat="1" ht="11.25" customHeight="1">
      <c r="A64" s="52" t="s">
        <v>141</v>
      </c>
      <c r="B64" s="69">
        <f>COUNTIFS(Jan!$B:$B,2031,Jan!$F:$F,456)</f>
        <v>5</v>
      </c>
      <c r="C64" s="69">
        <f>COUNTIFS(Feb!$B:$B,2031,Feb!$F:$F,456)</f>
        <v>0</v>
      </c>
      <c r="D64" s="69">
        <v>4</v>
      </c>
      <c r="E64" s="69">
        <v>6</v>
      </c>
      <c r="F64" s="69">
        <v>4</v>
      </c>
      <c r="G64" s="69">
        <f>COUNTIFS(Jun!$B:$B,2031,Jun!$F:$F,456)</f>
        <v>0</v>
      </c>
      <c r="H64" s="69">
        <v>6</v>
      </c>
      <c r="I64" s="69">
        <f>COUNTIFS(Aug!$B:$B,2031,Aug!$F:$F,456)</f>
        <v>0</v>
      </c>
      <c r="J64" s="69">
        <v>1</v>
      </c>
      <c r="K64" s="69">
        <f>COUNTIFS(Oct!$B:$B,2031,Oct!$F:$F,456)</f>
        <v>0</v>
      </c>
      <c r="L64" s="69">
        <f>COUNTIFS(Nov!$B:$B,2031,Nov!$F:$F,456)</f>
        <v>0</v>
      </c>
      <c r="M64" s="69">
        <v>4</v>
      </c>
    </row>
    <row r="65" spans="1:13" s="8" customFormat="1" ht="11.25" customHeight="1" thickBot="1">
      <c r="A65" s="12" t="s">
        <v>16</v>
      </c>
      <c r="B65" s="70">
        <f>SUM(B54:B64)</f>
        <v>8</v>
      </c>
      <c r="C65" s="70">
        <f t="shared" ref="C65:M65" si="13">SUM(C54:C64)</f>
        <v>4</v>
      </c>
      <c r="D65" s="70">
        <f>SUM(D54:D64)</f>
        <v>14</v>
      </c>
      <c r="E65" s="70">
        <f>SUM(E54:E64)</f>
        <v>21</v>
      </c>
      <c r="F65" s="70">
        <f>SUM(F54:F64)</f>
        <v>12</v>
      </c>
      <c r="G65" s="70">
        <f>SUM(G54:G64)</f>
        <v>15</v>
      </c>
      <c r="H65" s="70">
        <f t="shared" si="13"/>
        <v>33</v>
      </c>
      <c r="I65" s="70">
        <f t="shared" si="13"/>
        <v>9</v>
      </c>
      <c r="J65" s="70">
        <f t="shared" si="13"/>
        <v>12</v>
      </c>
      <c r="K65" s="70">
        <f t="shared" si="13"/>
        <v>10</v>
      </c>
      <c r="L65" s="165">
        <f t="shared" si="13"/>
        <v>12</v>
      </c>
      <c r="M65" s="170">
        <f t="shared" si="13"/>
        <v>28</v>
      </c>
    </row>
    <row r="66" spans="1:13" s="8" customFormat="1" ht="15.75" customHeight="1">
      <c r="A66" s="6"/>
      <c r="B66" s="7"/>
      <c r="C66" s="7"/>
      <c r="D66" s="7"/>
      <c r="E66" s="7"/>
      <c r="F66" s="7"/>
      <c r="G66" s="7"/>
      <c r="H66" s="7"/>
      <c r="I66" s="7"/>
      <c r="J66" s="7"/>
      <c r="K66" s="7"/>
      <c r="L66" s="7"/>
      <c r="M66" s="7"/>
    </row>
    <row r="67" spans="1:13" ht="12" customHeight="1">
      <c r="A67" s="6"/>
      <c r="B67" s="7"/>
      <c r="C67" s="7"/>
      <c r="D67" s="7"/>
      <c r="E67" s="7"/>
      <c r="F67" s="7"/>
      <c r="G67" s="7"/>
      <c r="H67" s="7"/>
      <c r="I67" s="7"/>
      <c r="J67" s="7"/>
      <c r="K67" s="7"/>
      <c r="L67" s="7"/>
      <c r="M67" s="7"/>
    </row>
  </sheetData>
  <phoneticPr fontId="0" type="noConversion"/>
  <printOptions horizontalCentered="1" verticalCentered="1"/>
  <pageMargins left="0.14000000000000001" right="0.16" top="0.25" bottom="0.5" header="0.5" footer="0.25"/>
  <pageSetup scale="95" firstPageNumber="3" orientation="portrait" useFirstPageNumber="1" r:id="rId1"/>
  <headerFooter alignWithMargins="0">
    <oddFooter>&amp;R11 of 51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67"/>
  <sheetViews>
    <sheetView view="pageBreakPreview" topLeftCell="A19" zoomScale="90" zoomScaleNormal="100" zoomScaleSheetLayoutView="90" workbookViewId="0">
      <selection activeCell="M57" sqref="M57"/>
    </sheetView>
  </sheetViews>
  <sheetFormatPr defaultRowHeight="12.75"/>
  <cols>
    <col min="1" max="1" width="22.85546875" style="1" customWidth="1"/>
    <col min="2" max="13" width="7.140625" style="1" customWidth="1"/>
    <col min="14" max="14" width="4.42578125" style="1" customWidth="1"/>
    <col min="15" max="16384" width="9.140625" style="1"/>
  </cols>
  <sheetData>
    <row r="1" spans="1:21" ht="18" customHeight="1">
      <c r="A1" s="130"/>
      <c r="B1" s="131"/>
      <c r="C1" s="131"/>
      <c r="D1" s="131"/>
      <c r="E1" s="131"/>
      <c r="F1" s="131"/>
      <c r="G1" s="131"/>
      <c r="H1" s="130"/>
      <c r="I1" s="131"/>
      <c r="J1" s="131"/>
      <c r="K1" s="131"/>
      <c r="L1" s="130"/>
      <c r="M1" s="143" t="s">
        <v>199</v>
      </c>
    </row>
    <row r="2" spans="1:21" ht="18" customHeight="1">
      <c r="A2" s="130"/>
      <c r="B2" s="135"/>
      <c r="C2" s="135"/>
      <c r="D2" s="135"/>
      <c r="E2" s="135"/>
      <c r="F2" s="135"/>
      <c r="G2" s="135"/>
      <c r="H2" s="130"/>
      <c r="I2" s="135"/>
      <c r="J2" s="135"/>
      <c r="K2" s="135"/>
      <c r="L2" s="130"/>
      <c r="M2" s="155" t="s">
        <v>2183</v>
      </c>
    </row>
    <row r="3" spans="1:21" s="5" customFormat="1" ht="18" customHeight="1">
      <c r="A3" s="133"/>
      <c r="B3" s="133"/>
      <c r="C3" s="133"/>
      <c r="D3" s="133"/>
      <c r="E3" s="133"/>
      <c r="F3" s="133"/>
      <c r="G3" s="133"/>
      <c r="H3" s="133"/>
      <c r="I3" s="133"/>
      <c r="J3" s="136"/>
      <c r="K3" s="136"/>
      <c r="L3" s="133"/>
      <c r="M3" s="155" t="s">
        <v>200</v>
      </c>
      <c r="N3" s="134"/>
      <c r="O3" s="134"/>
      <c r="P3" s="134"/>
      <c r="Q3" s="134"/>
      <c r="R3" s="134"/>
      <c r="S3" s="134"/>
      <c r="T3" s="134"/>
      <c r="U3" s="134"/>
    </row>
    <row r="4" spans="1:21" s="8" customFormat="1" ht="6.75" customHeight="1" thickBot="1">
      <c r="A4" s="38"/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</row>
    <row r="5" spans="1:21" s="8" customFormat="1" ht="11.25" customHeight="1" thickBot="1">
      <c r="A5" s="53" t="s">
        <v>19</v>
      </c>
      <c r="B5" s="50">
        <v>41275</v>
      </c>
      <c r="C5" s="47">
        <v>41306</v>
      </c>
      <c r="D5" s="47">
        <v>41334</v>
      </c>
      <c r="E5" s="47">
        <v>41365</v>
      </c>
      <c r="F5" s="47">
        <v>41395</v>
      </c>
      <c r="G5" s="47">
        <v>41426</v>
      </c>
      <c r="H5" s="47">
        <v>41456</v>
      </c>
      <c r="I5" s="47">
        <v>41487</v>
      </c>
      <c r="J5" s="47">
        <v>41518</v>
      </c>
      <c r="K5" s="47">
        <v>41548</v>
      </c>
      <c r="L5" s="47">
        <v>41579</v>
      </c>
      <c r="M5" s="51">
        <v>41609</v>
      </c>
    </row>
    <row r="6" spans="1:21" s="8" customFormat="1" ht="11.25" customHeight="1">
      <c r="A6" s="41" t="s">
        <v>129</v>
      </c>
      <c r="B6" s="57">
        <f t="shared" ref="B6:M6" si="0">B32</f>
        <v>11</v>
      </c>
      <c r="C6" s="57">
        <f t="shared" si="0"/>
        <v>15</v>
      </c>
      <c r="D6" s="57">
        <f t="shared" si="0"/>
        <v>10</v>
      </c>
      <c r="E6" s="57">
        <f t="shared" si="0"/>
        <v>8</v>
      </c>
      <c r="F6" s="57">
        <f t="shared" si="0"/>
        <v>5</v>
      </c>
      <c r="G6" s="57">
        <f t="shared" si="0"/>
        <v>10</v>
      </c>
      <c r="H6" s="57">
        <f t="shared" si="0"/>
        <v>12</v>
      </c>
      <c r="I6" s="57">
        <f t="shared" si="0"/>
        <v>16</v>
      </c>
      <c r="J6" s="57">
        <f t="shared" si="0"/>
        <v>12</v>
      </c>
      <c r="K6" s="57">
        <f t="shared" si="0"/>
        <v>5</v>
      </c>
      <c r="L6" s="156">
        <f t="shared" si="0"/>
        <v>0</v>
      </c>
      <c r="M6" s="168">
        <f t="shared" si="0"/>
        <v>7</v>
      </c>
    </row>
    <row r="7" spans="1:21" s="8" customFormat="1" ht="11.25" customHeight="1">
      <c r="A7" s="42" t="s">
        <v>18</v>
      </c>
      <c r="B7" s="57">
        <f t="shared" ref="B7:M7" si="1">SUM(B10:B12)</f>
        <v>45</v>
      </c>
      <c r="C7" s="57">
        <f t="shared" si="1"/>
        <v>39</v>
      </c>
      <c r="D7" s="57">
        <f t="shared" si="1"/>
        <v>40</v>
      </c>
      <c r="E7" s="57">
        <f t="shared" si="1"/>
        <v>63</v>
      </c>
      <c r="F7" s="57">
        <f t="shared" si="1"/>
        <v>89</v>
      </c>
      <c r="G7" s="57">
        <f t="shared" si="1"/>
        <v>68</v>
      </c>
      <c r="H7" s="57">
        <f t="shared" si="1"/>
        <v>91</v>
      </c>
      <c r="I7" s="57">
        <f t="shared" si="1"/>
        <v>86</v>
      </c>
      <c r="J7" s="57">
        <f t="shared" si="1"/>
        <v>86</v>
      </c>
      <c r="K7" s="57">
        <f t="shared" si="1"/>
        <v>29</v>
      </c>
      <c r="L7" s="156">
        <f t="shared" si="1"/>
        <v>42</v>
      </c>
      <c r="M7" s="171">
        <f t="shared" si="1"/>
        <v>52</v>
      </c>
    </row>
    <row r="8" spans="1:21" s="8" customFormat="1" ht="11.25" customHeight="1" thickBot="1">
      <c r="A8" s="43" t="s">
        <v>14</v>
      </c>
      <c r="B8" s="58">
        <f t="shared" ref="B8:M8" si="2">SUM(B6:B7)</f>
        <v>56</v>
      </c>
      <c r="C8" s="58">
        <f t="shared" si="2"/>
        <v>54</v>
      </c>
      <c r="D8" s="58">
        <f t="shared" si="2"/>
        <v>50</v>
      </c>
      <c r="E8" s="58">
        <f t="shared" si="2"/>
        <v>71</v>
      </c>
      <c r="F8" s="58">
        <f t="shared" si="2"/>
        <v>94</v>
      </c>
      <c r="G8" s="58">
        <f t="shared" si="2"/>
        <v>78</v>
      </c>
      <c r="H8" s="58">
        <f t="shared" si="2"/>
        <v>103</v>
      </c>
      <c r="I8" s="58">
        <f t="shared" si="2"/>
        <v>102</v>
      </c>
      <c r="J8" s="58">
        <f t="shared" si="2"/>
        <v>98</v>
      </c>
      <c r="K8" s="58">
        <f t="shared" si="2"/>
        <v>34</v>
      </c>
      <c r="L8" s="157">
        <f t="shared" si="2"/>
        <v>42</v>
      </c>
      <c r="M8" s="172">
        <f t="shared" si="2"/>
        <v>59</v>
      </c>
    </row>
    <row r="9" spans="1:21" s="8" customFormat="1" ht="11.25" customHeight="1" thickBot="1">
      <c r="A9" s="54" t="s">
        <v>18</v>
      </c>
      <c r="B9" s="50">
        <v>41275</v>
      </c>
      <c r="C9" s="47">
        <v>41306</v>
      </c>
      <c r="D9" s="47">
        <v>41334</v>
      </c>
      <c r="E9" s="47">
        <v>41365</v>
      </c>
      <c r="F9" s="47">
        <v>41395</v>
      </c>
      <c r="G9" s="47">
        <v>41426</v>
      </c>
      <c r="H9" s="47">
        <v>41456</v>
      </c>
      <c r="I9" s="47">
        <v>41487</v>
      </c>
      <c r="J9" s="47">
        <v>41518</v>
      </c>
      <c r="K9" s="47">
        <v>41548</v>
      </c>
      <c r="L9" s="47">
        <v>41579</v>
      </c>
      <c r="M9" s="51">
        <v>41609</v>
      </c>
    </row>
    <row r="10" spans="1:21" s="8" customFormat="1" ht="11.25" customHeight="1">
      <c r="A10" s="9" t="s">
        <v>128</v>
      </c>
      <c r="B10" s="57">
        <f t="shared" ref="B10:M10" si="3">B52</f>
        <v>23</v>
      </c>
      <c r="C10" s="57">
        <f t="shared" si="3"/>
        <v>22</v>
      </c>
      <c r="D10" s="57">
        <f t="shared" si="3"/>
        <v>21</v>
      </c>
      <c r="E10" s="57">
        <f t="shared" si="3"/>
        <v>33</v>
      </c>
      <c r="F10" s="57">
        <f t="shared" si="3"/>
        <v>39</v>
      </c>
      <c r="G10" s="59">
        <f t="shared" si="3"/>
        <v>32</v>
      </c>
      <c r="H10" s="59">
        <f t="shared" si="3"/>
        <v>65</v>
      </c>
      <c r="I10" s="59">
        <f t="shared" si="3"/>
        <v>52</v>
      </c>
      <c r="J10" s="59">
        <f t="shared" si="3"/>
        <v>43</v>
      </c>
      <c r="K10" s="59">
        <f t="shared" si="3"/>
        <v>9</v>
      </c>
      <c r="L10" s="158">
        <f t="shared" si="3"/>
        <v>21</v>
      </c>
      <c r="M10" s="168">
        <f t="shared" si="3"/>
        <v>26</v>
      </c>
    </row>
    <row r="11" spans="1:21" s="8" customFormat="1" ht="11.25" customHeight="1">
      <c r="A11" s="9" t="s">
        <v>127</v>
      </c>
      <c r="B11" s="59">
        <f t="shared" ref="B11:M11" si="4">B65</f>
        <v>11</v>
      </c>
      <c r="C11" s="59">
        <f t="shared" si="4"/>
        <v>9</v>
      </c>
      <c r="D11" s="59">
        <f t="shared" si="4"/>
        <v>5</v>
      </c>
      <c r="E11" s="59">
        <f t="shared" si="4"/>
        <v>13</v>
      </c>
      <c r="F11" s="59">
        <f t="shared" si="4"/>
        <v>17</v>
      </c>
      <c r="G11" s="59">
        <f t="shared" si="4"/>
        <v>6</v>
      </c>
      <c r="H11" s="59">
        <f t="shared" si="4"/>
        <v>10</v>
      </c>
      <c r="I11" s="59">
        <f t="shared" si="4"/>
        <v>9</v>
      </c>
      <c r="J11" s="59">
        <f t="shared" si="4"/>
        <v>7</v>
      </c>
      <c r="K11" s="59">
        <f t="shared" si="4"/>
        <v>7</v>
      </c>
      <c r="L11" s="158">
        <f t="shared" si="4"/>
        <v>8</v>
      </c>
      <c r="M11" s="169">
        <f t="shared" si="4"/>
        <v>14</v>
      </c>
    </row>
    <row r="12" spans="1:21" s="8" customFormat="1" ht="11.25" customHeight="1" thickBot="1">
      <c r="A12" s="2" t="s">
        <v>12</v>
      </c>
      <c r="B12" s="60">
        <f>COUNTIFS(Jan!$B:$B,2051,Jan!$F:$F,800)</f>
        <v>11</v>
      </c>
      <c r="C12" s="60">
        <v>8</v>
      </c>
      <c r="D12" s="60">
        <v>14</v>
      </c>
      <c r="E12" s="60">
        <v>17</v>
      </c>
      <c r="F12" s="60">
        <v>33</v>
      </c>
      <c r="G12" s="60">
        <v>30</v>
      </c>
      <c r="H12" s="60">
        <v>16</v>
      </c>
      <c r="I12" s="60">
        <v>25</v>
      </c>
      <c r="J12" s="60">
        <v>36</v>
      </c>
      <c r="K12" s="60">
        <v>13</v>
      </c>
      <c r="L12" s="60">
        <v>13</v>
      </c>
      <c r="M12" s="60">
        <v>12</v>
      </c>
    </row>
    <row r="13" spans="1:21" s="8" customFormat="1" ht="5.0999999999999996" customHeight="1" thickBot="1">
      <c r="A13" s="3"/>
      <c r="B13" s="17"/>
      <c r="C13" s="17"/>
      <c r="D13" s="17"/>
      <c r="E13" s="17"/>
      <c r="F13" s="17"/>
      <c r="G13" s="17"/>
      <c r="H13" s="17"/>
      <c r="I13" s="17"/>
      <c r="J13" s="17"/>
      <c r="K13" s="17"/>
      <c r="L13" s="17"/>
      <c r="M13" s="147"/>
    </row>
    <row r="14" spans="1:21" s="16" customFormat="1" ht="11.25" customHeight="1">
      <c r="A14" s="44" t="s">
        <v>131</v>
      </c>
      <c r="B14" s="120">
        <v>10803</v>
      </c>
      <c r="C14" s="120">
        <v>12496</v>
      </c>
      <c r="D14" s="120">
        <v>12765</v>
      </c>
      <c r="E14" s="120">
        <v>12843</v>
      </c>
      <c r="F14" s="120">
        <v>14211</v>
      </c>
      <c r="G14" s="120">
        <v>11754</v>
      </c>
      <c r="H14" s="119">
        <v>13089</v>
      </c>
      <c r="I14" s="61">
        <v>12957</v>
      </c>
      <c r="J14" s="61">
        <v>13427</v>
      </c>
      <c r="K14" s="118">
        <v>10211</v>
      </c>
      <c r="L14" s="160">
        <v>9315</v>
      </c>
      <c r="M14" s="173">
        <v>12167</v>
      </c>
      <c r="O14" s="22"/>
      <c r="P14" s="22"/>
      <c r="Q14" s="22"/>
    </row>
    <row r="15" spans="1:21" s="8" customFormat="1" ht="11.25" customHeight="1">
      <c r="A15" s="45" t="s">
        <v>132</v>
      </c>
      <c r="B15" s="62">
        <f>IFERROR((SUMIFS(Jan!$N:$N,Jan!$J:$J,1,Jan!$B:$B,2051)+SUMIFS(Jan!$N:$N,Jan!$D:$D,"&gt;1",Jan!$B:$B,2051))/(COUNTIFS(Jan!$J:$J,1,Jan!$B:$B,2051)+COUNTIFS(Jan!$D:$D,"&gt;1",Jan!$B:$B,2051)),"")</f>
        <v>20.571428571428573</v>
      </c>
      <c r="C15" s="62">
        <v>22.16</v>
      </c>
      <c r="D15" s="62">
        <v>22.57</v>
      </c>
      <c r="E15" s="62">
        <v>21.21</v>
      </c>
      <c r="F15" s="62">
        <v>22.01</v>
      </c>
      <c r="G15" s="62">
        <v>22.81</v>
      </c>
      <c r="H15" s="62">
        <v>20.69</v>
      </c>
      <c r="I15" s="62">
        <v>21.36</v>
      </c>
      <c r="J15" s="62">
        <v>22.41</v>
      </c>
      <c r="K15" s="62">
        <v>23.7</v>
      </c>
      <c r="L15" s="62">
        <v>20.190000000000001</v>
      </c>
      <c r="M15" s="62">
        <v>22.6</v>
      </c>
      <c r="N15" s="15"/>
      <c r="O15" s="1"/>
      <c r="P15" s="1"/>
      <c r="Q15" s="1"/>
    </row>
    <row r="16" spans="1:21" s="8" customFormat="1" ht="11.25" customHeight="1">
      <c r="A16" s="45" t="s">
        <v>133</v>
      </c>
      <c r="B16" s="62">
        <f>IFERROR(AVERAGEIFS(Jan!$N:$N,Jan!$F:$F,800,Jan!$B:$B,2051),"")</f>
        <v>21</v>
      </c>
      <c r="C16" s="62">
        <v>22.2</v>
      </c>
      <c r="D16" s="62">
        <v>25.63</v>
      </c>
      <c r="E16" s="62">
        <v>21.9</v>
      </c>
      <c r="F16" s="62">
        <v>22.14</v>
      </c>
      <c r="G16" s="62">
        <v>23.26</v>
      </c>
      <c r="H16" s="62">
        <v>22.88</v>
      </c>
      <c r="I16" s="62">
        <v>22.32</v>
      </c>
      <c r="J16" s="62">
        <v>23.19</v>
      </c>
      <c r="K16" s="62">
        <v>24.14</v>
      </c>
      <c r="L16" s="62">
        <v>22.13</v>
      </c>
      <c r="M16" s="62">
        <v>23.17</v>
      </c>
      <c r="O16" s="1"/>
      <c r="P16" s="1"/>
      <c r="Q16" s="1"/>
    </row>
    <row r="17" spans="1:17" s="8" customFormat="1" ht="11.25" customHeight="1">
      <c r="A17" s="45" t="s">
        <v>134</v>
      </c>
      <c r="B17" s="63">
        <f>IFERROR((SUMIFS(Jan!$M:$M,Jan!$J:$J,1,Jan!$B:$B,2051)+SUMIFS(Jan!$M:$M,Jan!$D:$D,"&gt;1",Jan!$B:$B,2051))/(COUNTIFS(Jan!$J:$J,1,Jan!$B:$B,2051)+COUNTIFS(Jan!$D:$D,"&gt;1",Jan!$B:$B,2051)),"")</f>
        <v>2.6642857142857137</v>
      </c>
      <c r="C17" s="63">
        <v>2.76</v>
      </c>
      <c r="D17" s="63">
        <v>3.75</v>
      </c>
      <c r="E17" s="63">
        <v>2.12</v>
      </c>
      <c r="F17" s="63">
        <v>2.71</v>
      </c>
      <c r="G17" s="63">
        <v>2.25</v>
      </c>
      <c r="H17" s="63">
        <v>2.34</v>
      </c>
      <c r="I17" s="63">
        <v>2.75</v>
      </c>
      <c r="J17" s="63">
        <v>1.1399999999999999</v>
      </c>
      <c r="K17" s="63">
        <v>1.75</v>
      </c>
      <c r="L17" s="63">
        <v>1.29</v>
      </c>
      <c r="M17" s="63">
        <v>2.5299999999999998</v>
      </c>
      <c r="O17" s="1"/>
      <c r="P17" s="1"/>
      <c r="Q17" s="1"/>
    </row>
    <row r="18" spans="1:17" s="8" customFormat="1" ht="11.25" customHeight="1" thickBot="1">
      <c r="A18" s="43" t="s">
        <v>135</v>
      </c>
      <c r="B18" s="64">
        <f>IFERROR(AVERAGEIFS(Jan!$M:$M,Jan!$F:$F,800,Jan!$B:$B,2051),"")</f>
        <v>3.2363636363636359</v>
      </c>
      <c r="C18" s="64">
        <v>0.63</v>
      </c>
      <c r="D18" s="64">
        <v>4.42</v>
      </c>
      <c r="E18" s="64">
        <v>1.38</v>
      </c>
      <c r="F18" s="64">
        <v>2.09</v>
      </c>
      <c r="G18" s="64">
        <v>2.0299999999999998</v>
      </c>
      <c r="H18" s="64">
        <v>0.56000000000000005</v>
      </c>
      <c r="I18" s="64">
        <v>1.78</v>
      </c>
      <c r="J18" s="64">
        <v>1.6</v>
      </c>
      <c r="K18" s="64">
        <v>1.84</v>
      </c>
      <c r="L18" s="64">
        <v>1.33</v>
      </c>
      <c r="M18" s="64">
        <v>2.14</v>
      </c>
    </row>
    <row r="19" spans="1:17" s="8" customFormat="1" ht="5.0999999999999996" customHeight="1" thickBot="1">
      <c r="A19" s="3"/>
      <c r="B19" s="17"/>
      <c r="C19" s="17"/>
      <c r="D19" s="17"/>
      <c r="E19" s="17"/>
      <c r="F19" s="17"/>
      <c r="G19" s="17"/>
      <c r="H19" s="17"/>
      <c r="I19" s="17"/>
      <c r="J19" s="17"/>
      <c r="K19" s="17"/>
      <c r="L19" s="17"/>
      <c r="M19" s="147"/>
    </row>
    <row r="20" spans="1:17" s="8" customFormat="1" ht="11.25" customHeight="1">
      <c r="A20" s="42" t="s">
        <v>52</v>
      </c>
      <c r="B20" s="65">
        <v>31</v>
      </c>
      <c r="C20" s="65">
        <v>28</v>
      </c>
      <c r="D20" s="65">
        <v>31</v>
      </c>
      <c r="E20" s="65">
        <v>30</v>
      </c>
      <c r="F20" s="65">
        <v>31</v>
      </c>
      <c r="G20" s="65">
        <v>30</v>
      </c>
      <c r="H20" s="65">
        <v>31</v>
      </c>
      <c r="I20" s="65">
        <v>31</v>
      </c>
      <c r="J20" s="65">
        <v>30</v>
      </c>
      <c r="K20" s="65">
        <v>31</v>
      </c>
      <c r="L20" s="161">
        <v>30</v>
      </c>
      <c r="M20" s="174">
        <v>31</v>
      </c>
    </row>
    <row r="21" spans="1:17" s="8" customFormat="1" ht="11.25" customHeight="1">
      <c r="A21" s="9" t="s">
        <v>15</v>
      </c>
      <c r="B21" s="66">
        <f>B12/B20</f>
        <v>0.35483870967741937</v>
      </c>
      <c r="C21" s="66">
        <f t="shared" ref="C21:M21" si="5">C12/C20</f>
        <v>0.2857142857142857</v>
      </c>
      <c r="D21" s="66">
        <f>D12/D20</f>
        <v>0.45161290322580644</v>
      </c>
      <c r="E21" s="66">
        <f>E12/E20</f>
        <v>0.56666666666666665</v>
      </c>
      <c r="F21" s="66">
        <f>F12/F20</f>
        <v>1.064516129032258</v>
      </c>
      <c r="G21" s="66">
        <f>G12/G20</f>
        <v>1</v>
      </c>
      <c r="H21" s="66">
        <f t="shared" si="5"/>
        <v>0.5161290322580645</v>
      </c>
      <c r="I21" s="66">
        <f t="shared" si="5"/>
        <v>0.80645161290322576</v>
      </c>
      <c r="J21" s="66">
        <f t="shared" si="5"/>
        <v>1.2</v>
      </c>
      <c r="K21" s="66">
        <f t="shared" si="5"/>
        <v>0.41935483870967744</v>
      </c>
      <c r="L21" s="162">
        <f t="shared" si="5"/>
        <v>0.43333333333333335</v>
      </c>
      <c r="M21" s="175">
        <f t="shared" si="5"/>
        <v>0.38709677419354838</v>
      </c>
    </row>
    <row r="22" spans="1:17" s="8" customFormat="1" ht="11.25" customHeight="1">
      <c r="A22" s="9" t="s">
        <v>130</v>
      </c>
      <c r="B22" s="67">
        <f t="shared" ref="B22:G22" si="6">IFERROR(B12/B7,0)</f>
        <v>0.24444444444444444</v>
      </c>
      <c r="C22" s="67">
        <f t="shared" si="6"/>
        <v>0.20512820512820512</v>
      </c>
      <c r="D22" s="67">
        <f t="shared" si="6"/>
        <v>0.35</v>
      </c>
      <c r="E22" s="67">
        <f t="shared" si="6"/>
        <v>0.26984126984126983</v>
      </c>
      <c r="F22" s="67">
        <f t="shared" si="6"/>
        <v>0.3707865168539326</v>
      </c>
      <c r="G22" s="67">
        <f t="shared" si="6"/>
        <v>0.44117647058823528</v>
      </c>
      <c r="H22" s="67">
        <f t="shared" ref="H22:M22" si="7">IFERROR(H12/H7,0)</f>
        <v>0.17582417582417584</v>
      </c>
      <c r="I22" s="67">
        <f t="shared" si="7"/>
        <v>0.29069767441860467</v>
      </c>
      <c r="J22" s="67">
        <f t="shared" si="7"/>
        <v>0.41860465116279072</v>
      </c>
      <c r="K22" s="116">
        <f t="shared" si="7"/>
        <v>0.44827586206896552</v>
      </c>
      <c r="L22" s="67">
        <f t="shared" si="7"/>
        <v>0.30952380952380953</v>
      </c>
      <c r="M22" s="176">
        <f t="shared" si="7"/>
        <v>0.23076923076923078</v>
      </c>
      <c r="N22" s="1"/>
    </row>
    <row r="23" spans="1:17" s="8" customFormat="1" ht="11.25" customHeight="1" thickBot="1">
      <c r="A23" s="9" t="s">
        <v>53</v>
      </c>
      <c r="B23" s="67">
        <f t="shared" ref="B23:G23" si="8">IFERROR(B12/(B11+B12),0)</f>
        <v>0.5</v>
      </c>
      <c r="C23" s="67">
        <f t="shared" si="8"/>
        <v>0.47058823529411764</v>
      </c>
      <c r="D23" s="67">
        <f t="shared" si="8"/>
        <v>0.73684210526315785</v>
      </c>
      <c r="E23" s="67">
        <f t="shared" si="8"/>
        <v>0.56666666666666665</v>
      </c>
      <c r="F23" s="67">
        <f t="shared" si="8"/>
        <v>0.66</v>
      </c>
      <c r="G23" s="67">
        <f t="shared" si="8"/>
        <v>0.83333333333333337</v>
      </c>
      <c r="H23" s="67">
        <f t="shared" ref="H23:M23" si="9">IFERROR(H12/(H11+H12),0)</f>
        <v>0.61538461538461542</v>
      </c>
      <c r="I23" s="67">
        <f t="shared" si="9"/>
        <v>0.73529411764705888</v>
      </c>
      <c r="J23" s="67">
        <f t="shared" si="9"/>
        <v>0.83720930232558144</v>
      </c>
      <c r="K23" s="117">
        <f t="shared" si="9"/>
        <v>0.65</v>
      </c>
      <c r="L23" s="163">
        <f t="shared" si="9"/>
        <v>0.61904761904761907</v>
      </c>
      <c r="M23" s="177">
        <f t="shared" si="9"/>
        <v>0.46153846153846156</v>
      </c>
      <c r="N23" s="4"/>
    </row>
    <row r="24" spans="1:17" s="8" customFormat="1" ht="11.25" customHeight="1" thickBot="1">
      <c r="A24" s="56" t="s">
        <v>21</v>
      </c>
      <c r="B24" s="50">
        <v>41275</v>
      </c>
      <c r="C24" s="47">
        <v>41306</v>
      </c>
      <c r="D24" s="47">
        <v>41334</v>
      </c>
      <c r="E24" s="47">
        <v>41365</v>
      </c>
      <c r="F24" s="47">
        <v>41395</v>
      </c>
      <c r="G24" s="47">
        <v>41426</v>
      </c>
      <c r="H24" s="47">
        <v>41456</v>
      </c>
      <c r="I24" s="47">
        <v>41487</v>
      </c>
      <c r="J24" s="47">
        <v>41518</v>
      </c>
      <c r="K24" s="47">
        <v>41548</v>
      </c>
      <c r="L24" s="47">
        <v>41579</v>
      </c>
      <c r="M24" s="51">
        <v>41609</v>
      </c>
    </row>
    <row r="25" spans="1:17" s="8" customFormat="1" ht="11.25" customHeight="1">
      <c r="A25" s="18" t="s">
        <v>5</v>
      </c>
      <c r="B25" s="68">
        <f>COUNTIFS(Jan!$B:$B,2051,Jan!$J:$J,18)</f>
        <v>5</v>
      </c>
      <c r="C25" s="68">
        <v>4</v>
      </c>
      <c r="D25" s="68">
        <v>4</v>
      </c>
      <c r="E25" s="68">
        <v>3</v>
      </c>
      <c r="F25" s="68">
        <v>3</v>
      </c>
      <c r="G25" s="68">
        <v>4</v>
      </c>
      <c r="H25" s="68">
        <v>3</v>
      </c>
      <c r="I25" s="68">
        <v>6</v>
      </c>
      <c r="J25" s="68">
        <v>3</v>
      </c>
      <c r="K25" s="68">
        <v>1</v>
      </c>
      <c r="L25" s="68">
        <f>COUNTIFS(Nov!$B:$B,2051,Nov!$J:$J,18)</f>
        <v>0</v>
      </c>
      <c r="M25" s="68">
        <v>3</v>
      </c>
    </row>
    <row r="26" spans="1:17" s="8" customFormat="1" ht="11.25" customHeight="1">
      <c r="A26" s="46" t="s">
        <v>40</v>
      </c>
      <c r="B26" s="57">
        <f>COUNTIFS(Jan!$B:$B,2051,Jan!$J:$J,41)</f>
        <v>0</v>
      </c>
      <c r="C26" s="57">
        <f>COUNTIFS(Feb!$B:$B,2051,Feb!$J:$J,41)</f>
        <v>0</v>
      </c>
      <c r="D26" s="57">
        <v>4</v>
      </c>
      <c r="E26" s="57">
        <f>COUNTIFS(Apr!$B:$B,2051,Apr!$J:$J,41)</f>
        <v>0</v>
      </c>
      <c r="F26" s="57">
        <f>COUNTIFS(May!$B:$B,2051,May!$J:$J,41)</f>
        <v>0</v>
      </c>
      <c r="G26" s="57">
        <f>COUNTIFS(Jun!$B:$B,2051,Jun!$J:$J,41)</f>
        <v>0</v>
      </c>
      <c r="H26" s="57">
        <f>COUNTIFS(Jul!$B:$B,2051,Jul!$J:$J,41)</f>
        <v>0</v>
      </c>
      <c r="I26" s="57">
        <f>COUNTIFS(Aug!$B:$B,2051,Aug!$J:$J,41)</f>
        <v>0</v>
      </c>
      <c r="J26" s="57">
        <f>COUNTIFS(Sep!$B:$B,2051,Sep!$J:$J,41)</f>
        <v>0</v>
      </c>
      <c r="K26" s="57">
        <f>COUNTIFS(Oct!$B:$B,2051,Oct!$J:$J,41)</f>
        <v>0</v>
      </c>
      <c r="L26" s="57">
        <f>COUNTIFS(Nov!$B:$B,2051,Nov!$J:$J,41)</f>
        <v>0</v>
      </c>
      <c r="M26" s="57">
        <v>0</v>
      </c>
    </row>
    <row r="27" spans="1:17" s="8" customFormat="1" ht="11.25" customHeight="1">
      <c r="A27" s="9" t="s">
        <v>11</v>
      </c>
      <c r="B27" s="179">
        <f>COUNTIFS(Jan!$B:$B,2051,Jan!$J:$J,17)</f>
        <v>5</v>
      </c>
      <c r="C27" s="206">
        <v>8</v>
      </c>
      <c r="D27" s="206">
        <v>2</v>
      </c>
      <c r="E27" s="206">
        <v>5</v>
      </c>
      <c r="F27" s="206">
        <v>2</v>
      </c>
      <c r="G27" s="206">
        <v>5</v>
      </c>
      <c r="H27" s="206">
        <v>8</v>
      </c>
      <c r="I27" s="206">
        <v>9</v>
      </c>
      <c r="J27" s="206">
        <v>9</v>
      </c>
      <c r="K27" s="206">
        <v>4</v>
      </c>
      <c r="L27" s="179">
        <f>COUNTIFS(Nov!$B:$B,2051,Nov!$J:$J,17)</f>
        <v>0</v>
      </c>
      <c r="M27" s="206">
        <v>3</v>
      </c>
    </row>
    <row r="28" spans="1:17" s="8" customFormat="1" ht="11.25" customHeight="1">
      <c r="A28" s="9" t="s">
        <v>143</v>
      </c>
      <c r="B28" s="59">
        <f>COUNTIFS(Jan!$B:$B,2051,Jan!$F:$F,455)</f>
        <v>0</v>
      </c>
      <c r="C28" s="59">
        <f>COUNTIFS(Feb!$B:$B,2051,Feb!$F:$F,455)</f>
        <v>0</v>
      </c>
      <c r="D28" s="59">
        <f>COUNTIFS(Mar!$B:$B,2051,Mar!$F:$F,455)</f>
        <v>0</v>
      </c>
      <c r="E28" s="59">
        <f>COUNTIFS(Apr!$B:$B,2051,Apr!$F:$F,455)</f>
        <v>0</v>
      </c>
      <c r="F28" s="59">
        <f>COUNTIFS(May!$B:$B,2051,May!$F:$F,455)</f>
        <v>0</v>
      </c>
      <c r="G28" s="59">
        <f>COUNTIFS(Jun!$B:$B,2051,Jun!$F:$F,455)</f>
        <v>0</v>
      </c>
      <c r="H28" s="59">
        <f>COUNTIFS(Jul!$B:$B,2051,Jul!$F:$F,455)</f>
        <v>0</v>
      </c>
      <c r="I28" s="59">
        <f>COUNTIFS(Aug!$B:$B,2051,Aug!$F:$F,455)</f>
        <v>0</v>
      </c>
      <c r="J28" s="59">
        <f>COUNTIFS(Sep!$B:$B,2051,Sep!$F:$F,455)</f>
        <v>0</v>
      </c>
      <c r="K28" s="59">
        <f>COUNTIFS(Oct!$B:$B,2051,Oct!$F:$F,455)</f>
        <v>0</v>
      </c>
      <c r="L28" s="59">
        <f>COUNTIFS(Nov!$B:$B,2051,Nov!$F:$F,455)</f>
        <v>0</v>
      </c>
      <c r="M28" s="59">
        <v>0</v>
      </c>
    </row>
    <row r="29" spans="1:17" s="8" customFormat="1" ht="11.25" customHeight="1">
      <c r="A29" s="9" t="s">
        <v>23</v>
      </c>
      <c r="B29" s="59">
        <f>COUNTIFS(Jan!$B:$B,2051,Jan!$J:$J,31)</f>
        <v>0</v>
      </c>
      <c r="C29" s="59">
        <f>COUNTIFS(Feb!$B:$B,2051,Feb!$J:$J,31)</f>
        <v>0</v>
      </c>
      <c r="D29" s="59">
        <f>COUNTIFS(Mar!$B:$B,2051,Mar!$J:$J,31)</f>
        <v>0</v>
      </c>
      <c r="E29" s="59">
        <f>COUNTIFS(Apr!$B:$B,2051,Apr!$J:$J,31)</f>
        <v>0</v>
      </c>
      <c r="F29" s="59">
        <f>COUNTIFS(May!$B:$B,2051,May!$J:$J,31)</f>
        <v>0</v>
      </c>
      <c r="G29" s="59">
        <f>COUNTIFS(Jun!$B:$B,2051,Jun!$J:$J,31)</f>
        <v>0</v>
      </c>
      <c r="H29" s="59">
        <f>COUNTIFS(Jul!$B:$B,2051,Jul!$J:$J,31)</f>
        <v>0</v>
      </c>
      <c r="I29" s="59">
        <f>COUNTIFS(Aug!$B:$B,2051,Aug!$J:$J,31)</f>
        <v>0</v>
      </c>
      <c r="J29" s="59">
        <f>COUNTIFS(Sep!$B:$B,2051,Sep!$J:$J,31)</f>
        <v>0</v>
      </c>
      <c r="K29" s="59">
        <f>COUNTIFS(Oct!$B:$B,2051,Oct!$J:$J,31)</f>
        <v>0</v>
      </c>
      <c r="L29" s="59">
        <f>COUNTIFS(Nov!$B:$B,2051,Nov!$J:$J,31)</f>
        <v>0</v>
      </c>
      <c r="M29" s="59">
        <v>0</v>
      </c>
    </row>
    <row r="30" spans="1:17" s="8" customFormat="1" ht="11.25" customHeight="1">
      <c r="A30" s="9" t="s">
        <v>37</v>
      </c>
      <c r="B30" s="59">
        <f>COUNTIFS(Jan!$B:$B,2051,Jan!$J:$J,4400)</f>
        <v>1</v>
      </c>
      <c r="C30" s="59">
        <v>3</v>
      </c>
      <c r="D30" s="59">
        <f>COUNTIFS(Mar!$B:$B,2051,Mar!$J:$J,4400)</f>
        <v>0</v>
      </c>
      <c r="E30" s="59">
        <f>COUNTIFS(Apr!$B:$B,2051,Apr!$J:$J,4400)</f>
        <v>0</v>
      </c>
      <c r="F30" s="59">
        <f>COUNTIFS(May!$B:$B,2051,May!$J:$J,4400)</f>
        <v>0</v>
      </c>
      <c r="G30" s="59">
        <v>1</v>
      </c>
      <c r="H30" s="59">
        <v>1</v>
      </c>
      <c r="I30" s="59">
        <v>1</v>
      </c>
      <c r="J30" s="59">
        <f>COUNTIFS(Sep!$B:$B,2051,Sep!$J:$J,4400)</f>
        <v>0</v>
      </c>
      <c r="K30" s="59">
        <f>COUNTIFS(Oct!$B:$B,2051,Oct!$J:$J,4400)</f>
        <v>0</v>
      </c>
      <c r="L30" s="59">
        <f>COUNTIFS(Nov!$B:$B,2051,Nov!$J:$J,4400)</f>
        <v>0</v>
      </c>
      <c r="M30" s="59">
        <v>1</v>
      </c>
    </row>
    <row r="31" spans="1:17" s="8" customFormat="1" ht="11.25" customHeight="1">
      <c r="A31" s="10" t="s">
        <v>24</v>
      </c>
      <c r="B31" s="59">
        <f>COUNTIFS(Jan!$B:$B,2051,Jan!$J:$J,30)</f>
        <v>0</v>
      </c>
      <c r="C31" s="59">
        <f>COUNTIFS(Feb!$B:$B,2051,Feb!$J:$J,30)</f>
        <v>0</v>
      </c>
      <c r="D31" s="59">
        <f>COUNTIFS(Mar!$B:$B,2051,Mar!$J:$J,30)</f>
        <v>0</v>
      </c>
      <c r="E31" s="59">
        <f>COUNTIFS(Apr!$B:$B,2051,Apr!$J:$J,30)</f>
        <v>0</v>
      </c>
      <c r="F31" s="59">
        <f>COUNTIFS(May!$B:$B,2051,May!$J:$J,30)</f>
        <v>0</v>
      </c>
      <c r="G31" s="59">
        <f>COUNTIFS(Jun!$B:$B,2051,Jun!$J:$J,30)</f>
        <v>0</v>
      </c>
      <c r="H31" s="59">
        <f>COUNTIFS(Jul!$B:$B,2051,Jul!$J:$J,30)</f>
        <v>0</v>
      </c>
      <c r="I31" s="59">
        <f>COUNTIFS(Aug!$B:$B,2051,Aug!$J:$J,30)</f>
        <v>0</v>
      </c>
      <c r="J31" s="59">
        <f>COUNTIFS(Sep!$B:$B,2051,Sep!$J:$J,30)</f>
        <v>0</v>
      </c>
      <c r="K31" s="59">
        <f>COUNTIFS(Oct!$B:$B,2051,Oct!$J:$J,30)</f>
        <v>0</v>
      </c>
      <c r="L31" s="59">
        <f>COUNTIFS(Nov!$B:$B,2051,Nov!$J:$J,30)</f>
        <v>0</v>
      </c>
      <c r="M31" s="59">
        <v>0</v>
      </c>
    </row>
    <row r="32" spans="1:17" s="14" customFormat="1" ht="11.25" customHeight="1" thickBot="1">
      <c r="A32" s="2" t="s">
        <v>140</v>
      </c>
      <c r="B32" s="60">
        <f>SUM(B25:B31)</f>
        <v>11</v>
      </c>
      <c r="C32" s="60">
        <f t="shared" ref="C32:M32" si="10">SUM(C25:C31)</f>
        <v>15</v>
      </c>
      <c r="D32" s="60">
        <f>SUM(D25:D31)</f>
        <v>10</v>
      </c>
      <c r="E32" s="60">
        <f>SUM(E25:E31)</f>
        <v>8</v>
      </c>
      <c r="F32" s="60">
        <f>SUM(F25:F31)</f>
        <v>5</v>
      </c>
      <c r="G32" s="60">
        <f>SUM(G25:G31)</f>
        <v>10</v>
      </c>
      <c r="H32" s="60">
        <f t="shared" si="10"/>
        <v>12</v>
      </c>
      <c r="I32" s="60">
        <f t="shared" si="10"/>
        <v>16</v>
      </c>
      <c r="J32" s="60">
        <f>SUM(J25:J31)</f>
        <v>12</v>
      </c>
      <c r="K32" s="60">
        <f t="shared" si="10"/>
        <v>5</v>
      </c>
      <c r="L32" s="159">
        <f t="shared" si="10"/>
        <v>0</v>
      </c>
      <c r="M32" s="170">
        <f t="shared" si="10"/>
        <v>7</v>
      </c>
    </row>
    <row r="33" spans="1:13" ht="12" customHeight="1" thickBot="1">
      <c r="A33" s="55" t="s">
        <v>136</v>
      </c>
      <c r="B33" s="50">
        <v>41275</v>
      </c>
      <c r="C33" s="47">
        <v>41306</v>
      </c>
      <c r="D33" s="47">
        <v>41334</v>
      </c>
      <c r="E33" s="47">
        <v>41365</v>
      </c>
      <c r="F33" s="47">
        <v>41395</v>
      </c>
      <c r="G33" s="47">
        <v>41426</v>
      </c>
      <c r="H33" s="47">
        <v>41456</v>
      </c>
      <c r="I33" s="47">
        <v>41487</v>
      </c>
      <c r="J33" s="47">
        <v>41518</v>
      </c>
      <c r="K33" s="47">
        <v>41548</v>
      </c>
      <c r="L33" s="47">
        <v>41579</v>
      </c>
      <c r="M33" s="51">
        <v>41609</v>
      </c>
    </row>
    <row r="34" spans="1:13" s="8" customFormat="1" ht="11.25" customHeight="1">
      <c r="A34" s="46" t="s">
        <v>33</v>
      </c>
      <c r="B34" s="57">
        <f>COUNTIFS(Jan!$B:$B,2051,Jan!$J:$J,40)</f>
        <v>0</v>
      </c>
      <c r="C34" s="57">
        <f>COUNTIFS(Feb!$B:$B,2051,Feb!$J:$J,40)</f>
        <v>0</v>
      </c>
      <c r="D34" s="57">
        <f>COUNTIFS(Mar!$B:$B,2051,Mar!$J:$J,40)</f>
        <v>0</v>
      </c>
      <c r="E34" s="57">
        <f>COUNTIFS(Apr!$B:$B,2051,Apr!$J:$J,40)</f>
        <v>0</v>
      </c>
      <c r="F34" s="57">
        <f>COUNTIFS(May!$B:$B,2051,May!$J:$J,40)</f>
        <v>0</v>
      </c>
      <c r="G34" s="57">
        <f>COUNTIFS(Jun!$B:$B,2051,Jun!$J:$J,40)</f>
        <v>0</v>
      </c>
      <c r="H34" s="57">
        <f>COUNTIFS(Jul!$B:$B,2051,Jul!$J:$J,40)</f>
        <v>0</v>
      </c>
      <c r="I34" s="57">
        <f>COUNTIFS(Aug!$B:$B,2051,Aug!$J:$J,40)</f>
        <v>0</v>
      </c>
      <c r="J34" s="57">
        <f>COUNTIFS(Sep!$B:$B,2051,Sep!$J:$J,40)</f>
        <v>0</v>
      </c>
      <c r="K34" s="57">
        <f>COUNTIFS(Oct!$B:$B,2051,Oct!$J:$J,40)</f>
        <v>0</v>
      </c>
      <c r="L34" s="57">
        <f>COUNTIFS(Nov!$B:$B,2051,Nov!$J:$J,40)</f>
        <v>0</v>
      </c>
      <c r="M34" s="57">
        <v>0</v>
      </c>
    </row>
    <row r="35" spans="1:13" s="8" customFormat="1" ht="11.25" customHeight="1">
      <c r="A35" s="10" t="s">
        <v>4</v>
      </c>
      <c r="B35" s="59">
        <f>COUNTIFS(Jan!$B:$B,2051,Jan!$J:$J,15)</f>
        <v>1</v>
      </c>
      <c r="C35" s="59">
        <f>COUNTIFS(Feb!$B:$B,2051,Feb!$J:$J,15)</f>
        <v>0</v>
      </c>
      <c r="D35" s="59">
        <f>COUNTIFS(Mar!$B:$B,2051,Mar!$J:$J,15)</f>
        <v>0</v>
      </c>
      <c r="E35" s="59">
        <f>COUNTIFS(Apr!$B:$B,2051,Apr!$J:$J,15)</f>
        <v>0</v>
      </c>
      <c r="F35" s="59">
        <f>COUNTIFS(May!$B:$B,2051,May!$J:$J,15)</f>
        <v>0</v>
      </c>
      <c r="G35" s="59">
        <v>1</v>
      </c>
      <c r="H35" s="59">
        <f>COUNTIFS(Jul!$B:$B,2051,Jul!$J:$J,15)</f>
        <v>0</v>
      </c>
      <c r="I35" s="59">
        <f>COUNTIFS(Aug!$B:$B,2051,Aug!$J:$J,15)</f>
        <v>0</v>
      </c>
      <c r="J35" s="59">
        <v>1</v>
      </c>
      <c r="K35" s="59">
        <f>COUNTIFS(Oct!$B:$B,2051,Oct!$J:$J,15)</f>
        <v>0</v>
      </c>
      <c r="L35" s="59">
        <v>1</v>
      </c>
      <c r="M35" s="59">
        <v>1</v>
      </c>
    </row>
    <row r="36" spans="1:13" s="8" customFormat="1" ht="11.25" customHeight="1">
      <c r="A36" s="10" t="s">
        <v>39</v>
      </c>
      <c r="B36" s="59">
        <f>COUNTIFS(Jan!$B:$B,2051,Jan!$J:$J,29)</f>
        <v>0</v>
      </c>
      <c r="C36" s="59">
        <v>3</v>
      </c>
      <c r="D36" s="59">
        <v>2</v>
      </c>
      <c r="E36" s="59">
        <v>3</v>
      </c>
      <c r="F36" s="59">
        <v>6</v>
      </c>
      <c r="G36" s="59">
        <v>1</v>
      </c>
      <c r="H36" s="59">
        <v>3</v>
      </c>
      <c r="I36" s="59">
        <v>5</v>
      </c>
      <c r="J36" s="59">
        <v>3</v>
      </c>
      <c r="K36" s="59">
        <v>3</v>
      </c>
      <c r="L36" s="59">
        <v>1</v>
      </c>
      <c r="M36" s="59">
        <v>1</v>
      </c>
    </row>
    <row r="37" spans="1:13" s="8" customFormat="1" ht="11.25" customHeight="1">
      <c r="A37" s="10" t="s">
        <v>3</v>
      </c>
      <c r="B37" s="59">
        <f>COUNTIFS(Jan!$B:$B,2051,Jan!$J:$J,13)</f>
        <v>0</v>
      </c>
      <c r="C37" s="59">
        <f>COUNTIFS(Feb!$B:$B,2051,Feb!$J:$J,13)</f>
        <v>0</v>
      </c>
      <c r="D37" s="59">
        <f>COUNTIFS(Mar!$B:$B,2051,Mar!$J:$J,13)</f>
        <v>0</v>
      </c>
      <c r="E37" s="59">
        <f>COUNTIFS(Apr!$B:$B,2051,Apr!$J:$J,13)</f>
        <v>0</v>
      </c>
      <c r="F37" s="59">
        <f>COUNTIFS(May!$B:$B,2051,May!$J:$J,13)</f>
        <v>0</v>
      </c>
      <c r="G37" s="59">
        <v>1</v>
      </c>
      <c r="H37" s="59">
        <v>2</v>
      </c>
      <c r="I37" s="59">
        <f>COUNTIFS(Aug!$B:$B,2051,Aug!$J:$J,13)</f>
        <v>0</v>
      </c>
      <c r="J37" s="59">
        <f>COUNTIFS(Sep!$B:$B,2051,Sep!$J:$J,13)</f>
        <v>0</v>
      </c>
      <c r="K37" s="59">
        <f>COUNTIFS(Oct!$B:$B,2051,Oct!$J:$J,13)</f>
        <v>0</v>
      </c>
      <c r="L37" s="59">
        <f>COUNTIFS(Nov!$B:$B,2051,Nov!$J:$J,13)</f>
        <v>0</v>
      </c>
      <c r="M37" s="59">
        <v>0</v>
      </c>
    </row>
    <row r="38" spans="1:13" s="8" customFormat="1" ht="11.25" customHeight="1">
      <c r="A38" s="9" t="s">
        <v>218</v>
      </c>
      <c r="B38" s="59">
        <f>COUNTIFS(Jan!$B:$B,2051,Jan!$J:$J,43)</f>
        <v>9</v>
      </c>
      <c r="C38" s="59">
        <f>COUNTIFS(Feb!$B:$B,2051,Feb!$J:$J,43)</f>
        <v>0</v>
      </c>
      <c r="D38" s="59">
        <v>5</v>
      </c>
      <c r="E38" s="59">
        <v>4</v>
      </c>
      <c r="F38" s="59">
        <v>2</v>
      </c>
      <c r="G38" s="59">
        <v>3</v>
      </c>
      <c r="H38" s="59">
        <v>17</v>
      </c>
      <c r="I38" s="59">
        <v>13</v>
      </c>
      <c r="J38" s="59">
        <v>4</v>
      </c>
      <c r="K38" s="59">
        <f>COUNTIFS(Oct!$B:$B,2051,Oct!$J:$J,43)</f>
        <v>0</v>
      </c>
      <c r="L38" s="59">
        <v>7</v>
      </c>
      <c r="M38" s="59">
        <v>0</v>
      </c>
    </row>
    <row r="39" spans="1:13" s="8" customFormat="1" ht="11.25" customHeight="1">
      <c r="A39" s="10" t="s">
        <v>25</v>
      </c>
      <c r="B39" s="59">
        <f>COUNTIFS(Jan!$B:$B,2051,Jan!$J:$J,24)</f>
        <v>3</v>
      </c>
      <c r="C39" s="59">
        <v>4</v>
      </c>
      <c r="D39" s="59">
        <v>3</v>
      </c>
      <c r="E39" s="59">
        <v>2</v>
      </c>
      <c r="F39" s="59">
        <v>8</v>
      </c>
      <c r="G39" s="59">
        <v>4</v>
      </c>
      <c r="H39" s="59">
        <v>7</v>
      </c>
      <c r="I39" s="59">
        <v>3</v>
      </c>
      <c r="J39" s="59">
        <v>1</v>
      </c>
      <c r="K39" s="59">
        <v>3</v>
      </c>
      <c r="L39" s="59">
        <v>3</v>
      </c>
      <c r="M39" s="59">
        <v>8</v>
      </c>
    </row>
    <row r="40" spans="1:13" s="8" customFormat="1" ht="11.25" customHeight="1">
      <c r="A40" s="10" t="s">
        <v>34</v>
      </c>
      <c r="B40" s="59">
        <f>COUNTIFS(Jan!$B:$B,2051,Jan!$J:$J,9)</f>
        <v>0</v>
      </c>
      <c r="C40" s="59">
        <f>COUNTIFS(Feb!$B:$B,2051,Feb!$J:$J,9)</f>
        <v>0</v>
      </c>
      <c r="D40" s="59">
        <f>COUNTIFS(Mar!$B:$B,2051,Mar!$J:$J,9)</f>
        <v>0</v>
      </c>
      <c r="E40" s="59">
        <f>COUNTIFS(Apr!$B:$B,2051,Apr!$J:$J,9)</f>
        <v>0</v>
      </c>
      <c r="F40" s="59">
        <f>COUNTIFS(May!$B:$B,2051,May!$J:$J,9)</f>
        <v>0</v>
      </c>
      <c r="G40" s="59">
        <f>COUNTIFS(Jun!$B:$B,2051,Jun!$J:$J,9)</f>
        <v>0</v>
      </c>
      <c r="H40" s="59">
        <f>COUNTIFS(Jul!$B:$B,2051,Jul!$J:$J,9)</f>
        <v>0</v>
      </c>
      <c r="I40" s="59">
        <f>COUNTIFS(Aug!$B:$B,2051,Aug!$J:$J,9)</f>
        <v>0</v>
      </c>
      <c r="J40" s="59">
        <f>COUNTIFS(Sep!$B:$B,2051,Sep!$J:$J,9)</f>
        <v>0</v>
      </c>
      <c r="K40" s="59">
        <f>COUNTIFS(Oct!$B:$B,2051,Oct!$J:$J,9)</f>
        <v>0</v>
      </c>
      <c r="L40" s="59">
        <f>COUNTIFS(Nov!$B:$B,2051,Nov!$J:$J,9)</f>
        <v>0</v>
      </c>
      <c r="M40" s="59">
        <v>0</v>
      </c>
    </row>
    <row r="41" spans="1:13" s="8" customFormat="1" ht="11.25" customHeight="1">
      <c r="A41" s="10" t="s">
        <v>31</v>
      </c>
      <c r="B41" s="59">
        <f>COUNTIFS(Jan!$B:$B,2051,Jan!$J:$J,10)</f>
        <v>6</v>
      </c>
      <c r="C41" s="59">
        <v>10</v>
      </c>
      <c r="D41" s="59">
        <v>4</v>
      </c>
      <c r="E41" s="59">
        <v>11</v>
      </c>
      <c r="F41" s="59">
        <v>12</v>
      </c>
      <c r="G41" s="59">
        <v>6</v>
      </c>
      <c r="H41" s="59">
        <v>27</v>
      </c>
      <c r="I41" s="59">
        <v>14</v>
      </c>
      <c r="J41" s="59">
        <v>14</v>
      </c>
      <c r="K41" s="59">
        <v>2</v>
      </c>
      <c r="L41" s="59">
        <v>3</v>
      </c>
      <c r="M41" s="59">
        <v>6</v>
      </c>
    </row>
    <row r="42" spans="1:13" s="8" customFormat="1" ht="11.25" customHeight="1">
      <c r="A42" s="10" t="s">
        <v>144</v>
      </c>
      <c r="B42" s="59">
        <f>COUNTIFS(Jan!$B:$B,2051,Jan!$F:$F,462)</f>
        <v>0</v>
      </c>
      <c r="C42" s="59">
        <f>COUNTIFS(Feb!$B:$B,2051,Feb!$F:$F,462)</f>
        <v>0</v>
      </c>
      <c r="D42" s="59">
        <f>COUNTIFS(Mar!$B:$B,2051,Mar!$F:$F,462)</f>
        <v>0</v>
      </c>
      <c r="E42" s="59">
        <f>COUNTIFS(Apr!$B:$B,2051,Apr!$F:$F,462)</f>
        <v>0</v>
      </c>
      <c r="F42" s="59">
        <f>COUNTIFS(May!$B:$B,2051,May!$F:$F,462)</f>
        <v>0</v>
      </c>
      <c r="G42" s="59">
        <f>COUNTIFS(Jun!$B:$B,2051,Jun!$F:$F,462)</f>
        <v>0</v>
      </c>
      <c r="H42" s="59">
        <f>COUNTIFS(Jul!$B:$B,2051,Jul!$F:$F,462)</f>
        <v>0</v>
      </c>
      <c r="I42" s="59">
        <f>COUNTIFS(Aug!$B:$B,2051,Aug!$F:$F,462)</f>
        <v>0</v>
      </c>
      <c r="J42" s="59">
        <f>COUNTIFS(Sep!$B:$B,2051,Sep!$F:$F,462)</f>
        <v>0</v>
      </c>
      <c r="K42" s="59">
        <f>COUNTIFS(Oct!$B:$B,2051,Oct!$F:$F,462)</f>
        <v>0</v>
      </c>
      <c r="L42" s="59">
        <f>COUNTIFS(Nov!$B:$B,2051,Nov!$F:$F,462)</f>
        <v>0</v>
      </c>
      <c r="M42" s="59">
        <v>0</v>
      </c>
    </row>
    <row r="43" spans="1:13" s="8" customFormat="1" ht="11.25" customHeight="1">
      <c r="A43" s="10" t="s">
        <v>1</v>
      </c>
      <c r="B43" s="59">
        <f>COUNTIFS(Jan!$B:$B,2051,Jan!$J:$J,11)</f>
        <v>0</v>
      </c>
      <c r="C43" s="59">
        <f>COUNTIFS(Feb!$B:$B,2051,Feb!$J:$J,11)</f>
        <v>0</v>
      </c>
      <c r="D43" s="59">
        <v>1</v>
      </c>
      <c r="E43" s="59">
        <f>COUNTIFS(Apr!$B:$B,2051,Apr!$J:$J,11)</f>
        <v>0</v>
      </c>
      <c r="F43" s="59">
        <f>COUNTIFS(May!$B:$B,2051,May!$J:$J,11)</f>
        <v>0</v>
      </c>
      <c r="G43" s="59">
        <v>1</v>
      </c>
      <c r="H43" s="59">
        <f>COUNTIFS(Jul!$B:$B,2051,Jul!$J:$J,11)</f>
        <v>0</v>
      </c>
      <c r="I43" s="59">
        <f>COUNTIFS(Aug!$B:$B,2051,Aug!$J:$J,11)</f>
        <v>0</v>
      </c>
      <c r="J43" s="59">
        <v>1</v>
      </c>
      <c r="K43" s="59">
        <f>COUNTIFS(Oct!$B:$B,2051,Oct!$J:$J,11)</f>
        <v>0</v>
      </c>
      <c r="L43" s="59">
        <v>1</v>
      </c>
      <c r="M43" s="59">
        <v>0</v>
      </c>
    </row>
    <row r="44" spans="1:13" s="8" customFormat="1" ht="11.25" customHeight="1">
      <c r="A44" s="10" t="s">
        <v>26</v>
      </c>
      <c r="B44" s="59">
        <f>COUNTIFS(Jan!$B:$B,2051,Jan!$J:$J,20)</f>
        <v>0</v>
      </c>
      <c r="C44" s="59">
        <f>COUNTIFS(Feb!$B:$B,2051,Feb!$J:$J,20)</f>
        <v>0</v>
      </c>
      <c r="D44" s="59">
        <f>COUNTIFS(Mar!$B:$B,2051,Mar!$J:$J,20)</f>
        <v>0</v>
      </c>
      <c r="E44" s="59">
        <v>1</v>
      </c>
      <c r="F44" s="59">
        <f>COUNTIFS(May!$B:$B,2051,May!$J:$J,20)</f>
        <v>0</v>
      </c>
      <c r="G44" s="59">
        <f>COUNTIFS(Jun!$B:$B,2051,Jun!$J:$J,20)</f>
        <v>0</v>
      </c>
      <c r="H44" s="59">
        <f>COUNTIFS(Jul!$B:$B,2051,Jul!$J:$J,20)</f>
        <v>0</v>
      </c>
      <c r="I44" s="59">
        <f>COUNTIFS(Aug!$B:$B,2051,Aug!$J:$J,20)</f>
        <v>0</v>
      </c>
      <c r="J44" s="59">
        <v>2</v>
      </c>
      <c r="K44" s="59">
        <f>COUNTIFS(Oct!$B:$B,2051,Oct!$J:$J,20)</f>
        <v>0</v>
      </c>
      <c r="L44" s="59">
        <f>COUNTIFS(Nov!$B:$B,2051,Nov!$J:$J,20)</f>
        <v>0</v>
      </c>
      <c r="M44" s="59">
        <v>0</v>
      </c>
    </row>
    <row r="45" spans="1:13" s="8" customFormat="1" ht="11.25" customHeight="1">
      <c r="A45" s="10" t="s">
        <v>32</v>
      </c>
      <c r="B45" s="59">
        <f>COUNTIFS(Jan!$B:$B,2051,Jan!$J:$J,2)</f>
        <v>2</v>
      </c>
      <c r="C45" s="59">
        <v>3</v>
      </c>
      <c r="D45" s="59">
        <v>6</v>
      </c>
      <c r="E45" s="59">
        <f>COUNTIFS(Apr!$B:$B,2051,Apr!$J:$J,2)</f>
        <v>0</v>
      </c>
      <c r="F45" s="59">
        <v>10</v>
      </c>
      <c r="G45" s="59">
        <v>8</v>
      </c>
      <c r="H45" s="59">
        <v>8</v>
      </c>
      <c r="I45" s="59">
        <v>12</v>
      </c>
      <c r="J45" s="59">
        <v>13</v>
      </c>
      <c r="K45" s="59">
        <f>COUNTIFS(Oct!$B:$B,2051,Oct!$J:$J,2)</f>
        <v>0</v>
      </c>
      <c r="L45" s="59">
        <v>3</v>
      </c>
      <c r="M45" s="59">
        <v>7</v>
      </c>
    </row>
    <row r="46" spans="1:13" s="8" customFormat="1" ht="11.25" customHeight="1">
      <c r="A46" s="10" t="s">
        <v>28</v>
      </c>
      <c r="B46" s="59">
        <f>COUNTIFS(Jan!$B:$B,2051,Jan!$J:$J,1700)+COUNTIFS(Jan!$B:$B,2051,Jan!$F:$F,1700)+COUNTIFS(Jan!$B:$B,2051,Jan!$J:$J,19)</f>
        <v>0</v>
      </c>
      <c r="C46" s="59">
        <f>COUNTIFS(Feb!$B:$B,2051,Feb!$J:$J,1700)+COUNTIFS(Feb!$B:$B,2051,Feb!$F:$F,1700)+COUNTIFS(Feb!$B:$B,2051,Feb!$J:$J,19)</f>
        <v>0</v>
      </c>
      <c r="D46" s="59">
        <f>COUNTIFS(Mar!$B:$B,2051,Mar!$J:$J,1700)+COUNTIFS(Mar!$B:$B,2051,Mar!$F:$F,1700)+COUNTIFS(Mar!$B:$B,2051,Mar!$J:$J,19)</f>
        <v>0</v>
      </c>
      <c r="E46" s="59">
        <v>12</v>
      </c>
      <c r="F46" s="59">
        <f>COUNTIFS(May!$B:$B,2051,May!$J:$J,1700)+COUNTIFS(May!$B:$B,2051,May!$F:$F,1700)+COUNTIFS(May!$B:$B,2051,May!$J:$J,19)</f>
        <v>0</v>
      </c>
      <c r="G46" s="59">
        <f>COUNTIFS(Jun!$B:$B,2051,Jun!$J:$J,1700)+COUNTIFS(Jun!$B:$B,2051,Jun!$F:$F,1700)+COUNTIFS(Jun!$B:$B,2051,Jun!$J:$J,19)</f>
        <v>0</v>
      </c>
      <c r="H46" s="59">
        <f>COUNTIFS(Jul!$B:$B,2051,Jul!$J:$J,1700)+COUNTIFS(Jul!$B:$B,2051,Jul!$F:$F,1700)+COUNTIFS(Jul!$B:$B,2051,Jul!$J:$J,19)</f>
        <v>0</v>
      </c>
      <c r="I46" s="59">
        <v>2</v>
      </c>
      <c r="J46" s="59">
        <f>COUNTIFS(Sep!$B:$B,2051,Sep!$J:$J,1700)+COUNTIFS(Sep!$B:$B,2051,Sep!$F:$F,1700)+COUNTIFS(Sep!$B:$B,2051,Sep!$J:$J,19)</f>
        <v>0</v>
      </c>
      <c r="K46" s="59">
        <f>COUNTIFS(Oct!$B:$B,2051,Oct!$J:$J,1700)+COUNTIFS(Oct!$B:$B,2051,Oct!$F:$F,1700)+COUNTIFS(Oct!$B:$B,2051,Oct!$J:$J,19)</f>
        <v>0</v>
      </c>
      <c r="L46" s="59">
        <v>1</v>
      </c>
      <c r="M46" s="59">
        <v>0</v>
      </c>
    </row>
    <row r="47" spans="1:13" s="8" customFormat="1" ht="11.25" customHeight="1">
      <c r="A47" s="10" t="s">
        <v>0</v>
      </c>
      <c r="B47" s="59">
        <f>COUNTIFS(Jan!$B:$B,2051,Jan!$J:$J,3)</f>
        <v>1</v>
      </c>
      <c r="C47" s="59">
        <v>1</v>
      </c>
      <c r="D47" s="59">
        <f>COUNTIFS(Mar!$B:$B,2051,Mar!$J:$J,3)</f>
        <v>0</v>
      </c>
      <c r="E47" s="59">
        <f>COUNTIFS(Apr!$B:$B,2051,Apr!$J:$J,3)</f>
        <v>0</v>
      </c>
      <c r="F47" s="59">
        <v>1</v>
      </c>
      <c r="G47" s="59">
        <v>6</v>
      </c>
      <c r="H47" s="59">
        <f>COUNTIFS(Jul!$B:$B,2051,Jul!$J:$J,3)</f>
        <v>0</v>
      </c>
      <c r="I47" s="59">
        <v>2</v>
      </c>
      <c r="J47" s="59">
        <v>2</v>
      </c>
      <c r="K47" s="59">
        <f>COUNTIFS(Oct!$B:$B,2051,Oct!$J:$J,3)</f>
        <v>0</v>
      </c>
      <c r="L47" s="59">
        <f>COUNTIFS(Nov!$B:$B,2051,Nov!$J:$J,3)</f>
        <v>0</v>
      </c>
      <c r="M47" s="59">
        <v>3</v>
      </c>
    </row>
    <row r="48" spans="1:13" s="8" customFormat="1" ht="11.25" customHeight="1">
      <c r="A48" s="10" t="s">
        <v>35</v>
      </c>
      <c r="B48" s="59">
        <f>COUNTIFS(Jan!$B:$B,2051,Jan!$J:$J,7400)</f>
        <v>0</v>
      </c>
      <c r="C48" s="59">
        <f>COUNTIFS(Feb!$B:$B,2051,Feb!$J:$J,7400)</f>
        <v>0</v>
      </c>
      <c r="D48" s="59">
        <f>COUNTIFS(Mar!$B:$B,2051,Mar!$J:$J,7400)</f>
        <v>0</v>
      </c>
      <c r="E48" s="59">
        <f>COUNTIFS(Apr!$B:$B,2051,Apr!$J:$J,7400)</f>
        <v>0</v>
      </c>
      <c r="F48" s="59">
        <f>COUNTIFS(May!$B:$B,2051,May!$J:$J,7400)</f>
        <v>0</v>
      </c>
      <c r="G48" s="59">
        <f>COUNTIFS(Jun!$B:$B,2051,Jun!$J:$J,7400)</f>
        <v>0</v>
      </c>
      <c r="H48" s="59">
        <f>COUNTIFS(Jul!$B:$B,2051,Jul!$J:$J,7400)</f>
        <v>0</v>
      </c>
      <c r="I48" s="59">
        <f>COUNTIFS(Aug!$B:$B,2051,Aug!$J:$J,7400)</f>
        <v>0</v>
      </c>
      <c r="J48" s="59">
        <f>COUNTIFS(Sep!$B:$B,2051,Sep!$J:$J,7400)</f>
        <v>0</v>
      </c>
      <c r="K48" s="59">
        <f>COUNTIFS(Oct!$B:$B,2051,Oct!$J:$J,7400)</f>
        <v>0</v>
      </c>
      <c r="L48" s="59">
        <f>COUNTIFS(Nov!$B:$B,2051,Nov!$J:$J,7400)</f>
        <v>0</v>
      </c>
      <c r="M48" s="59">
        <v>0</v>
      </c>
    </row>
    <row r="49" spans="1:13" s="8" customFormat="1" ht="11.25" customHeight="1">
      <c r="A49" s="10" t="s">
        <v>2</v>
      </c>
      <c r="B49" s="59">
        <f>COUNTIFS(Jan!$B:$B,2051,Jan!$J:$J,14)</f>
        <v>1</v>
      </c>
      <c r="C49" s="59">
        <f>COUNTIFS(Feb!$B:$B,2051,Feb!$J:$J,14)</f>
        <v>0</v>
      </c>
      <c r="D49" s="59">
        <f>COUNTIFS(Mar!$B:$B,2051,Mar!$J:$J,14)</f>
        <v>0</v>
      </c>
      <c r="E49" s="59">
        <f>COUNTIFS(Apr!$B:$B,2051,Apr!$J:$J,14)</f>
        <v>0</v>
      </c>
      <c r="F49" s="59">
        <f>COUNTIFS(May!$B:$B,2051,May!$J:$J,14)</f>
        <v>0</v>
      </c>
      <c r="G49" s="59">
        <f>COUNTIFS(Jun!$B:$B,2051,Jun!$J:$J,14)</f>
        <v>0</v>
      </c>
      <c r="H49" s="59">
        <v>1</v>
      </c>
      <c r="I49" s="59">
        <v>1</v>
      </c>
      <c r="J49" s="59">
        <v>2</v>
      </c>
      <c r="K49" s="59">
        <f>COUNTIFS(Oct!$B:$B,2051,Oct!$J:$J,14)</f>
        <v>0</v>
      </c>
      <c r="L49" s="59">
        <v>1</v>
      </c>
      <c r="M49" s="59">
        <v>0</v>
      </c>
    </row>
    <row r="50" spans="1:13" s="8" customFormat="1" ht="11.25" customHeight="1">
      <c r="A50" s="10" t="s">
        <v>142</v>
      </c>
      <c r="B50" s="59">
        <f>COUNTIFS(Jan!$B:$B,2051,Jan!$F:$F,466)</f>
        <v>0</v>
      </c>
      <c r="C50" s="59">
        <v>1</v>
      </c>
      <c r="D50" s="59">
        <f>COUNTIFS(Mar!$B:$B,2051,Mar!$F:$F,466)</f>
        <v>0</v>
      </c>
      <c r="E50" s="59">
        <f>COUNTIFS(Apr!$B:$B,2051,Apr!$F:$F,466)</f>
        <v>0</v>
      </c>
      <c r="F50" s="59">
        <f>COUNTIFS(May!$B:$B,2051,May!$F:$F,466)</f>
        <v>0</v>
      </c>
      <c r="G50" s="59">
        <v>1</v>
      </c>
      <c r="H50" s="59">
        <f>COUNTIFS(Jul!$B:$B,2051,Jul!$F:$F,466)</f>
        <v>0</v>
      </c>
      <c r="I50" s="59">
        <f>COUNTIFS(Aug!$B:$B,2051,Aug!$F:$F,466)</f>
        <v>0</v>
      </c>
      <c r="J50" s="59">
        <f>COUNTIFS(Sep!$B:$B,2051,Sep!$F:$F,466)</f>
        <v>0</v>
      </c>
      <c r="K50" s="59">
        <v>1</v>
      </c>
      <c r="L50" s="59">
        <f>COUNTIFS(Nov!$B:$B,2051,Nov!$F:$F,466)</f>
        <v>0</v>
      </c>
      <c r="M50" s="59">
        <v>0</v>
      </c>
    </row>
    <row r="51" spans="1:13" s="8" customFormat="1" ht="11.25" customHeight="1">
      <c r="A51" s="10" t="s">
        <v>27</v>
      </c>
      <c r="B51" s="59">
        <f>COUNTIFS(Jan!$B:$B,2051,Jan!$J:$J,25)</f>
        <v>0</v>
      </c>
      <c r="C51" s="59">
        <f>COUNTIFS(Feb!$B:$B,2051,Feb!$J:$J,25)</f>
        <v>0</v>
      </c>
      <c r="D51" s="59">
        <f>COUNTIFS(Mar!$B:$B,2051,Mar!$J:$J,25)</f>
        <v>0</v>
      </c>
      <c r="E51" s="59">
        <f>COUNTIFS(Apr!$B:$B,2051,Apr!$J:$J,25)</f>
        <v>0</v>
      </c>
      <c r="F51" s="59">
        <f>COUNTIFS(May!$B:$B,2051,May!$J:$J,25)</f>
        <v>0</v>
      </c>
      <c r="G51" s="59">
        <f>COUNTIFS(Jun!$B:$B,2051,Jun!$J:$J,25)</f>
        <v>0</v>
      </c>
      <c r="H51" s="59">
        <f>COUNTIFS(Jul!$B:$B,2051,Jul!$J:$J,25)</f>
        <v>0</v>
      </c>
      <c r="I51" s="59">
        <f>COUNTIFS(Aug!$B:$B,2051,Aug!$J:$J,25)</f>
        <v>0</v>
      </c>
      <c r="J51" s="59">
        <f>COUNTIFS(Sep!$B:$B,2051,Sep!$J:$J,25)</f>
        <v>0</v>
      </c>
      <c r="K51" s="59">
        <f>COUNTIFS(Oct!$B:$B,2051,Oct!$J:$J,25)</f>
        <v>0</v>
      </c>
      <c r="L51" s="59">
        <f>COUNTIFS(Nov!$B:$B,2051,Nov!$J:$J,25)</f>
        <v>0</v>
      </c>
      <c r="M51" s="59">
        <v>0</v>
      </c>
    </row>
    <row r="52" spans="1:13" s="8" customFormat="1" ht="11.25" customHeight="1" thickBot="1">
      <c r="A52" s="11" t="s">
        <v>16</v>
      </c>
      <c r="B52" s="60">
        <f t="shared" ref="B52:G52" si="11">SUM(B34:B51)</f>
        <v>23</v>
      </c>
      <c r="C52" s="60">
        <f t="shared" si="11"/>
        <v>22</v>
      </c>
      <c r="D52" s="60">
        <f t="shared" si="11"/>
        <v>21</v>
      </c>
      <c r="E52" s="60">
        <f t="shared" si="11"/>
        <v>33</v>
      </c>
      <c r="F52" s="60">
        <f t="shared" si="11"/>
        <v>39</v>
      </c>
      <c r="G52" s="60">
        <f t="shared" si="11"/>
        <v>32</v>
      </c>
      <c r="H52" s="60">
        <f t="shared" ref="H52:M52" si="12">SUM(H34:H51)</f>
        <v>65</v>
      </c>
      <c r="I52" s="60">
        <f t="shared" si="12"/>
        <v>52</v>
      </c>
      <c r="J52" s="60">
        <f t="shared" si="12"/>
        <v>43</v>
      </c>
      <c r="K52" s="60">
        <f t="shared" si="12"/>
        <v>9</v>
      </c>
      <c r="L52" s="159">
        <f t="shared" si="12"/>
        <v>21</v>
      </c>
      <c r="M52" s="170">
        <f t="shared" si="12"/>
        <v>26</v>
      </c>
    </row>
    <row r="53" spans="1:13" ht="12" customHeight="1" thickBot="1">
      <c r="A53" s="55" t="s">
        <v>137</v>
      </c>
      <c r="B53" s="50">
        <v>41275</v>
      </c>
      <c r="C53" s="47">
        <v>41306</v>
      </c>
      <c r="D53" s="47">
        <v>41334</v>
      </c>
      <c r="E53" s="47">
        <v>41365</v>
      </c>
      <c r="F53" s="47">
        <v>41395</v>
      </c>
      <c r="G53" s="47">
        <v>41426</v>
      </c>
      <c r="H53" s="47">
        <v>41456</v>
      </c>
      <c r="I53" s="47">
        <v>41487</v>
      </c>
      <c r="J53" s="47">
        <v>41518</v>
      </c>
      <c r="K53" s="47">
        <v>41548</v>
      </c>
      <c r="L53" s="47">
        <v>41579</v>
      </c>
      <c r="M53" s="51">
        <v>41609</v>
      </c>
    </row>
    <row r="54" spans="1:13" s="8" customFormat="1" ht="11.25" customHeight="1">
      <c r="A54" s="10" t="s">
        <v>30</v>
      </c>
      <c r="B54" s="57">
        <f>COUNTIFS(Jan!$B:$B,2051,Jan!$J:$J,7)</f>
        <v>1</v>
      </c>
      <c r="C54" s="57">
        <f>COUNTIFS(Feb!$B:$B,2051,Feb!$J:$J,7)</f>
        <v>0</v>
      </c>
      <c r="D54" s="57">
        <v>1</v>
      </c>
      <c r="E54" s="57">
        <v>3</v>
      </c>
      <c r="F54" s="57">
        <v>3</v>
      </c>
      <c r="G54" s="57">
        <f>COUNTIFS(Jun!$B:$B,2051,Jun!$J:$J,7)</f>
        <v>0</v>
      </c>
      <c r="H54" s="57">
        <v>5</v>
      </c>
      <c r="I54" s="57">
        <v>3</v>
      </c>
      <c r="J54" s="57">
        <v>4</v>
      </c>
      <c r="K54" s="57">
        <v>3</v>
      </c>
      <c r="L54" s="57">
        <f>COUNTIFS(Nov!$B:$B,2051,Nov!$J:$J,7)</f>
        <v>0</v>
      </c>
      <c r="M54" s="57">
        <v>3</v>
      </c>
    </row>
    <row r="55" spans="1:13" s="8" customFormat="1" ht="11.25" customHeight="1">
      <c r="A55" s="10" t="s">
        <v>29</v>
      </c>
      <c r="B55" s="59">
        <f>COUNTIFS(Jan!$B:$B,2051,Jan!$J:$J,8)</f>
        <v>0</v>
      </c>
      <c r="C55" s="59">
        <f>COUNTIFS(Feb!$B:$B,2051,Feb!$J:$J,8)</f>
        <v>0</v>
      </c>
      <c r="D55" s="59">
        <f>COUNTIFS(Mar!$B:$B,2051,Mar!$J:$J,8)</f>
        <v>0</v>
      </c>
      <c r="E55" s="59">
        <f>COUNTIFS(Apr!$B:$B,2051,Apr!$J:$J,8)</f>
        <v>0</v>
      </c>
      <c r="F55" s="59">
        <f>COUNTIFS(May!$B:$B,2051,May!$J:$J,8)</f>
        <v>0</v>
      </c>
      <c r="G55" s="59">
        <f>COUNTIFS(Jun!$B:$B,2051,Jun!$J:$J,8)</f>
        <v>0</v>
      </c>
      <c r="H55" s="59">
        <f>COUNTIFS(Jul!$B:$B,2051,Jul!$J:$J,8)</f>
        <v>0</v>
      </c>
      <c r="I55" s="59">
        <f>COUNTIFS(Aug!$B:$B,2051,Aug!$J:$J,8)</f>
        <v>0</v>
      </c>
      <c r="J55" s="59">
        <f>COUNTIFS(Sep!$B:$B,2051,Sep!$J:$J,8)</f>
        <v>0</v>
      </c>
      <c r="K55" s="59">
        <f>COUNTIFS(Oct!$B:$B,2051,Oct!$J:$J,8)</f>
        <v>0</v>
      </c>
      <c r="L55" s="59">
        <f>COUNTIFS(Nov!$B:$B,2051,Nov!$J:$J,8)</f>
        <v>0</v>
      </c>
      <c r="M55" s="59">
        <v>0</v>
      </c>
    </row>
    <row r="56" spans="1:13" s="8" customFormat="1" ht="11.25" customHeight="1">
      <c r="A56" s="10" t="s">
        <v>7</v>
      </c>
      <c r="B56" s="59">
        <f>COUNTIFS(Jan!$B:$B,2051,Jan!$J:$J,12)</f>
        <v>6</v>
      </c>
      <c r="C56" s="59">
        <v>8</v>
      </c>
      <c r="D56" s="59">
        <v>1</v>
      </c>
      <c r="E56" s="59">
        <v>5</v>
      </c>
      <c r="F56" s="59">
        <v>8</v>
      </c>
      <c r="G56" s="59">
        <v>4</v>
      </c>
      <c r="H56" s="59">
        <v>5</v>
      </c>
      <c r="I56" s="59">
        <v>5</v>
      </c>
      <c r="J56" s="59">
        <v>3</v>
      </c>
      <c r="K56" s="59">
        <v>4</v>
      </c>
      <c r="L56" s="59">
        <v>6</v>
      </c>
      <c r="M56" s="59">
        <v>11</v>
      </c>
    </row>
    <row r="57" spans="1:13" s="8" customFormat="1" ht="11.25" customHeight="1">
      <c r="A57" s="10" t="s">
        <v>10</v>
      </c>
      <c r="B57" s="59">
        <f>COUNTIFS(Jan!$B:$B,2051,Jan!$J:$J,5100)</f>
        <v>0</v>
      </c>
      <c r="C57" s="59">
        <f>COUNTIFS(Feb!$B:$B,2051,Feb!$J:$J,5100)</f>
        <v>0</v>
      </c>
      <c r="D57" s="59">
        <f>COUNTIFS(Mar!$B:$B,2051,Mar!$J:$J,5100)</f>
        <v>0</v>
      </c>
      <c r="E57" s="59">
        <f>COUNTIFS(Apr!$B:$B,2051,Apr!$J:$J,5100)</f>
        <v>0</v>
      </c>
      <c r="F57" s="59">
        <f>COUNTIFS(May!$B:$B,2051,May!$J:$J,5100)</f>
        <v>0</v>
      </c>
      <c r="G57" s="59">
        <f>COUNTIFS(Jun!$B:$B,2051,Jun!$J:$J,5100)</f>
        <v>0</v>
      </c>
      <c r="H57" s="59">
        <f>COUNTIFS(Jul!$B:$B,2051,Jul!$J:$J,5100)</f>
        <v>0</v>
      </c>
      <c r="I57" s="59">
        <f>COUNTIFS(Aug!$B:$B,2051,Aug!$J:$J,5100)</f>
        <v>0</v>
      </c>
      <c r="J57" s="59">
        <f>COUNTIFS(Sep!$B:$B,2051,Sep!$J:$J,5100)</f>
        <v>0</v>
      </c>
      <c r="K57" s="59">
        <f>COUNTIFS(Oct!$B:$B,2051,Oct!$J:$J,5100)</f>
        <v>0</v>
      </c>
      <c r="L57" s="59">
        <f>COUNTIFS(Nov!$B:$B,2051,Nov!$J:$J,5100)</f>
        <v>0</v>
      </c>
      <c r="M57" s="59">
        <v>0</v>
      </c>
    </row>
    <row r="58" spans="1:13" s="8" customFormat="1" ht="11.25" customHeight="1">
      <c r="A58" s="10" t="s">
        <v>36</v>
      </c>
      <c r="B58" s="59">
        <f>COUNTIFS(Jan!$B:$B,2051,Jan!$J:$J,6200)</f>
        <v>0</v>
      </c>
      <c r="C58" s="59">
        <f>COUNTIFS(Feb!$B:$B,2051,Feb!$J:$J,6200)</f>
        <v>0</v>
      </c>
      <c r="D58" s="59">
        <v>1</v>
      </c>
      <c r="E58" s="59">
        <v>1</v>
      </c>
      <c r="F58" s="59">
        <v>1</v>
      </c>
      <c r="G58" s="59">
        <f>COUNTIFS(Jun!$B:$B,2051,Jun!$J:$J,6200)</f>
        <v>0</v>
      </c>
      <c r="H58" s="59">
        <f>COUNTIFS(Jul!$B:$B,2051,Jul!$J:$J,6200)</f>
        <v>0</v>
      </c>
      <c r="I58" s="59">
        <f>COUNTIFS(Aug!$B:$B,2051,Aug!$J:$J,6200)</f>
        <v>0</v>
      </c>
      <c r="J58" s="59">
        <f>COUNTIFS(Sep!$B:$B,2051,Sep!$J:$J,6200)</f>
        <v>0</v>
      </c>
      <c r="K58" s="59">
        <f>COUNTIFS(Oct!$B:$B,2051,Oct!$J:$J,6200)</f>
        <v>0</v>
      </c>
      <c r="L58" s="59">
        <f>COUNTIFS(Nov!$B:$B,2051,Nov!$J:$J,6200)</f>
        <v>0</v>
      </c>
      <c r="M58" s="59">
        <v>0</v>
      </c>
    </row>
    <row r="59" spans="1:13" s="8" customFormat="1" ht="11.25" customHeight="1">
      <c r="A59" s="10" t="s">
        <v>145</v>
      </c>
      <c r="B59" s="59">
        <f>COUNTIFS(Jan!$B:$B,2051,Jan!$J:$J,28)</f>
        <v>0</v>
      </c>
      <c r="C59" s="59">
        <f>COUNTIFS(Feb!$B:$B,2051,Feb!$J:$J,28)</f>
        <v>0</v>
      </c>
      <c r="D59" s="59">
        <f>COUNTIFS(Mar!$B:$B,2051,Mar!$J:$J,28)</f>
        <v>0</v>
      </c>
      <c r="E59" s="59">
        <f>COUNTIFS(Apr!$B:$B,2051,Apr!$J:$J,28)</f>
        <v>0</v>
      </c>
      <c r="F59" s="59">
        <f>COUNTIFS(May!$B:$B,2051,May!$J:$J,28)</f>
        <v>0</v>
      </c>
      <c r="G59" s="59">
        <f>COUNTIFS(Jun!$B:$B,2051,Jun!$J:$J,28)</f>
        <v>0</v>
      </c>
      <c r="H59" s="59">
        <f>COUNTIFS(Jul!$B:$B,2051,Jul!$J:$J,28)</f>
        <v>0</v>
      </c>
      <c r="I59" s="59">
        <f>COUNTIFS(Aug!$B:$B,2051,Aug!$J:$J,28)</f>
        <v>0</v>
      </c>
      <c r="J59" s="59">
        <f>COUNTIFS(Sep!$B:$B,2051,Sep!$J:$J,28)</f>
        <v>0</v>
      </c>
      <c r="K59" s="59">
        <f>COUNTIFS(Oct!$B:$B,2051,Oct!$J:$J,28)</f>
        <v>0</v>
      </c>
      <c r="L59" s="59">
        <f>COUNTIFS(Nov!$B:$B,2051,Nov!$J:$J,28)</f>
        <v>0</v>
      </c>
      <c r="M59" s="59">
        <v>0</v>
      </c>
    </row>
    <row r="60" spans="1:13" s="8" customFormat="1" ht="11.25" customHeight="1">
      <c r="A60" s="10" t="s">
        <v>38</v>
      </c>
      <c r="B60" s="59">
        <f>COUNTIFS(Jan!$B:$B,2051,Jan!$J:$J,6100)</f>
        <v>1</v>
      </c>
      <c r="C60" s="59">
        <f>COUNTIFS(Feb!$B:$B,2051,Feb!$J:$J,6100)</f>
        <v>0</v>
      </c>
      <c r="D60" s="59">
        <f>COUNTIFS(Mar!$B:$B,2051,Mar!$J:$J,6100)</f>
        <v>0</v>
      </c>
      <c r="E60" s="59">
        <v>1</v>
      </c>
      <c r="F60" s="59">
        <v>1</v>
      </c>
      <c r="G60" s="59">
        <f>COUNTIFS(Jun!$B:$B,2051,Jun!$J:$J,6100)</f>
        <v>0</v>
      </c>
      <c r="H60" s="59">
        <f>COUNTIFS(Jul!$B:$B,2051,Jul!$J:$J,6100)</f>
        <v>0</v>
      </c>
      <c r="I60" s="59">
        <f>COUNTIFS(Aug!$B:$B,2051,Aug!$J:$J,6100)</f>
        <v>0</v>
      </c>
      <c r="J60" s="59">
        <f>COUNTIFS(Sep!$B:$B,2051,Sep!$J:$J,6100)</f>
        <v>0</v>
      </c>
      <c r="K60" s="59">
        <f>COUNTIFS(Oct!$B:$B,2051,Oct!$J:$J,6100)</f>
        <v>0</v>
      </c>
      <c r="L60" s="59">
        <f>COUNTIFS(Nov!$B:$B,2051,Nov!$J:$J,6100)</f>
        <v>0</v>
      </c>
      <c r="M60" s="59">
        <v>0</v>
      </c>
    </row>
    <row r="61" spans="1:13" s="8" customFormat="1" ht="11.25" customHeight="1">
      <c r="A61" s="10" t="s">
        <v>9</v>
      </c>
      <c r="B61" s="59">
        <f>COUNTIFS(Jan!$B:$B,2051,Jan!$J:$J,6)</f>
        <v>0</v>
      </c>
      <c r="C61" s="59">
        <f>COUNTIFS(Feb!$B:$B,2051,Feb!$J:$J,6)</f>
        <v>0</v>
      </c>
      <c r="D61" s="59">
        <f>COUNTIFS(Mar!$B:$B,2051,Mar!$J:$J,6)</f>
        <v>0</v>
      </c>
      <c r="E61" s="59">
        <f>COUNTIFS(Apr!$B:$B,2051,Apr!$J:$J,6)</f>
        <v>0</v>
      </c>
      <c r="F61" s="59">
        <f>COUNTIFS(May!$B:$B,2051,May!$J:$J,6)</f>
        <v>0</v>
      </c>
      <c r="G61" s="59">
        <f>COUNTIFS(Jun!$B:$B,2051,Jun!$J:$J,6)</f>
        <v>0</v>
      </c>
      <c r="H61" s="59">
        <f>COUNTIFS(Jul!$B:$B,2051,Jul!$J:$J,6)</f>
        <v>0</v>
      </c>
      <c r="I61" s="59">
        <f>COUNTIFS(Aug!$B:$B,2051,Aug!$J:$J,6)</f>
        <v>0</v>
      </c>
      <c r="J61" s="59">
        <f>COUNTIFS(Sep!$B:$B,2051,Sep!$J:$J,6)</f>
        <v>0</v>
      </c>
      <c r="K61" s="59">
        <f>COUNTIFS(Oct!$B:$B,2051,Oct!$J:$J,6)</f>
        <v>0</v>
      </c>
      <c r="L61" s="59">
        <f>COUNTIFS(Nov!$B:$B,2051,Nov!$J:$J,6)</f>
        <v>0</v>
      </c>
      <c r="M61" s="59">
        <v>0</v>
      </c>
    </row>
    <row r="62" spans="1:13" s="8" customFormat="1" ht="11.25" customHeight="1">
      <c r="A62" s="10" t="s">
        <v>8</v>
      </c>
      <c r="B62" s="59">
        <f>COUNTIFS(Jan!$B:$B,2051,Jan!$J:$J,4)</f>
        <v>0</v>
      </c>
      <c r="C62" s="59">
        <f>COUNTIFS(Feb!$B:$B,2051,Feb!$J:$J,4)</f>
        <v>0</v>
      </c>
      <c r="D62" s="59">
        <f>COUNTIFS(Mar!$B:$B,2051,Mar!$J:$J,4)</f>
        <v>0</v>
      </c>
      <c r="E62" s="59">
        <f>COUNTIFS(Apr!$B:$B,2051,Apr!$J:$J,4)</f>
        <v>0</v>
      </c>
      <c r="F62" s="59">
        <f>COUNTIFS(May!$B:$B,2051,May!$J:$J,4)</f>
        <v>0</v>
      </c>
      <c r="G62" s="59">
        <f>COUNTIFS(Jun!$B:$B,2051,Jun!$J:$J,4)</f>
        <v>0</v>
      </c>
      <c r="H62" s="59">
        <f>COUNTIFS(Jul!$B:$B,2051,Jul!$J:$J,4)</f>
        <v>0</v>
      </c>
      <c r="I62" s="59">
        <f>COUNTIFS(Aug!$B:$B,2051,Aug!$J:$J,4)</f>
        <v>0</v>
      </c>
      <c r="J62" s="59">
        <f>COUNTIFS(Sep!$B:$B,2051,Sep!$J:$J,4)</f>
        <v>0</v>
      </c>
      <c r="K62" s="59">
        <f>COUNTIFS(Oct!$B:$B,2051,Oct!$J:$J,4)</f>
        <v>0</v>
      </c>
      <c r="L62" s="59">
        <f>COUNTIFS(Nov!$B:$B,2051,Nov!$J:$J,4)</f>
        <v>0</v>
      </c>
      <c r="M62" s="59">
        <v>0</v>
      </c>
    </row>
    <row r="63" spans="1:13" s="8" customFormat="1" ht="11.25" customHeight="1">
      <c r="A63" s="10" t="s">
        <v>6</v>
      </c>
      <c r="B63" s="59">
        <f>COUNTIFS(Jan!$B:$B,2051,Jan!$J:$J,5)</f>
        <v>0</v>
      </c>
      <c r="C63" s="59">
        <f>COUNTIFS(Feb!$B:$B,2051,Feb!$J:$J,5)</f>
        <v>0</v>
      </c>
      <c r="D63" s="59">
        <f>COUNTIFS(Mar!$B:$B,2051,Mar!$J:$J,5)</f>
        <v>0</v>
      </c>
      <c r="E63" s="59">
        <f>COUNTIFS(Apr!$B:$B,2051,Apr!$J:$J,5)</f>
        <v>0</v>
      </c>
      <c r="F63" s="59">
        <f>COUNTIFS(May!$B:$B,2051,May!$J:$J,5)</f>
        <v>0</v>
      </c>
      <c r="G63" s="59">
        <f>COUNTIFS(Jun!$B:$B,2051,Jun!$J:$J,5)</f>
        <v>0</v>
      </c>
      <c r="H63" s="59">
        <f>COUNTIFS(Jul!$B:$B,2051,Jul!$J:$J,5)</f>
        <v>0</v>
      </c>
      <c r="I63" s="59">
        <f>COUNTIFS(Aug!$B:$B,2051,Aug!$J:$J,5)</f>
        <v>0</v>
      </c>
      <c r="J63" s="59">
        <f>COUNTIFS(Sep!$B:$B,2051,Sep!$J:$J,5)</f>
        <v>0</v>
      </c>
      <c r="K63" s="59">
        <f>COUNTIFS(Oct!$B:$B,2051,Oct!$J:$J,5)</f>
        <v>0</v>
      </c>
      <c r="L63" s="59">
        <f>COUNTIFS(Nov!$B:$B,2051,Nov!$J:$J,5)</f>
        <v>0</v>
      </c>
      <c r="M63" s="59">
        <v>0</v>
      </c>
    </row>
    <row r="64" spans="1:13" s="8" customFormat="1" ht="11.25" customHeight="1">
      <c r="A64" s="52" t="s">
        <v>141</v>
      </c>
      <c r="B64" s="69">
        <f>COUNTIFS(Jan!$B:$B,2051,Jan!$F:$F,456)</f>
        <v>3</v>
      </c>
      <c r="C64" s="69">
        <v>1</v>
      </c>
      <c r="D64" s="69">
        <v>2</v>
      </c>
      <c r="E64" s="69">
        <v>3</v>
      </c>
      <c r="F64" s="69">
        <v>4</v>
      </c>
      <c r="G64" s="69">
        <v>2</v>
      </c>
      <c r="H64" s="69">
        <f>COUNTIFS(Jul!$B:$B,2051,Jul!$F:$F,456)</f>
        <v>0</v>
      </c>
      <c r="I64" s="69">
        <v>1</v>
      </c>
      <c r="J64" s="69">
        <f>COUNTIFS(Sep!$B:$B,2051,Sep!$F:$F,456)</f>
        <v>0</v>
      </c>
      <c r="K64" s="69">
        <f>COUNTIFS(Oct!$B:$B,2051,Oct!$F:$F,456)</f>
        <v>0</v>
      </c>
      <c r="L64" s="69">
        <v>2</v>
      </c>
      <c r="M64" s="69">
        <v>0</v>
      </c>
    </row>
    <row r="65" spans="1:13" s="8" customFormat="1" ht="11.25" customHeight="1" thickBot="1">
      <c r="A65" s="12" t="s">
        <v>16</v>
      </c>
      <c r="B65" s="70">
        <f>SUM(B54:B64)</f>
        <v>11</v>
      </c>
      <c r="C65" s="70">
        <f t="shared" ref="C65:M65" si="13">SUM(C54:C64)</f>
        <v>9</v>
      </c>
      <c r="D65" s="70">
        <f>SUM(D54:D64)</f>
        <v>5</v>
      </c>
      <c r="E65" s="70">
        <f>SUM(E54:E64)</f>
        <v>13</v>
      </c>
      <c r="F65" s="70">
        <f>SUM(F54:F64)</f>
        <v>17</v>
      </c>
      <c r="G65" s="70">
        <f>SUM(G54:G64)</f>
        <v>6</v>
      </c>
      <c r="H65" s="70">
        <f t="shared" si="13"/>
        <v>10</v>
      </c>
      <c r="I65" s="70">
        <f t="shared" si="13"/>
        <v>9</v>
      </c>
      <c r="J65" s="70">
        <f t="shared" si="13"/>
        <v>7</v>
      </c>
      <c r="K65" s="70">
        <f t="shared" si="13"/>
        <v>7</v>
      </c>
      <c r="L65" s="165">
        <f t="shared" si="13"/>
        <v>8</v>
      </c>
      <c r="M65" s="170">
        <f t="shared" si="13"/>
        <v>14</v>
      </c>
    </row>
    <row r="66" spans="1:13" s="8" customFormat="1" ht="15.75" customHeight="1">
      <c r="A66" s="6"/>
      <c r="B66" s="7"/>
      <c r="C66" s="7"/>
      <c r="D66" s="7"/>
      <c r="E66" s="7"/>
      <c r="F66" s="7"/>
      <c r="G66" s="7"/>
      <c r="H66" s="7"/>
      <c r="I66" s="7"/>
      <c r="J66" s="7"/>
      <c r="K66" s="7"/>
      <c r="L66" s="7"/>
      <c r="M66" s="7"/>
    </row>
    <row r="67" spans="1:13" ht="12" customHeight="1">
      <c r="A67" s="6"/>
      <c r="B67" s="7"/>
      <c r="C67" s="7"/>
      <c r="D67" s="7"/>
      <c r="E67" s="7"/>
      <c r="F67" s="7"/>
      <c r="G67" s="7"/>
      <c r="H67" s="7"/>
      <c r="I67" s="7"/>
      <c r="J67" s="7"/>
      <c r="K67" s="7"/>
      <c r="L67" s="7"/>
      <c r="M67" s="7"/>
    </row>
  </sheetData>
  <phoneticPr fontId="0" type="noConversion"/>
  <printOptions horizontalCentered="1" verticalCentered="1"/>
  <pageMargins left="0.14000000000000001" right="0.16" top="0.25" bottom="0.5" header="0.5" footer="0.25"/>
  <pageSetup scale="95" firstPageNumber="3" orientation="portrait" useFirstPageNumber="1" r:id="rId1"/>
  <headerFooter alignWithMargins="0">
    <oddFooter>&amp;R12 of 51</oddFooter>
  </headerFooter>
  <ignoredErrors>
    <ignoredError sqref="M65 M52 M32" formulaRange="1"/>
  </ignoredError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67"/>
  <sheetViews>
    <sheetView view="pageBreakPreview" topLeftCell="A22" zoomScale="90" zoomScaleNormal="100" zoomScaleSheetLayoutView="90" workbookViewId="0">
      <selection activeCell="M47" sqref="M47"/>
    </sheetView>
  </sheetViews>
  <sheetFormatPr defaultRowHeight="12.75"/>
  <cols>
    <col min="1" max="1" width="22.85546875" style="1" customWidth="1"/>
    <col min="2" max="13" width="7.140625" style="1" customWidth="1"/>
    <col min="14" max="14" width="4.42578125" style="1" customWidth="1"/>
    <col min="15" max="16384" width="9.140625" style="1"/>
  </cols>
  <sheetData>
    <row r="1" spans="1:21" ht="18" customHeight="1">
      <c r="A1" s="130"/>
      <c r="B1" s="131"/>
      <c r="C1" s="131"/>
      <c r="D1" s="131"/>
      <c r="E1" s="131"/>
      <c r="F1" s="131"/>
      <c r="G1" s="131"/>
      <c r="H1" s="130"/>
      <c r="I1" s="131"/>
      <c r="J1" s="131"/>
      <c r="K1" s="131"/>
      <c r="L1" s="130"/>
      <c r="M1" s="143" t="s">
        <v>199</v>
      </c>
    </row>
    <row r="2" spans="1:21" ht="18" customHeight="1">
      <c r="A2" s="130"/>
      <c r="B2" s="135"/>
      <c r="C2" s="135"/>
      <c r="D2" s="135"/>
      <c r="E2" s="135"/>
      <c r="F2" s="135"/>
      <c r="G2" s="135"/>
      <c r="H2" s="130"/>
      <c r="I2" s="135"/>
      <c r="J2" s="135"/>
      <c r="K2" s="135"/>
      <c r="L2" s="130"/>
      <c r="M2" s="155" t="s">
        <v>2183</v>
      </c>
    </row>
    <row r="3" spans="1:21" s="5" customFormat="1" ht="18" customHeight="1">
      <c r="A3" s="133"/>
      <c r="B3" s="133"/>
      <c r="C3" s="133"/>
      <c r="D3" s="133"/>
      <c r="E3" s="133"/>
      <c r="F3" s="133"/>
      <c r="G3" s="133"/>
      <c r="H3" s="133"/>
      <c r="I3" s="133"/>
      <c r="J3" s="136"/>
      <c r="K3" s="136"/>
      <c r="L3" s="133"/>
      <c r="M3" s="155" t="s">
        <v>198</v>
      </c>
      <c r="N3" s="134"/>
      <c r="O3" s="134"/>
      <c r="P3" s="134"/>
      <c r="Q3" s="134"/>
      <c r="R3" s="134"/>
      <c r="S3" s="134"/>
      <c r="T3" s="134"/>
      <c r="U3" s="134"/>
    </row>
    <row r="4" spans="1:21" s="8" customFormat="1" ht="6.75" customHeight="1" thickBot="1">
      <c r="A4" s="38"/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</row>
    <row r="5" spans="1:21" s="8" customFormat="1" ht="11.25" customHeight="1" thickBot="1">
      <c r="A5" s="53" t="s">
        <v>19</v>
      </c>
      <c r="B5" s="50">
        <v>41275</v>
      </c>
      <c r="C5" s="47">
        <v>41306</v>
      </c>
      <c r="D5" s="47">
        <v>41334</v>
      </c>
      <c r="E5" s="47">
        <v>41365</v>
      </c>
      <c r="F5" s="47">
        <v>41395</v>
      </c>
      <c r="G5" s="47">
        <v>41426</v>
      </c>
      <c r="H5" s="47">
        <v>41456</v>
      </c>
      <c r="I5" s="47">
        <v>41487</v>
      </c>
      <c r="J5" s="47">
        <v>41518</v>
      </c>
      <c r="K5" s="47">
        <v>41548</v>
      </c>
      <c r="L5" s="47">
        <v>41579</v>
      </c>
      <c r="M5" s="51">
        <v>41609</v>
      </c>
    </row>
    <row r="6" spans="1:21" s="8" customFormat="1" ht="11.25" customHeight="1">
      <c r="A6" s="41" t="s">
        <v>129</v>
      </c>
      <c r="B6" s="57">
        <f t="shared" ref="B6:M6" si="0">B32</f>
        <v>43</v>
      </c>
      <c r="C6" s="57">
        <f t="shared" si="0"/>
        <v>23</v>
      </c>
      <c r="D6" s="57">
        <f t="shared" si="0"/>
        <v>29</v>
      </c>
      <c r="E6" s="57">
        <f t="shared" si="0"/>
        <v>14</v>
      </c>
      <c r="F6" s="57">
        <f t="shared" si="0"/>
        <v>28</v>
      </c>
      <c r="G6" s="57">
        <f t="shared" si="0"/>
        <v>22</v>
      </c>
      <c r="H6" s="57">
        <f t="shared" si="0"/>
        <v>23</v>
      </c>
      <c r="I6" s="57">
        <f t="shared" si="0"/>
        <v>43</v>
      </c>
      <c r="J6" s="57">
        <f t="shared" si="0"/>
        <v>31</v>
      </c>
      <c r="K6" s="57">
        <f t="shared" si="0"/>
        <v>8</v>
      </c>
      <c r="L6" s="156">
        <f t="shared" si="0"/>
        <v>8</v>
      </c>
      <c r="M6" s="168">
        <f t="shared" si="0"/>
        <v>24</v>
      </c>
    </row>
    <row r="7" spans="1:21" s="8" customFormat="1" ht="11.25" customHeight="1">
      <c r="A7" s="42" t="s">
        <v>18</v>
      </c>
      <c r="B7" s="57">
        <f t="shared" ref="B7:M7" si="1">SUM(B10:B12)</f>
        <v>133</v>
      </c>
      <c r="C7" s="57">
        <f t="shared" si="1"/>
        <v>107</v>
      </c>
      <c r="D7" s="57">
        <f t="shared" si="1"/>
        <v>132</v>
      </c>
      <c r="E7" s="57">
        <f t="shared" si="1"/>
        <v>144</v>
      </c>
      <c r="F7" s="57">
        <f t="shared" si="1"/>
        <v>103</v>
      </c>
      <c r="G7" s="57">
        <f t="shared" si="1"/>
        <v>131</v>
      </c>
      <c r="H7" s="57">
        <f t="shared" si="1"/>
        <v>154</v>
      </c>
      <c r="I7" s="57">
        <f t="shared" si="1"/>
        <v>169</v>
      </c>
      <c r="J7" s="57">
        <f t="shared" si="1"/>
        <v>140</v>
      </c>
      <c r="K7" s="57">
        <f t="shared" si="1"/>
        <v>95</v>
      </c>
      <c r="L7" s="156">
        <f t="shared" si="1"/>
        <v>51</v>
      </c>
      <c r="M7" s="171">
        <f t="shared" si="1"/>
        <v>128</v>
      </c>
    </row>
    <row r="8" spans="1:21" s="8" customFormat="1" ht="11.25" customHeight="1" thickBot="1">
      <c r="A8" s="43" t="s">
        <v>14</v>
      </c>
      <c r="B8" s="58">
        <f t="shared" ref="B8:M8" si="2">SUM(B6:B7)</f>
        <v>176</v>
      </c>
      <c r="C8" s="58">
        <f t="shared" si="2"/>
        <v>130</v>
      </c>
      <c r="D8" s="58">
        <f t="shared" si="2"/>
        <v>161</v>
      </c>
      <c r="E8" s="58">
        <f t="shared" si="2"/>
        <v>158</v>
      </c>
      <c r="F8" s="58">
        <f t="shared" si="2"/>
        <v>131</v>
      </c>
      <c r="G8" s="58">
        <f t="shared" si="2"/>
        <v>153</v>
      </c>
      <c r="H8" s="58">
        <f t="shared" si="2"/>
        <v>177</v>
      </c>
      <c r="I8" s="58">
        <f t="shared" si="2"/>
        <v>212</v>
      </c>
      <c r="J8" s="58">
        <f t="shared" si="2"/>
        <v>171</v>
      </c>
      <c r="K8" s="58">
        <f t="shared" si="2"/>
        <v>103</v>
      </c>
      <c r="L8" s="157">
        <f t="shared" si="2"/>
        <v>59</v>
      </c>
      <c r="M8" s="172">
        <f t="shared" si="2"/>
        <v>152</v>
      </c>
    </row>
    <row r="9" spans="1:21" s="8" customFormat="1" ht="11.25" customHeight="1" thickBot="1">
      <c r="A9" s="54" t="s">
        <v>18</v>
      </c>
      <c r="B9" s="50">
        <v>41275</v>
      </c>
      <c r="C9" s="47">
        <v>41306</v>
      </c>
      <c r="D9" s="47">
        <v>41334</v>
      </c>
      <c r="E9" s="47">
        <v>41365</v>
      </c>
      <c r="F9" s="47">
        <v>41395</v>
      </c>
      <c r="G9" s="47">
        <v>41426</v>
      </c>
      <c r="H9" s="47">
        <v>41456</v>
      </c>
      <c r="I9" s="47">
        <v>41487</v>
      </c>
      <c r="J9" s="47">
        <v>41518</v>
      </c>
      <c r="K9" s="47">
        <v>41548</v>
      </c>
      <c r="L9" s="47">
        <v>41579</v>
      </c>
      <c r="M9" s="51">
        <v>41609</v>
      </c>
    </row>
    <row r="10" spans="1:21" s="8" customFormat="1" ht="11.25" customHeight="1">
      <c r="A10" s="9" t="s">
        <v>128</v>
      </c>
      <c r="B10" s="57">
        <f t="shared" ref="B10:M10" si="3">B52</f>
        <v>83</v>
      </c>
      <c r="C10" s="57">
        <f t="shared" si="3"/>
        <v>61</v>
      </c>
      <c r="D10" s="57">
        <f t="shared" si="3"/>
        <v>77</v>
      </c>
      <c r="E10" s="57">
        <f t="shared" si="3"/>
        <v>85</v>
      </c>
      <c r="F10" s="57">
        <f t="shared" si="3"/>
        <v>68</v>
      </c>
      <c r="G10" s="59">
        <f t="shared" si="3"/>
        <v>74</v>
      </c>
      <c r="H10" s="59">
        <f t="shared" si="3"/>
        <v>105</v>
      </c>
      <c r="I10" s="59">
        <f t="shared" si="3"/>
        <v>107</v>
      </c>
      <c r="J10" s="59">
        <f t="shared" si="3"/>
        <v>89</v>
      </c>
      <c r="K10" s="59">
        <f t="shared" si="3"/>
        <v>44</v>
      </c>
      <c r="L10" s="158">
        <f t="shared" si="3"/>
        <v>26</v>
      </c>
      <c r="M10" s="168">
        <f t="shared" si="3"/>
        <v>69</v>
      </c>
    </row>
    <row r="11" spans="1:21" s="8" customFormat="1" ht="11.25" customHeight="1">
      <c r="A11" s="9" t="s">
        <v>127</v>
      </c>
      <c r="B11" s="59">
        <f t="shared" ref="B11:M11" si="4">B65</f>
        <v>8</v>
      </c>
      <c r="C11" s="59">
        <f t="shared" si="4"/>
        <v>8</v>
      </c>
      <c r="D11" s="59">
        <f t="shared" si="4"/>
        <v>4</v>
      </c>
      <c r="E11" s="59">
        <f t="shared" si="4"/>
        <v>4</v>
      </c>
      <c r="F11" s="59">
        <f t="shared" si="4"/>
        <v>6</v>
      </c>
      <c r="G11" s="59">
        <f t="shared" si="4"/>
        <v>6</v>
      </c>
      <c r="H11" s="59">
        <f t="shared" si="4"/>
        <v>5</v>
      </c>
      <c r="I11" s="59">
        <f t="shared" si="4"/>
        <v>2</v>
      </c>
      <c r="J11" s="59">
        <f t="shared" si="4"/>
        <v>1</v>
      </c>
      <c r="K11" s="59">
        <f t="shared" si="4"/>
        <v>3</v>
      </c>
      <c r="L11" s="158">
        <f t="shared" si="4"/>
        <v>2</v>
      </c>
      <c r="M11" s="169">
        <f t="shared" si="4"/>
        <v>25</v>
      </c>
    </row>
    <row r="12" spans="1:21" s="8" customFormat="1" ht="11.25" customHeight="1" thickBot="1">
      <c r="A12" s="2" t="s">
        <v>12</v>
      </c>
      <c r="B12" s="60">
        <f>COUNTIFS(Jan!$B:$B,2052,Jan!$F:$F,800)</f>
        <v>42</v>
      </c>
      <c r="C12" s="60">
        <v>38</v>
      </c>
      <c r="D12" s="60">
        <v>51</v>
      </c>
      <c r="E12" s="60">
        <v>55</v>
      </c>
      <c r="F12" s="60">
        <v>29</v>
      </c>
      <c r="G12" s="60">
        <v>51</v>
      </c>
      <c r="H12" s="60">
        <v>44</v>
      </c>
      <c r="I12" s="60">
        <v>60</v>
      </c>
      <c r="J12" s="60">
        <v>50</v>
      </c>
      <c r="K12" s="60">
        <v>48</v>
      </c>
      <c r="L12" s="60">
        <v>23</v>
      </c>
      <c r="M12" s="60">
        <v>34</v>
      </c>
    </row>
    <row r="13" spans="1:21" s="8" customFormat="1" ht="5.0999999999999996" customHeight="1" thickBot="1">
      <c r="A13" s="3"/>
      <c r="B13" s="17"/>
      <c r="C13" s="17"/>
      <c r="D13" s="17"/>
      <c r="E13" s="17"/>
      <c r="F13" s="17"/>
      <c r="G13" s="17"/>
      <c r="H13" s="17"/>
      <c r="I13" s="17"/>
      <c r="J13" s="17"/>
      <c r="K13" s="17"/>
      <c r="L13" s="17"/>
      <c r="M13" s="147"/>
    </row>
    <row r="14" spans="1:21" s="16" customFormat="1" ht="11.25" customHeight="1">
      <c r="A14" s="44" t="s">
        <v>131</v>
      </c>
      <c r="B14" s="120">
        <v>15554</v>
      </c>
      <c r="C14" s="120">
        <v>18688</v>
      </c>
      <c r="D14" s="120">
        <v>17890</v>
      </c>
      <c r="E14" s="120">
        <v>16243</v>
      </c>
      <c r="F14" s="120">
        <v>16092</v>
      </c>
      <c r="G14" s="120">
        <v>14445</v>
      </c>
      <c r="H14" s="119">
        <v>13396</v>
      </c>
      <c r="I14" s="61">
        <v>16274</v>
      </c>
      <c r="J14" s="61">
        <v>17443</v>
      </c>
      <c r="K14" s="118">
        <v>15659</v>
      </c>
      <c r="L14" s="160">
        <v>15809</v>
      </c>
      <c r="M14" s="173">
        <v>16853</v>
      </c>
      <c r="O14" s="22"/>
      <c r="P14" s="22"/>
      <c r="Q14" s="22"/>
    </row>
    <row r="15" spans="1:21" s="8" customFormat="1" ht="11.25" customHeight="1">
      <c r="A15" s="45" t="s">
        <v>132</v>
      </c>
      <c r="B15" s="62">
        <f>IFERROR((SUMIFS(Jan!$N:$N,Jan!$J:$J,1,Jan!$B:$B,2052)+SUMIFS(Jan!$N:$N,Jan!$D:$D,"&gt;1",Jan!$B:$B,2052))/(COUNTIFS(Jan!$J:$J,1,Jan!$B:$B,2052)+COUNTIFS(Jan!$D:$D,"&gt;1",Jan!$B:$B,2052)),"")</f>
        <v>32.469387755102041</v>
      </c>
      <c r="C15" s="62">
        <v>26.31</v>
      </c>
      <c r="D15" s="62">
        <v>26.32</v>
      </c>
      <c r="E15" s="62">
        <v>25.71</v>
      </c>
      <c r="F15" s="62">
        <v>25.27</v>
      </c>
      <c r="G15" s="62">
        <v>27.16</v>
      </c>
      <c r="H15" s="62">
        <v>25.13</v>
      </c>
      <c r="I15" s="62">
        <v>25.97</v>
      </c>
      <c r="J15" s="62">
        <v>25.45</v>
      </c>
      <c r="K15" s="62">
        <v>28.26</v>
      </c>
      <c r="L15" s="62">
        <v>26.87</v>
      </c>
      <c r="M15" s="62">
        <v>25.03</v>
      </c>
      <c r="N15" s="15"/>
      <c r="O15" s="1"/>
      <c r="P15" s="1"/>
      <c r="Q15" s="1"/>
    </row>
    <row r="16" spans="1:21" s="8" customFormat="1" ht="11.25" customHeight="1">
      <c r="A16" s="45" t="s">
        <v>133</v>
      </c>
      <c r="B16" s="62">
        <f>IFERROR(AVERAGEIFS(Jan!$N:$N,Jan!$F:$F,800,Jan!$B:$B,2052),"")</f>
        <v>33.071428571428569</v>
      </c>
      <c r="C16" s="62">
        <v>32.19</v>
      </c>
      <c r="D16" s="62">
        <v>30.45</v>
      </c>
      <c r="E16" s="62">
        <v>28.96</v>
      </c>
      <c r="F16" s="62">
        <v>30.28</v>
      </c>
      <c r="G16" s="62">
        <v>31.96</v>
      </c>
      <c r="H16" s="62">
        <v>29.98</v>
      </c>
      <c r="I16" s="62">
        <v>29.9</v>
      </c>
      <c r="J16" s="62">
        <v>28.82</v>
      </c>
      <c r="K16" s="62">
        <v>30.9</v>
      </c>
      <c r="L16" s="62">
        <v>30.67</v>
      </c>
      <c r="M16" s="62">
        <v>28.83</v>
      </c>
      <c r="O16" s="1"/>
      <c r="P16" s="1"/>
      <c r="Q16" s="1"/>
    </row>
    <row r="17" spans="1:17" s="8" customFormat="1" ht="11.25" customHeight="1">
      <c r="A17" s="45" t="s">
        <v>134</v>
      </c>
      <c r="B17" s="63">
        <f>IFERROR((SUMIFS(Jan!$M:$M,Jan!$J:$J,1,Jan!$B:$B,2052)+SUMIFS(Jan!$M:$M,Jan!$D:$D,"&gt;1",Jan!$B:$B,2052))/(COUNTIFS(Jan!$J:$J,1,Jan!$B:$B,2052)+COUNTIFS(Jan!$D:$D,"&gt;1",Jan!$B:$B,2052)),"")</f>
        <v>0.57959183673469394</v>
      </c>
      <c r="C17" s="63">
        <v>0.92</v>
      </c>
      <c r="D17" s="63">
        <v>0.93</v>
      </c>
      <c r="E17" s="63">
        <v>0.91</v>
      </c>
      <c r="F17" s="63">
        <v>0.88</v>
      </c>
      <c r="G17" s="63">
        <v>0.66</v>
      </c>
      <c r="H17" s="63">
        <v>1.0900000000000001</v>
      </c>
      <c r="I17" s="63">
        <v>0.87</v>
      </c>
      <c r="J17" s="63">
        <v>1.0900000000000001</v>
      </c>
      <c r="K17" s="63">
        <v>0.9</v>
      </c>
      <c r="L17" s="63">
        <v>0.69</v>
      </c>
      <c r="M17" s="63">
        <v>0.73</v>
      </c>
      <c r="O17" s="1"/>
      <c r="P17" s="1"/>
      <c r="Q17" s="1"/>
    </row>
    <row r="18" spans="1:17" s="8" customFormat="1" ht="11.25" customHeight="1" thickBot="1">
      <c r="A18" s="43" t="s">
        <v>135</v>
      </c>
      <c r="B18" s="64">
        <f>IFERROR(AVERAGEIFS(Jan!$M:$M,Jan!$F:$F,800,Jan!$B:$B,2052),"")</f>
        <v>0.60238095238095246</v>
      </c>
      <c r="C18" s="64">
        <v>0.56000000000000005</v>
      </c>
      <c r="D18" s="64">
        <v>0.57999999999999996</v>
      </c>
      <c r="E18" s="64">
        <v>0.64</v>
      </c>
      <c r="F18" s="64">
        <v>0.56000000000000005</v>
      </c>
      <c r="G18" s="64">
        <v>0.55000000000000004</v>
      </c>
      <c r="H18" s="64">
        <v>0.6</v>
      </c>
      <c r="I18" s="64">
        <v>0.56000000000000005</v>
      </c>
      <c r="J18" s="64">
        <v>0.77</v>
      </c>
      <c r="K18" s="64">
        <v>0.6</v>
      </c>
      <c r="L18" s="64">
        <v>0.66</v>
      </c>
      <c r="M18" s="64">
        <v>0.51</v>
      </c>
    </row>
    <row r="19" spans="1:17" s="8" customFormat="1" ht="5.0999999999999996" customHeight="1" thickBot="1">
      <c r="A19" s="3"/>
      <c r="B19" s="17"/>
      <c r="C19" s="17"/>
      <c r="D19" s="17"/>
      <c r="E19" s="17"/>
      <c r="F19" s="17"/>
      <c r="G19" s="17"/>
      <c r="H19" s="17"/>
      <c r="I19" s="17"/>
      <c r="J19" s="17"/>
      <c r="K19" s="17"/>
      <c r="L19" s="17"/>
      <c r="M19" s="147"/>
    </row>
    <row r="20" spans="1:17" s="8" customFormat="1" ht="11.25" customHeight="1">
      <c r="A20" s="42" t="s">
        <v>52</v>
      </c>
      <c r="B20" s="65">
        <v>31</v>
      </c>
      <c r="C20" s="65">
        <v>28</v>
      </c>
      <c r="D20" s="65">
        <v>31</v>
      </c>
      <c r="E20" s="65">
        <v>30</v>
      </c>
      <c r="F20" s="65">
        <v>31</v>
      </c>
      <c r="G20" s="65">
        <v>30</v>
      </c>
      <c r="H20" s="65">
        <v>31</v>
      </c>
      <c r="I20" s="65">
        <v>31</v>
      </c>
      <c r="J20" s="65">
        <v>30</v>
      </c>
      <c r="K20" s="65">
        <v>31</v>
      </c>
      <c r="L20" s="161">
        <v>30</v>
      </c>
      <c r="M20" s="174">
        <v>31</v>
      </c>
    </row>
    <row r="21" spans="1:17" s="8" customFormat="1" ht="11.25" customHeight="1">
      <c r="A21" s="9" t="s">
        <v>15</v>
      </c>
      <c r="B21" s="66">
        <f>B12/B20</f>
        <v>1.3548387096774193</v>
      </c>
      <c r="C21" s="66">
        <f t="shared" ref="C21:M21" si="5">C12/C20</f>
        <v>1.3571428571428572</v>
      </c>
      <c r="D21" s="66">
        <f>D12/D20</f>
        <v>1.6451612903225807</v>
      </c>
      <c r="E21" s="66">
        <f>E12/E20</f>
        <v>1.8333333333333333</v>
      </c>
      <c r="F21" s="66">
        <f>F12/F20</f>
        <v>0.93548387096774188</v>
      </c>
      <c r="G21" s="66">
        <f>G12/G20</f>
        <v>1.7</v>
      </c>
      <c r="H21" s="66">
        <f t="shared" si="5"/>
        <v>1.4193548387096775</v>
      </c>
      <c r="I21" s="66">
        <f t="shared" si="5"/>
        <v>1.935483870967742</v>
      </c>
      <c r="J21" s="66">
        <f t="shared" si="5"/>
        <v>1.6666666666666667</v>
      </c>
      <c r="K21" s="66">
        <f t="shared" si="5"/>
        <v>1.5483870967741935</v>
      </c>
      <c r="L21" s="162">
        <f t="shared" si="5"/>
        <v>0.76666666666666672</v>
      </c>
      <c r="M21" s="175">
        <f t="shared" si="5"/>
        <v>1.096774193548387</v>
      </c>
    </row>
    <row r="22" spans="1:17" s="8" customFormat="1" ht="11.25" customHeight="1">
      <c r="A22" s="9" t="s">
        <v>130</v>
      </c>
      <c r="B22" s="67">
        <f t="shared" ref="B22:G22" si="6">IFERROR(B12/B7,0)</f>
        <v>0.31578947368421051</v>
      </c>
      <c r="C22" s="67">
        <f t="shared" si="6"/>
        <v>0.35514018691588783</v>
      </c>
      <c r="D22" s="67">
        <f t="shared" si="6"/>
        <v>0.38636363636363635</v>
      </c>
      <c r="E22" s="67">
        <f t="shared" si="6"/>
        <v>0.38194444444444442</v>
      </c>
      <c r="F22" s="67">
        <f t="shared" si="6"/>
        <v>0.28155339805825241</v>
      </c>
      <c r="G22" s="67">
        <f t="shared" si="6"/>
        <v>0.38931297709923662</v>
      </c>
      <c r="H22" s="67">
        <f t="shared" ref="H22:M22" si="7">IFERROR(H12/H7,0)</f>
        <v>0.2857142857142857</v>
      </c>
      <c r="I22" s="67">
        <f t="shared" si="7"/>
        <v>0.35502958579881655</v>
      </c>
      <c r="J22" s="67">
        <f t="shared" si="7"/>
        <v>0.35714285714285715</v>
      </c>
      <c r="K22" s="116">
        <f t="shared" si="7"/>
        <v>0.50526315789473686</v>
      </c>
      <c r="L22" s="67">
        <f t="shared" si="7"/>
        <v>0.45098039215686275</v>
      </c>
      <c r="M22" s="176">
        <f t="shared" si="7"/>
        <v>0.265625</v>
      </c>
      <c r="N22" s="1"/>
    </row>
    <row r="23" spans="1:17" s="8" customFormat="1" ht="11.25" customHeight="1" thickBot="1">
      <c r="A23" s="9" t="s">
        <v>53</v>
      </c>
      <c r="B23" s="67">
        <f t="shared" ref="B23:G23" si="8">IFERROR(B12/(B11+B12),0)</f>
        <v>0.84</v>
      </c>
      <c r="C23" s="67">
        <f t="shared" si="8"/>
        <v>0.82608695652173914</v>
      </c>
      <c r="D23" s="67">
        <f t="shared" si="8"/>
        <v>0.92727272727272725</v>
      </c>
      <c r="E23" s="67">
        <f t="shared" si="8"/>
        <v>0.93220338983050843</v>
      </c>
      <c r="F23" s="67">
        <f t="shared" si="8"/>
        <v>0.82857142857142863</v>
      </c>
      <c r="G23" s="67">
        <f t="shared" si="8"/>
        <v>0.89473684210526316</v>
      </c>
      <c r="H23" s="67">
        <f t="shared" ref="H23:M23" si="9">IFERROR(H12/(H11+H12),0)</f>
        <v>0.89795918367346939</v>
      </c>
      <c r="I23" s="67">
        <f t="shared" si="9"/>
        <v>0.967741935483871</v>
      </c>
      <c r="J23" s="67">
        <f t="shared" si="9"/>
        <v>0.98039215686274506</v>
      </c>
      <c r="K23" s="117">
        <f t="shared" si="9"/>
        <v>0.94117647058823528</v>
      </c>
      <c r="L23" s="163">
        <f t="shared" si="9"/>
        <v>0.92</v>
      </c>
      <c r="M23" s="177">
        <f t="shared" si="9"/>
        <v>0.57627118644067798</v>
      </c>
      <c r="N23" s="4"/>
    </row>
    <row r="24" spans="1:17" s="8" customFormat="1" ht="11.25" customHeight="1" thickBot="1">
      <c r="A24" s="56" t="s">
        <v>21</v>
      </c>
      <c r="B24" s="50">
        <v>41275</v>
      </c>
      <c r="C24" s="47">
        <v>41306</v>
      </c>
      <c r="D24" s="47">
        <v>41334</v>
      </c>
      <c r="E24" s="47">
        <v>41365</v>
      </c>
      <c r="F24" s="47">
        <v>41395</v>
      </c>
      <c r="G24" s="47">
        <v>41426</v>
      </c>
      <c r="H24" s="47">
        <v>41456</v>
      </c>
      <c r="I24" s="47">
        <v>41487</v>
      </c>
      <c r="J24" s="47">
        <v>41518</v>
      </c>
      <c r="K24" s="47">
        <v>41548</v>
      </c>
      <c r="L24" s="47">
        <v>41579</v>
      </c>
      <c r="M24" s="51">
        <v>41609</v>
      </c>
    </row>
    <row r="25" spans="1:17" s="8" customFormat="1" ht="11.25" customHeight="1">
      <c r="A25" s="18" t="s">
        <v>5</v>
      </c>
      <c r="B25" s="68">
        <f>COUNTIFS(Jan!$B:$B,2052,Jan!$J:$J,18)</f>
        <v>6</v>
      </c>
      <c r="C25" s="68">
        <v>4</v>
      </c>
      <c r="D25" s="68">
        <v>7</v>
      </c>
      <c r="E25" s="68">
        <v>3</v>
      </c>
      <c r="F25" s="68">
        <v>5</v>
      </c>
      <c r="G25" s="68">
        <v>2</v>
      </c>
      <c r="H25" s="68">
        <v>5</v>
      </c>
      <c r="I25" s="68">
        <v>8</v>
      </c>
      <c r="J25" s="68">
        <v>4</v>
      </c>
      <c r="K25" s="68">
        <v>4</v>
      </c>
      <c r="L25" s="68">
        <v>2</v>
      </c>
      <c r="M25" s="68">
        <v>6</v>
      </c>
    </row>
    <row r="26" spans="1:17" s="8" customFormat="1" ht="11.25" customHeight="1">
      <c r="A26" s="46" t="s">
        <v>40</v>
      </c>
      <c r="B26" s="57">
        <f>COUNTIFS(Jan!$B:$B,2052,Jan!$J:$J,41)</f>
        <v>9</v>
      </c>
      <c r="C26" s="57">
        <f>COUNTIFS(Feb!$B:$B,2052,Feb!$J:$J,41)</f>
        <v>0</v>
      </c>
      <c r="D26" s="57">
        <v>7</v>
      </c>
      <c r="E26" s="57">
        <v>4</v>
      </c>
      <c r="F26" s="57">
        <v>7</v>
      </c>
      <c r="G26" s="57">
        <v>10</v>
      </c>
      <c r="H26" s="57">
        <v>4</v>
      </c>
      <c r="I26" s="57">
        <v>7</v>
      </c>
      <c r="J26" s="57">
        <v>8</v>
      </c>
      <c r="K26" s="57">
        <f>COUNTIFS(Oct!$B:$B,2052,Oct!$J:$J,41)</f>
        <v>0</v>
      </c>
      <c r="L26" s="57">
        <v>2</v>
      </c>
      <c r="M26" s="57">
        <v>1</v>
      </c>
    </row>
    <row r="27" spans="1:17" s="8" customFormat="1" ht="11.25" customHeight="1">
      <c r="A27" s="9" t="s">
        <v>11</v>
      </c>
      <c r="B27" s="179">
        <f>COUNTIFS(Jan!$B:$B,2052,Jan!$J:$J,17)</f>
        <v>26</v>
      </c>
      <c r="C27" s="206">
        <v>18</v>
      </c>
      <c r="D27" s="206">
        <v>15</v>
      </c>
      <c r="E27" s="206">
        <v>7</v>
      </c>
      <c r="F27" s="206">
        <v>15</v>
      </c>
      <c r="G27" s="206">
        <v>6</v>
      </c>
      <c r="H27" s="206">
        <v>11</v>
      </c>
      <c r="I27" s="206">
        <v>26</v>
      </c>
      <c r="J27" s="206">
        <v>18</v>
      </c>
      <c r="K27" s="206">
        <v>4</v>
      </c>
      <c r="L27" s="206">
        <v>3</v>
      </c>
      <c r="M27" s="206">
        <v>16</v>
      </c>
    </row>
    <row r="28" spans="1:17" s="8" customFormat="1" ht="11.25" customHeight="1">
      <c r="A28" s="9" t="s">
        <v>143</v>
      </c>
      <c r="B28" s="59">
        <f>COUNTIFS(Jan!$B:$B,2052,Jan!$F:$F,455)</f>
        <v>0</v>
      </c>
      <c r="C28" s="59">
        <f>COUNTIFS(Feb!$B:$B,2052,Feb!$F:$F,455)</f>
        <v>0</v>
      </c>
      <c r="D28" s="59">
        <f>COUNTIFS(Mar!$B:$B,2052,Mar!$F:$F,455)</f>
        <v>0</v>
      </c>
      <c r="E28" s="59">
        <f>COUNTIFS(Apr!$B:$B,2052,Apr!$F:$F,455)</f>
        <v>0</v>
      </c>
      <c r="F28" s="59">
        <f>COUNTIFS(May!$B:$B,2052,May!$F:$F,455)</f>
        <v>0</v>
      </c>
      <c r="G28" s="59">
        <f>COUNTIFS(Jun!$B:$B,2052,Jun!$F:$F,455)</f>
        <v>0</v>
      </c>
      <c r="H28" s="59">
        <f>COUNTIFS(Jul!$B:$B,2052,Jul!$F:$F,455)</f>
        <v>0</v>
      </c>
      <c r="I28" s="59">
        <f>COUNTIFS(Aug!$B:$B,2052,Aug!$F:$F,455)</f>
        <v>0</v>
      </c>
      <c r="J28" s="59">
        <f>COUNTIFS(Sep!$B:$B,2052,Sep!$F:$F,455)</f>
        <v>0</v>
      </c>
      <c r="K28" s="59">
        <f>COUNTIFS(Oct!$B:$B,2052,Oct!$F:$F,455)</f>
        <v>0</v>
      </c>
      <c r="L28" s="59">
        <f>COUNTIFS(Nov!$B:$B,2052,Nov!$F:$F,455)</f>
        <v>0</v>
      </c>
      <c r="M28" s="59">
        <v>0</v>
      </c>
    </row>
    <row r="29" spans="1:17" s="8" customFormat="1" ht="11.25" customHeight="1">
      <c r="A29" s="9" t="s">
        <v>23</v>
      </c>
      <c r="B29" s="59">
        <f>COUNTIFS(Jan!$B:$B,2052,Jan!$J:$J,31)</f>
        <v>0</v>
      </c>
      <c r="C29" s="59">
        <f>COUNTIFS(Feb!$B:$B,2052,Feb!$J:$J,31)</f>
        <v>0</v>
      </c>
      <c r="D29" s="59">
        <f>COUNTIFS(Mar!$B:$B,2052,Mar!$J:$J,31)</f>
        <v>0</v>
      </c>
      <c r="E29" s="59">
        <f>COUNTIFS(Apr!$B:$B,2052,Apr!$J:$J,31)</f>
        <v>0</v>
      </c>
      <c r="F29" s="59">
        <f>COUNTIFS(May!$B:$B,2052,May!$J:$J,31)</f>
        <v>0</v>
      </c>
      <c r="G29" s="59">
        <f>COUNTIFS(Jun!$B:$B,2052,Jun!$J:$J,31)</f>
        <v>0</v>
      </c>
      <c r="H29" s="59">
        <f>COUNTIFS(Jul!$B:$B,2052,Jul!$J:$J,31)</f>
        <v>0</v>
      </c>
      <c r="I29" s="59">
        <f>COUNTIFS(Aug!$B:$B,2052,Aug!$J:$J,31)</f>
        <v>0</v>
      </c>
      <c r="J29" s="59">
        <f>COUNTIFS(Sep!$B:$B,2052,Sep!$J:$J,31)</f>
        <v>0</v>
      </c>
      <c r="K29" s="59">
        <f>COUNTIFS(Oct!$B:$B,2052,Oct!$J:$J,31)</f>
        <v>0</v>
      </c>
      <c r="L29" s="59">
        <f>COUNTIFS(Nov!$B:$B,2052,Nov!$J:$J,31)</f>
        <v>0</v>
      </c>
      <c r="M29" s="59">
        <v>0</v>
      </c>
    </row>
    <row r="30" spans="1:17" s="8" customFormat="1" ht="11.25" customHeight="1">
      <c r="A30" s="9" t="s">
        <v>37</v>
      </c>
      <c r="B30" s="59">
        <f>COUNTIFS(Jan!$B:$B,2052,Jan!$J:$J,4400)</f>
        <v>2</v>
      </c>
      <c r="C30" s="59">
        <v>1</v>
      </c>
      <c r="D30" s="59">
        <f>COUNTIFS(Mar!$B:$B,2052,Mar!$J:$J,4400)</f>
        <v>0</v>
      </c>
      <c r="E30" s="59">
        <f>COUNTIFS(Apr!$B:$B,2052,Apr!$J:$J,4400)</f>
        <v>0</v>
      </c>
      <c r="F30" s="59">
        <v>1</v>
      </c>
      <c r="G30" s="59">
        <v>4</v>
      </c>
      <c r="H30" s="59">
        <v>3</v>
      </c>
      <c r="I30" s="59">
        <v>2</v>
      </c>
      <c r="J30" s="59">
        <v>1</v>
      </c>
      <c r="K30" s="59">
        <f>COUNTIFS(Oct!$B:$B,2052,Oct!$J:$J,4400)</f>
        <v>0</v>
      </c>
      <c r="L30" s="59">
        <v>1</v>
      </c>
      <c r="M30" s="59">
        <v>1</v>
      </c>
    </row>
    <row r="31" spans="1:17" s="8" customFormat="1" ht="11.25" customHeight="1">
      <c r="A31" s="10" t="s">
        <v>24</v>
      </c>
      <c r="B31" s="59">
        <f>COUNTIFS(Jan!$B:$B,2052,Jan!$J:$J,30)</f>
        <v>0</v>
      </c>
      <c r="C31" s="59">
        <f>COUNTIFS(Feb!$B:$B,2052,Feb!$J:$J,30)</f>
        <v>0</v>
      </c>
      <c r="D31" s="59">
        <f>COUNTIFS(Mar!$B:$B,2052,Mar!$J:$J,30)</f>
        <v>0</v>
      </c>
      <c r="E31" s="59">
        <f>COUNTIFS(Apr!$B:$B,2052,Apr!$J:$J,30)</f>
        <v>0</v>
      </c>
      <c r="F31" s="59">
        <f>COUNTIFS(May!$B:$B,2052,May!$J:$J,30)</f>
        <v>0</v>
      </c>
      <c r="G31" s="59">
        <f>COUNTIFS(Jun!$B:$B,2052,Jun!$J:$J,30)</f>
        <v>0</v>
      </c>
      <c r="H31" s="59">
        <f>COUNTIFS(Jul!$B:$B,2052,Jul!$J:$J,30)</f>
        <v>0</v>
      </c>
      <c r="I31" s="59">
        <f>COUNTIFS(Aug!$B:$B,2052,Aug!$J:$J,30)</f>
        <v>0</v>
      </c>
      <c r="J31" s="59">
        <f>COUNTIFS(Sep!$B:$B,2052,Sep!$J:$J,30)</f>
        <v>0</v>
      </c>
      <c r="K31" s="59">
        <f>COUNTIFS(Oct!$B:$B,2052,Oct!$J:$J,30)</f>
        <v>0</v>
      </c>
      <c r="L31" s="59">
        <f>COUNTIFS(Nov!$B:$B,2052,Nov!$J:$J,30)</f>
        <v>0</v>
      </c>
      <c r="M31" s="59">
        <v>0</v>
      </c>
    </row>
    <row r="32" spans="1:17" s="14" customFormat="1" ht="11.25" customHeight="1" thickBot="1">
      <c r="A32" s="2" t="s">
        <v>140</v>
      </c>
      <c r="B32" s="60">
        <f>SUM(B25:B31)</f>
        <v>43</v>
      </c>
      <c r="C32" s="60">
        <f t="shared" ref="C32:M32" si="10">SUM(C25:C31)</f>
        <v>23</v>
      </c>
      <c r="D32" s="60">
        <f>SUM(D25:D31)</f>
        <v>29</v>
      </c>
      <c r="E32" s="60">
        <f>SUM(E25:E31)</f>
        <v>14</v>
      </c>
      <c r="F32" s="60">
        <f>SUM(F25:F31)</f>
        <v>28</v>
      </c>
      <c r="G32" s="60">
        <f>SUM(G25:G31)</f>
        <v>22</v>
      </c>
      <c r="H32" s="60">
        <f t="shared" si="10"/>
        <v>23</v>
      </c>
      <c r="I32" s="60">
        <f t="shared" si="10"/>
        <v>43</v>
      </c>
      <c r="J32" s="60">
        <f t="shared" si="10"/>
        <v>31</v>
      </c>
      <c r="K32" s="60">
        <f t="shared" si="10"/>
        <v>8</v>
      </c>
      <c r="L32" s="159">
        <f t="shared" si="10"/>
        <v>8</v>
      </c>
      <c r="M32" s="170">
        <f t="shared" si="10"/>
        <v>24</v>
      </c>
    </row>
    <row r="33" spans="1:13" ht="12" customHeight="1" thickBot="1">
      <c r="A33" s="55" t="s">
        <v>136</v>
      </c>
      <c r="B33" s="50">
        <v>41275</v>
      </c>
      <c r="C33" s="47">
        <v>41306</v>
      </c>
      <c r="D33" s="47">
        <v>41334</v>
      </c>
      <c r="E33" s="47">
        <v>41365</v>
      </c>
      <c r="F33" s="47">
        <v>41395</v>
      </c>
      <c r="G33" s="47">
        <v>41426</v>
      </c>
      <c r="H33" s="47">
        <v>41456</v>
      </c>
      <c r="I33" s="47">
        <v>41487</v>
      </c>
      <c r="J33" s="47">
        <v>41518</v>
      </c>
      <c r="K33" s="47">
        <v>41548</v>
      </c>
      <c r="L33" s="47">
        <v>41579</v>
      </c>
      <c r="M33" s="51">
        <v>41609</v>
      </c>
    </row>
    <row r="34" spans="1:13" s="8" customFormat="1" ht="11.25" customHeight="1">
      <c r="A34" s="46" t="s">
        <v>33</v>
      </c>
      <c r="B34" s="57">
        <f>COUNTIFS(Jan!$B:$B,2052,Jan!$J:$J,40)</f>
        <v>0</v>
      </c>
      <c r="C34" s="57">
        <f>COUNTIFS(Feb!$B:$B,2052,Feb!$J:$J,40)</f>
        <v>0</v>
      </c>
      <c r="D34" s="57">
        <f>COUNTIFS(Mar!$B:$B,2052,Mar!$J:$J,40)</f>
        <v>0</v>
      </c>
      <c r="E34" s="57">
        <f>COUNTIFS(Apr!$B:$B,2052,Apr!$J:$J,40)</f>
        <v>0</v>
      </c>
      <c r="F34" s="57">
        <f>COUNTIFS(May!$B:$B,2052,May!$J:$J,40)</f>
        <v>0</v>
      </c>
      <c r="G34" s="57">
        <f>COUNTIFS(Jun!$B:$B,2052,Jun!$J:$J,40)</f>
        <v>0</v>
      </c>
      <c r="H34" s="57">
        <f>COUNTIFS(Jul!$B:$B,2052,Jul!$J:$J,40)</f>
        <v>0</v>
      </c>
      <c r="I34" s="57">
        <f>COUNTIFS(Aug!$B:$B,2052,Aug!$J:$J,40)</f>
        <v>0</v>
      </c>
      <c r="J34" s="57">
        <f>COUNTIFS(Sep!$B:$B,2052,Sep!$J:$J,40)</f>
        <v>0</v>
      </c>
      <c r="K34" s="57">
        <f>COUNTIFS(Oct!$B:$B,2052,Oct!$J:$J,40)</f>
        <v>0</v>
      </c>
      <c r="L34" s="57">
        <f>COUNTIFS(Nov!$B:$B,2052,Nov!$J:$J,40)</f>
        <v>0</v>
      </c>
      <c r="M34" s="57">
        <v>0</v>
      </c>
    </row>
    <row r="35" spans="1:13" s="8" customFormat="1" ht="11.25" customHeight="1">
      <c r="A35" s="10" t="s">
        <v>4</v>
      </c>
      <c r="B35" s="59">
        <f>COUNTIFS(Jan!$B:$B,2052,Jan!$J:$J,15)</f>
        <v>1</v>
      </c>
      <c r="C35" s="59">
        <v>2</v>
      </c>
      <c r="D35" s="59">
        <f>COUNTIFS(Mar!$B:$B,2052,Mar!$J:$J,15)</f>
        <v>0</v>
      </c>
      <c r="E35" s="59">
        <v>3</v>
      </c>
      <c r="F35" s="59">
        <v>3</v>
      </c>
      <c r="G35" s="59">
        <v>2</v>
      </c>
      <c r="H35" s="59">
        <v>4</v>
      </c>
      <c r="I35" s="59">
        <v>5</v>
      </c>
      <c r="J35" s="59">
        <v>4</v>
      </c>
      <c r="K35" s="59">
        <v>1</v>
      </c>
      <c r="L35" s="59">
        <f>COUNTIFS(Nov!$B:$B,2052,Nov!$J:$J,15)</f>
        <v>0</v>
      </c>
      <c r="M35" s="59">
        <v>5</v>
      </c>
    </row>
    <row r="36" spans="1:13" s="8" customFormat="1" ht="11.25" customHeight="1">
      <c r="A36" s="10" t="s">
        <v>39</v>
      </c>
      <c r="B36" s="59">
        <f>COUNTIFS(Jan!$B:$B,2052,Jan!$J:$J,29)</f>
        <v>5</v>
      </c>
      <c r="C36" s="59">
        <v>6</v>
      </c>
      <c r="D36" s="59">
        <v>5</v>
      </c>
      <c r="E36" s="59">
        <v>11</v>
      </c>
      <c r="F36" s="59">
        <v>5</v>
      </c>
      <c r="G36" s="59">
        <v>7</v>
      </c>
      <c r="H36" s="59">
        <v>4</v>
      </c>
      <c r="I36" s="59">
        <v>6</v>
      </c>
      <c r="J36" s="59">
        <v>3</v>
      </c>
      <c r="K36" s="59">
        <v>6</v>
      </c>
      <c r="L36" s="59">
        <v>3</v>
      </c>
      <c r="M36" s="59">
        <v>1</v>
      </c>
    </row>
    <row r="37" spans="1:13" s="8" customFormat="1" ht="11.25" customHeight="1">
      <c r="A37" s="10" t="s">
        <v>3</v>
      </c>
      <c r="B37" s="59">
        <f>COUNTIFS(Jan!$B:$B,2052,Jan!$J:$J,13)</f>
        <v>0</v>
      </c>
      <c r="C37" s="59">
        <f>COUNTIFS(Feb!$B:$B,2052,Feb!$J:$J,13)</f>
        <v>0</v>
      </c>
      <c r="D37" s="59">
        <f>COUNTIFS(Mar!$B:$B,2052,Mar!$J:$J,13)</f>
        <v>0</v>
      </c>
      <c r="E37" s="59">
        <f>COUNTIFS(Apr!$B:$B,2052,Apr!$J:$J,13)</f>
        <v>0</v>
      </c>
      <c r="F37" s="59">
        <f>COUNTIFS(May!$B:$B,2052,May!$J:$J,13)</f>
        <v>0</v>
      </c>
      <c r="G37" s="59">
        <v>1</v>
      </c>
      <c r="H37" s="59">
        <v>1</v>
      </c>
      <c r="I37" s="59">
        <f>COUNTIFS(Aug!$B:$B,2052,Aug!$J:$J,13)</f>
        <v>0</v>
      </c>
      <c r="J37" s="59">
        <f>COUNTIFS(Sep!$B:$B,2052,Sep!$J:$J,13)</f>
        <v>0</v>
      </c>
      <c r="K37" s="59">
        <f>COUNTIFS(Oct!$B:$B,2052,Oct!$J:$J,13)</f>
        <v>0</v>
      </c>
      <c r="L37" s="59">
        <f>COUNTIFS(Nov!$B:$B,2052,Nov!$J:$J,13)</f>
        <v>0</v>
      </c>
      <c r="M37" s="59">
        <v>0</v>
      </c>
    </row>
    <row r="38" spans="1:13" s="8" customFormat="1" ht="11.25" customHeight="1">
      <c r="A38" s="9" t="s">
        <v>218</v>
      </c>
      <c r="B38" s="59">
        <f>COUNTIFS(Jan!$B:$B,2052,Jan!$J:$J,43)</f>
        <v>31</v>
      </c>
      <c r="C38" s="59">
        <v>28</v>
      </c>
      <c r="D38" s="59">
        <v>35</v>
      </c>
      <c r="E38" s="59">
        <v>31</v>
      </c>
      <c r="F38" s="59">
        <v>24</v>
      </c>
      <c r="G38" s="59">
        <v>25</v>
      </c>
      <c r="H38" s="59">
        <v>44</v>
      </c>
      <c r="I38" s="59">
        <v>42</v>
      </c>
      <c r="J38" s="59">
        <v>41</v>
      </c>
      <c r="K38" s="59">
        <v>11</v>
      </c>
      <c r="L38" s="59">
        <v>9</v>
      </c>
      <c r="M38" s="59">
        <v>29</v>
      </c>
    </row>
    <row r="39" spans="1:13" s="8" customFormat="1" ht="11.25" customHeight="1">
      <c r="A39" s="10" t="s">
        <v>25</v>
      </c>
      <c r="B39" s="59">
        <f>COUNTIFS(Jan!$B:$B,2052,Jan!$J:$J,24)</f>
        <v>10</v>
      </c>
      <c r="C39" s="59">
        <v>6</v>
      </c>
      <c r="D39" s="59">
        <v>8</v>
      </c>
      <c r="E39" s="59">
        <v>5</v>
      </c>
      <c r="F39" s="59">
        <v>11</v>
      </c>
      <c r="G39" s="59">
        <v>11</v>
      </c>
      <c r="H39" s="59">
        <v>10</v>
      </c>
      <c r="I39" s="59">
        <v>10</v>
      </c>
      <c r="J39" s="59">
        <v>10</v>
      </c>
      <c r="K39" s="59">
        <v>8</v>
      </c>
      <c r="L39" s="59">
        <v>2</v>
      </c>
      <c r="M39" s="59">
        <v>1</v>
      </c>
    </row>
    <row r="40" spans="1:13" s="8" customFormat="1" ht="11.25" customHeight="1">
      <c r="A40" s="10" t="s">
        <v>34</v>
      </c>
      <c r="B40" s="59">
        <f>COUNTIFS(Jan!$B:$B,2052,Jan!$J:$J,9)</f>
        <v>0</v>
      </c>
      <c r="C40" s="59">
        <f>COUNTIFS(Feb!$B:$B,2052,Feb!$J:$J,9)</f>
        <v>0</v>
      </c>
      <c r="D40" s="59">
        <v>1</v>
      </c>
      <c r="E40" s="59">
        <f>COUNTIFS(Apr!$B:$B,2052,Apr!$J:$J,9)</f>
        <v>0</v>
      </c>
      <c r="F40" s="59">
        <f>COUNTIFS(May!$B:$B,2052,May!$J:$J,9)</f>
        <v>0</v>
      </c>
      <c r="G40" s="59">
        <f>COUNTIFS(Jun!$B:$B,2052,Jun!$J:$J,9)</f>
        <v>0</v>
      </c>
      <c r="H40" s="59">
        <f>COUNTIFS(Jul!$B:$B,2052,Jul!$J:$J,9)</f>
        <v>0</v>
      </c>
      <c r="I40" s="59">
        <f>COUNTIFS(Aug!$B:$B,2052,Aug!$J:$J,9)</f>
        <v>0</v>
      </c>
      <c r="J40" s="59">
        <f>COUNTIFS(Sep!$B:$B,2052,Sep!$J:$J,9)</f>
        <v>0</v>
      </c>
      <c r="K40" s="59">
        <f>COUNTIFS(Oct!$B:$B,2052,Oct!$J:$J,9)</f>
        <v>0</v>
      </c>
      <c r="L40" s="59">
        <f>COUNTIFS(Nov!$B:$B,2052,Nov!$J:$J,9)</f>
        <v>0</v>
      </c>
      <c r="M40" s="59">
        <v>0</v>
      </c>
    </row>
    <row r="41" spans="1:13" s="8" customFormat="1" ht="11.25" customHeight="1">
      <c r="A41" s="10" t="s">
        <v>31</v>
      </c>
      <c r="B41" s="59">
        <f>COUNTIFS(Jan!$B:$B,2052,Jan!$J:$J,10)</f>
        <v>1</v>
      </c>
      <c r="C41" s="59">
        <f>COUNTIFS(Feb!$B:$B,2052,Feb!$J:$J,10)</f>
        <v>0</v>
      </c>
      <c r="D41" s="59">
        <v>5</v>
      </c>
      <c r="E41" s="59">
        <v>3</v>
      </c>
      <c r="F41" s="59">
        <v>7</v>
      </c>
      <c r="G41" s="59">
        <v>3</v>
      </c>
      <c r="H41" s="59">
        <v>10</v>
      </c>
      <c r="I41" s="59">
        <v>9</v>
      </c>
      <c r="J41" s="59">
        <v>2</v>
      </c>
      <c r="K41" s="59">
        <f>COUNTIFS(Oct!$B:$B,2052,Oct!$J:$J,10)</f>
        <v>0</v>
      </c>
      <c r="L41" s="59">
        <f>COUNTIFS(Nov!$B:$B,2052,Nov!$J:$J,10)</f>
        <v>0</v>
      </c>
      <c r="M41" s="59">
        <v>3</v>
      </c>
    </row>
    <row r="42" spans="1:13" s="8" customFormat="1" ht="11.25" customHeight="1">
      <c r="A42" s="10" t="s">
        <v>144</v>
      </c>
      <c r="B42" s="59">
        <f>COUNTIFS(Jan!$B:$B,2052,Jan!$F:$F,462)</f>
        <v>0</v>
      </c>
      <c r="C42" s="59">
        <f>COUNTIFS(Feb!$B:$B,2052,Feb!$F:$F,462)</f>
        <v>0</v>
      </c>
      <c r="D42" s="59">
        <v>1</v>
      </c>
      <c r="E42" s="59">
        <f>COUNTIFS(Apr!$B:$B,2052,Apr!$F:$F,462)</f>
        <v>0</v>
      </c>
      <c r="F42" s="59">
        <f>COUNTIFS(May!$B:$B,2052,May!$F:$F,462)</f>
        <v>0</v>
      </c>
      <c r="G42" s="59">
        <f>COUNTIFS(Jun!$B:$B,2052,Jun!$F:$F,462)</f>
        <v>0</v>
      </c>
      <c r="H42" s="59">
        <f>COUNTIFS(Jul!$B:$B,2052,Jul!$F:$F,462)</f>
        <v>0</v>
      </c>
      <c r="I42" s="59">
        <f>COUNTIFS(Aug!$B:$B,2052,Aug!$F:$F,462)</f>
        <v>0</v>
      </c>
      <c r="J42" s="59">
        <f>COUNTIFS(Sep!$B:$B,2052,Sep!$F:$F,462)</f>
        <v>0</v>
      </c>
      <c r="K42" s="59">
        <v>1</v>
      </c>
      <c r="L42" s="59">
        <f>COUNTIFS(Nov!$B:$B,2052,Nov!$F:$F,462)</f>
        <v>0</v>
      </c>
      <c r="M42" s="59">
        <v>0</v>
      </c>
    </row>
    <row r="43" spans="1:13" s="8" customFormat="1" ht="11.25" customHeight="1">
      <c r="A43" s="10" t="s">
        <v>1</v>
      </c>
      <c r="B43" s="59">
        <f>COUNTIFS(Jan!$B:$B,2052,Jan!$J:$J,11)</f>
        <v>11</v>
      </c>
      <c r="C43" s="59">
        <v>9</v>
      </c>
      <c r="D43" s="59">
        <v>5</v>
      </c>
      <c r="E43" s="59">
        <v>8</v>
      </c>
      <c r="F43" s="59">
        <v>8</v>
      </c>
      <c r="G43" s="59">
        <v>13</v>
      </c>
      <c r="H43" s="59">
        <v>7</v>
      </c>
      <c r="I43" s="59">
        <v>16</v>
      </c>
      <c r="J43" s="59">
        <v>6</v>
      </c>
      <c r="K43" s="59">
        <v>3</v>
      </c>
      <c r="L43" s="59">
        <v>2</v>
      </c>
      <c r="M43" s="59">
        <v>5</v>
      </c>
    </row>
    <row r="44" spans="1:13" s="8" customFormat="1" ht="11.25" customHeight="1">
      <c r="A44" s="10" t="s">
        <v>26</v>
      </c>
      <c r="B44" s="59">
        <f>COUNTIFS(Jan!$B:$B,2052,Jan!$J:$J,20)</f>
        <v>0</v>
      </c>
      <c r="C44" s="59">
        <f>COUNTIFS(Feb!$B:$B,2052,Feb!$J:$J,20)</f>
        <v>0</v>
      </c>
      <c r="D44" s="59">
        <f>COUNTIFS(Mar!$B:$B,2052,Mar!$J:$J,20)</f>
        <v>0</v>
      </c>
      <c r="E44" s="59">
        <f>COUNTIFS(Apr!$B:$B,2052,Apr!$J:$J,20)</f>
        <v>0</v>
      </c>
      <c r="F44" s="59">
        <v>1</v>
      </c>
      <c r="G44" s="59">
        <f>COUNTIFS(Jun!$B:$B,2052,Jun!$J:$J,20)</f>
        <v>0</v>
      </c>
      <c r="H44" s="59">
        <f>COUNTIFS(Jul!$B:$B,2052,Jul!$J:$J,20)</f>
        <v>0</v>
      </c>
      <c r="I44" s="59">
        <f>COUNTIFS(Aug!$B:$B,2052,Aug!$J:$J,20)</f>
        <v>0</v>
      </c>
      <c r="J44" s="59">
        <f>COUNTIFS(Sep!$B:$B,2052,Sep!$J:$J,20)</f>
        <v>0</v>
      </c>
      <c r="K44" s="59">
        <v>1</v>
      </c>
      <c r="L44" s="59">
        <f>COUNTIFS(Nov!$B:$B,2052,Nov!$J:$J,20)</f>
        <v>0</v>
      </c>
      <c r="M44" s="59">
        <v>1</v>
      </c>
    </row>
    <row r="45" spans="1:13" s="8" customFormat="1" ht="11.25" customHeight="1">
      <c r="A45" s="10" t="s">
        <v>32</v>
      </c>
      <c r="B45" s="59">
        <f>COUNTIFS(Jan!$B:$B,2052,Jan!$J:$J,2)</f>
        <v>17</v>
      </c>
      <c r="C45" s="59">
        <v>9</v>
      </c>
      <c r="D45" s="59">
        <v>12</v>
      </c>
      <c r="E45" s="59">
        <v>19</v>
      </c>
      <c r="F45" s="59">
        <v>7</v>
      </c>
      <c r="G45" s="59">
        <v>9</v>
      </c>
      <c r="H45" s="59">
        <v>17</v>
      </c>
      <c r="I45" s="59">
        <v>14</v>
      </c>
      <c r="J45" s="59">
        <v>14</v>
      </c>
      <c r="K45" s="59">
        <v>8</v>
      </c>
      <c r="L45" s="59">
        <v>9</v>
      </c>
      <c r="M45" s="59">
        <v>22</v>
      </c>
    </row>
    <row r="46" spans="1:13" s="8" customFormat="1" ht="11.25" customHeight="1">
      <c r="A46" s="10" t="s">
        <v>28</v>
      </c>
      <c r="B46" s="59">
        <f>COUNTIFS(Jan!$B:$B,2052,Jan!$J:$J,1700)+COUNTIFS(Jan!$B:$B,2052,Jan!$F:$F,1700)+COUNTIFS(Jan!$B:$B,2052,Jan!$J:$J,19)</f>
        <v>0</v>
      </c>
      <c r="C46" s="59">
        <f>COUNTIFS(Feb!$B:$B,2052,Feb!$J:$J,1700)+COUNTIFS(Feb!$B:$B,2052,Feb!$F:$F,1700)+COUNTIFS(Feb!$B:$B,2052,Feb!$J:$J,19)</f>
        <v>0</v>
      </c>
      <c r="D46" s="59">
        <f>COUNTIFS(Mar!$B:$B,2052,Mar!$J:$J,1700)+COUNTIFS(Mar!$B:$B,2052,Mar!$F:$F,1700)+COUNTIFS(Mar!$B:$B,2052,Mar!$J:$J,19)</f>
        <v>0</v>
      </c>
      <c r="E46" s="59">
        <f>COUNTIFS(Apr!$B:$B,2052,Apr!$J:$J,1700)+COUNTIFS(Apr!$B:$B,2052,Apr!$F:$F,1700)+COUNTIFS(Apr!$B:$B,2052,Apr!$J:$J,19)</f>
        <v>0</v>
      </c>
      <c r="F46" s="59">
        <f>COUNTIFS(May!$B:$B,2052,May!$J:$J,1700)+COUNTIFS(May!$B:$B,2052,May!$F:$F,1700)+COUNTIFS(May!$B:$B,2052,May!$J:$J,19)</f>
        <v>0</v>
      </c>
      <c r="G46" s="59">
        <f>COUNTIFS(Jun!$B:$B,2052,Jun!$J:$J,1700)+COUNTIFS(Jun!$B:$B,2052,Jun!$F:$F,1700)+COUNTIFS(Jun!$B:$B,2052,Jun!$J:$J,19)</f>
        <v>0</v>
      </c>
      <c r="H46" s="59">
        <f>COUNTIFS(Jul!$B:$B,2052,Jul!$J:$J,1700)+COUNTIFS(Jul!$B:$B,2052,Jul!$F:$F,1700)+COUNTIFS(Jul!$B:$B,2052,Jul!$J:$J,19)</f>
        <v>0</v>
      </c>
      <c r="I46" s="59">
        <f>COUNTIFS(Aug!$B:$B,2052,Aug!$J:$J,1700)+COUNTIFS(Aug!$B:$B,2052,Aug!$F:$F,1700)+COUNTIFS(Aug!$B:$B,2052,Aug!$J:$J,19)</f>
        <v>0</v>
      </c>
      <c r="J46" s="59">
        <f>COUNTIFS(Sep!$B:$B,2052,Sep!$J:$J,1700)+COUNTIFS(Sep!$B:$B,2052,Sep!$F:$F,1700)+COUNTIFS(Sep!$B:$B,2052,Sep!$J:$J,19)</f>
        <v>0</v>
      </c>
      <c r="K46" s="59">
        <f>COUNTIFS(Oct!$B:$B,2052,Oct!$J:$J,1700)+COUNTIFS(Oct!$B:$B,2052,Oct!$F:$F,1700)+COUNTIFS(Oct!$B:$B,2052,Oct!$J:$J,19)</f>
        <v>0</v>
      </c>
      <c r="L46" s="59">
        <f>COUNTIFS(Nov!$B:$B,2052,Nov!$J:$J,1700)+COUNTIFS(Nov!$B:$B,2052,Nov!$F:$F,1700)+COUNTIFS(Nov!$B:$B,2052,Nov!$J:$J,19)</f>
        <v>0</v>
      </c>
      <c r="M46" s="59">
        <v>1</v>
      </c>
    </row>
    <row r="47" spans="1:13" s="8" customFormat="1" ht="11.25" customHeight="1">
      <c r="A47" s="10" t="s">
        <v>0</v>
      </c>
      <c r="B47" s="59">
        <f>COUNTIFS(Jan!$B:$B,2052,Jan!$J:$J,3)</f>
        <v>4</v>
      </c>
      <c r="C47" s="59">
        <f>COUNTIFS(Feb!$B:$B,2052,Feb!$J:$J,3)</f>
        <v>0</v>
      </c>
      <c r="D47" s="59">
        <v>2</v>
      </c>
      <c r="E47" s="59">
        <v>2</v>
      </c>
      <c r="F47" s="59">
        <v>1</v>
      </c>
      <c r="G47" s="59">
        <v>2</v>
      </c>
      <c r="H47" s="59">
        <v>4</v>
      </c>
      <c r="I47" s="59">
        <v>2</v>
      </c>
      <c r="J47" s="59">
        <v>4</v>
      </c>
      <c r="K47" s="59">
        <v>1</v>
      </c>
      <c r="L47" s="59">
        <f>COUNTIFS(Nov!$B:$B,2052,Nov!$J:$J,3)</f>
        <v>0</v>
      </c>
      <c r="M47" s="59">
        <v>1</v>
      </c>
    </row>
    <row r="48" spans="1:13" s="8" customFormat="1" ht="11.25" customHeight="1">
      <c r="A48" s="10" t="s">
        <v>35</v>
      </c>
      <c r="B48" s="59">
        <f>COUNTIFS(Jan!$B:$B,2052,Jan!$J:$J,7400)</f>
        <v>0</v>
      </c>
      <c r="C48" s="59">
        <f>COUNTIFS(Feb!$B:$B,2052,Feb!$J:$J,7400)</f>
        <v>0</v>
      </c>
      <c r="D48" s="59">
        <f>COUNTIFS(Mar!$B:$B,2052,Mar!$J:$J,7400)</f>
        <v>0</v>
      </c>
      <c r="E48" s="59">
        <f>COUNTIFS(Apr!$B:$B,2052,Apr!$J:$J,7400)</f>
        <v>0</v>
      </c>
      <c r="F48" s="59">
        <f>COUNTIFS(May!$B:$B,2052,May!$J:$J,7400)</f>
        <v>0</v>
      </c>
      <c r="G48" s="59">
        <f>COUNTIFS(Jun!$B:$B,2052,Jun!$J:$J,7400)</f>
        <v>0</v>
      </c>
      <c r="H48" s="59">
        <f>COUNTIFS(Jul!$B:$B,2052,Jul!$J:$J,7400)</f>
        <v>0</v>
      </c>
      <c r="I48" s="59">
        <v>0</v>
      </c>
      <c r="J48" s="59">
        <f>COUNTIFS(Sep!$B:$B,2052,Sep!$J:$J,7400)</f>
        <v>0</v>
      </c>
      <c r="K48" s="59">
        <v>1</v>
      </c>
      <c r="L48" s="59">
        <f>COUNTIFS(Nov!$B:$B,2052,Nov!$J:$J,7400)</f>
        <v>0</v>
      </c>
      <c r="M48" s="59">
        <v>0</v>
      </c>
    </row>
    <row r="49" spans="1:13" s="8" customFormat="1" ht="11.25" customHeight="1">
      <c r="A49" s="10" t="s">
        <v>2</v>
      </c>
      <c r="B49" s="59">
        <f>COUNTIFS(Jan!$B:$B,2052,Jan!$J:$J,14)</f>
        <v>3</v>
      </c>
      <c r="C49" s="59">
        <v>1</v>
      </c>
      <c r="D49" s="59">
        <v>3</v>
      </c>
      <c r="E49" s="59">
        <v>3</v>
      </c>
      <c r="F49" s="59">
        <v>1</v>
      </c>
      <c r="G49" s="59">
        <v>1</v>
      </c>
      <c r="H49" s="59">
        <v>3</v>
      </c>
      <c r="I49" s="59">
        <v>3</v>
      </c>
      <c r="J49" s="59">
        <v>5</v>
      </c>
      <c r="K49" s="59">
        <v>3</v>
      </c>
      <c r="L49" s="59">
        <f>COUNTIFS(Nov!$B:$B,2052,Nov!$J:$J,14)</f>
        <v>0</v>
      </c>
      <c r="M49" s="59">
        <v>0</v>
      </c>
    </row>
    <row r="50" spans="1:13" s="8" customFormat="1" ht="11.25" customHeight="1">
      <c r="A50" s="10" t="s">
        <v>142</v>
      </c>
      <c r="B50" s="59">
        <f>COUNTIFS(Jan!$B:$B,2052,Jan!$F:$F,466)</f>
        <v>0</v>
      </c>
      <c r="C50" s="59">
        <f>COUNTIFS(Feb!$B:$B,2052,Feb!$F:$F,466)</f>
        <v>0</v>
      </c>
      <c r="D50" s="59">
        <f>COUNTIFS(Mar!$B:$B,2052,Mar!$F:$F,466)</f>
        <v>0</v>
      </c>
      <c r="E50" s="59">
        <f>COUNTIFS(Apr!$B:$B,2052,Apr!$F:$F,466)</f>
        <v>0</v>
      </c>
      <c r="F50" s="59">
        <f>COUNTIFS(May!$B:$B,2052,May!$F:$F,466)</f>
        <v>0</v>
      </c>
      <c r="G50" s="59">
        <f>COUNTIFS(Jun!$B:$B,2052,Jun!$F:$F,466)</f>
        <v>0</v>
      </c>
      <c r="H50" s="59">
        <v>1</v>
      </c>
      <c r="I50" s="59">
        <f>COUNTIFS(Aug!$B:$B,2052,Aug!$F:$F,466)</f>
        <v>0</v>
      </c>
      <c r="J50" s="59">
        <f>COUNTIFS(Sep!$B:$B,2052,Sep!$F:$F,466)</f>
        <v>0</v>
      </c>
      <c r="K50" s="59">
        <f>COUNTIFS(Oct!$B:$B,2052,Oct!$F:$F,466)</f>
        <v>0</v>
      </c>
      <c r="L50" s="59">
        <v>1</v>
      </c>
      <c r="M50" s="59">
        <v>0</v>
      </c>
    </row>
    <row r="51" spans="1:13" s="8" customFormat="1" ht="11.25" customHeight="1">
      <c r="A51" s="10" t="s">
        <v>27</v>
      </c>
      <c r="B51" s="59">
        <f>COUNTIFS(Jan!$B:$B,2052,Jan!$J:$J,25)</f>
        <v>0</v>
      </c>
      <c r="C51" s="59">
        <f>COUNTIFS(Feb!$B:$B,2052,Feb!$J:$J,25)</f>
        <v>0</v>
      </c>
      <c r="D51" s="59">
        <f>COUNTIFS(Mar!$B:$B,2052,Mar!$J:$J,25)</f>
        <v>0</v>
      </c>
      <c r="E51" s="59">
        <f>COUNTIFS(Apr!$B:$B,2052,Apr!$J:$J,25)</f>
        <v>0</v>
      </c>
      <c r="F51" s="59">
        <f>COUNTIFS(May!$B:$B,2052,May!$J:$J,25)</f>
        <v>0</v>
      </c>
      <c r="G51" s="59">
        <f>COUNTIFS(Jun!$B:$B,2052,Jun!$J:$J,25)</f>
        <v>0</v>
      </c>
      <c r="H51" s="59">
        <f>COUNTIFS(Jul!$B:$B,2052,Jul!$J:$J,25)</f>
        <v>0</v>
      </c>
      <c r="I51" s="59">
        <f>COUNTIFS(Aug!$B:$B,2052,Aug!$J:$J,25)</f>
        <v>0</v>
      </c>
      <c r="J51" s="59">
        <f>COUNTIFS(Sep!$B:$B,2052,Sep!$J:$J,25)</f>
        <v>0</v>
      </c>
      <c r="K51" s="59">
        <f>COUNTIFS(Oct!$B:$B,2052,Oct!$J:$J,25)</f>
        <v>0</v>
      </c>
      <c r="L51" s="59">
        <f>COUNTIFS(Nov!$B:$B,2052,Nov!$J:$J,25)</f>
        <v>0</v>
      </c>
      <c r="M51" s="59">
        <v>0</v>
      </c>
    </row>
    <row r="52" spans="1:13" s="8" customFormat="1" ht="11.25" customHeight="1" thickBot="1">
      <c r="A52" s="11" t="s">
        <v>16</v>
      </c>
      <c r="B52" s="60">
        <f t="shared" ref="B52:G52" si="11">SUM(B34:B51)</f>
        <v>83</v>
      </c>
      <c r="C52" s="60">
        <f t="shared" si="11"/>
        <v>61</v>
      </c>
      <c r="D52" s="60">
        <f t="shared" si="11"/>
        <v>77</v>
      </c>
      <c r="E52" s="60">
        <f t="shared" si="11"/>
        <v>85</v>
      </c>
      <c r="F52" s="60">
        <f t="shared" si="11"/>
        <v>68</v>
      </c>
      <c r="G52" s="60">
        <f t="shared" si="11"/>
        <v>74</v>
      </c>
      <c r="H52" s="60">
        <f t="shared" ref="H52:M52" si="12">SUM(H34:H51)</f>
        <v>105</v>
      </c>
      <c r="I52" s="60">
        <f t="shared" si="12"/>
        <v>107</v>
      </c>
      <c r="J52" s="60">
        <f t="shared" si="12"/>
        <v>89</v>
      </c>
      <c r="K52" s="60">
        <f t="shared" si="12"/>
        <v>44</v>
      </c>
      <c r="L52" s="159">
        <f t="shared" si="12"/>
        <v>26</v>
      </c>
      <c r="M52" s="170">
        <f t="shared" si="12"/>
        <v>69</v>
      </c>
    </row>
    <row r="53" spans="1:13" ht="12" customHeight="1" thickBot="1">
      <c r="A53" s="55" t="s">
        <v>137</v>
      </c>
      <c r="B53" s="50">
        <v>41275</v>
      </c>
      <c r="C53" s="47">
        <v>41306</v>
      </c>
      <c r="D53" s="47">
        <v>41334</v>
      </c>
      <c r="E53" s="47">
        <v>41365</v>
      </c>
      <c r="F53" s="47">
        <v>41395</v>
      </c>
      <c r="G53" s="47">
        <v>41426</v>
      </c>
      <c r="H53" s="47">
        <v>41456</v>
      </c>
      <c r="I53" s="47">
        <v>41487</v>
      </c>
      <c r="J53" s="47">
        <v>41518</v>
      </c>
      <c r="K53" s="47">
        <v>41548</v>
      </c>
      <c r="L53" s="47">
        <v>41579</v>
      </c>
      <c r="M53" s="51">
        <v>41609</v>
      </c>
    </row>
    <row r="54" spans="1:13" s="8" customFormat="1" ht="11.25" customHeight="1">
      <c r="A54" s="10" t="s">
        <v>30</v>
      </c>
      <c r="B54" s="57">
        <f>COUNTIFS(Jan!$B:$B,2052,Jan!$J:$J,7)</f>
        <v>0</v>
      </c>
      <c r="C54" s="57">
        <f>COUNTIFS(Feb!$B:$B,2052,Feb!$J:$J,7)</f>
        <v>0</v>
      </c>
      <c r="D54" s="57">
        <f>COUNTIFS(Mar!$B:$B,2052,Mar!$J:$J,7)</f>
        <v>0</v>
      </c>
      <c r="E54" s="57">
        <v>1</v>
      </c>
      <c r="F54" s="57">
        <v>2</v>
      </c>
      <c r="G54" s="57">
        <v>1</v>
      </c>
      <c r="H54" s="57">
        <v>3</v>
      </c>
      <c r="I54" s="57">
        <v>2</v>
      </c>
      <c r="J54" s="57">
        <f>COUNTIFS(Sep!$B:$B,2052,Sep!$J:$J,7)</f>
        <v>0</v>
      </c>
      <c r="K54" s="57">
        <f>COUNTIFS(Oct!$B:$B,2052,Oct!$J:$J,7)</f>
        <v>0</v>
      </c>
      <c r="L54" s="57">
        <v>1</v>
      </c>
      <c r="M54" s="57">
        <v>2</v>
      </c>
    </row>
    <row r="55" spans="1:13" s="8" customFormat="1" ht="11.25" customHeight="1">
      <c r="A55" s="10" t="s">
        <v>29</v>
      </c>
      <c r="B55" s="59">
        <f>COUNTIFS(Jan!$B:$B,2052,Jan!$J:$J,8)</f>
        <v>0</v>
      </c>
      <c r="C55" s="59">
        <f>COUNTIFS(Feb!$B:$B,2052,Feb!$J:$J,8)</f>
        <v>0</v>
      </c>
      <c r="D55" s="59">
        <f>COUNTIFS(Mar!$B:$B,2052,Mar!$J:$J,8)</f>
        <v>0</v>
      </c>
      <c r="E55" s="59">
        <f>COUNTIFS(Apr!$B:$B,2052,Apr!$J:$J,8)</f>
        <v>0</v>
      </c>
      <c r="F55" s="59">
        <f>COUNTIFS(May!$B:$B,2052,May!$J:$J,8)</f>
        <v>0</v>
      </c>
      <c r="G55" s="59">
        <f>COUNTIFS(Jun!$B:$B,2052,Jun!$J:$J,8)</f>
        <v>0</v>
      </c>
      <c r="H55" s="59">
        <f>COUNTIFS(Jul!$B:$B,2052,Jul!$J:$J,8)</f>
        <v>0</v>
      </c>
      <c r="I55" s="59">
        <f>COUNTIFS(Aug!$B:$B,2052,Aug!$J:$J,8)</f>
        <v>0</v>
      </c>
      <c r="J55" s="59">
        <f>COUNTIFS(Sep!$B:$B,2052,Sep!$J:$J,8)</f>
        <v>0</v>
      </c>
      <c r="K55" s="59">
        <f>COUNTIFS(Oct!$B:$B,2052,Oct!$J:$J,8)</f>
        <v>0</v>
      </c>
      <c r="L55" s="59">
        <f>COUNTIFS(Nov!$B:$B,2052,Nov!$J:$J,8)</f>
        <v>0</v>
      </c>
      <c r="M55" s="59">
        <v>0</v>
      </c>
    </row>
    <row r="56" spans="1:13" s="8" customFormat="1" ht="11.25" customHeight="1">
      <c r="A56" s="10" t="s">
        <v>7</v>
      </c>
      <c r="B56" s="59">
        <f>COUNTIFS(Jan!$B:$B,2052,Jan!$J:$J,12)</f>
        <v>1</v>
      </c>
      <c r="C56" s="59">
        <v>1</v>
      </c>
      <c r="D56" s="59">
        <v>1</v>
      </c>
      <c r="E56" s="59">
        <v>1</v>
      </c>
      <c r="F56" s="59">
        <f>COUNTIFS(May!$B:$B,2052,May!$J:$J,12)</f>
        <v>0</v>
      </c>
      <c r="G56" s="59">
        <v>3</v>
      </c>
      <c r="H56" s="59">
        <v>1</v>
      </c>
      <c r="I56" s="59">
        <f>COUNTIFS(Aug!$B:$B,2052,Aug!$J:$J,12)</f>
        <v>0</v>
      </c>
      <c r="J56" s="59">
        <v>1</v>
      </c>
      <c r="K56" s="59">
        <f>COUNTIFS(Oct!$B:$B,2052,Oct!$J:$J,12)</f>
        <v>0</v>
      </c>
      <c r="L56" s="59">
        <v>1</v>
      </c>
      <c r="M56" s="59">
        <v>16</v>
      </c>
    </row>
    <row r="57" spans="1:13" s="8" customFormat="1" ht="11.25" customHeight="1">
      <c r="A57" s="10" t="s">
        <v>10</v>
      </c>
      <c r="B57" s="59">
        <f>COUNTIFS(Jan!$B:$B,2052,Jan!$J:$J,5100)</f>
        <v>0</v>
      </c>
      <c r="C57" s="59">
        <f>COUNTIFS(Feb!$B:$B,2052,Feb!$J:$J,5100)</f>
        <v>0</v>
      </c>
      <c r="D57" s="59">
        <f>COUNTIFS(Mar!$B:$B,2052,Mar!$J:$J,5100)</f>
        <v>0</v>
      </c>
      <c r="E57" s="59">
        <f>COUNTIFS(Apr!$B:$B,2052,Apr!$J:$J,5100)</f>
        <v>0</v>
      </c>
      <c r="F57" s="59">
        <f>COUNTIFS(May!$B:$B,2052,May!$J:$J,5100)</f>
        <v>0</v>
      </c>
      <c r="G57" s="59">
        <f>COUNTIFS(Jun!$B:$B,2052,Jun!$J:$J,5100)</f>
        <v>0</v>
      </c>
      <c r="H57" s="59">
        <f>COUNTIFS(Jul!$B:$B,2052,Jul!$J:$J,5100)</f>
        <v>0</v>
      </c>
      <c r="I57" s="59">
        <f>COUNTIFS(Aug!$B:$B,2052,Aug!$J:$J,5100)</f>
        <v>0</v>
      </c>
      <c r="J57" s="59">
        <f>COUNTIFS(Sep!$B:$B,2052,Sep!$J:$J,5100)</f>
        <v>0</v>
      </c>
      <c r="K57" s="59">
        <f>COUNTIFS(Oct!$B:$B,2052,Oct!$J:$J,5100)</f>
        <v>0</v>
      </c>
      <c r="L57" s="59">
        <f>COUNTIFS(Nov!$B:$B,2052,Nov!$J:$J,5100)</f>
        <v>0</v>
      </c>
      <c r="M57" s="59">
        <v>0</v>
      </c>
    </row>
    <row r="58" spans="1:13" s="8" customFormat="1" ht="11.25" customHeight="1">
      <c r="A58" s="10" t="s">
        <v>36</v>
      </c>
      <c r="B58" s="59">
        <f>COUNTIFS(Jan!$B:$B,2052,Jan!$J:$J,6200)</f>
        <v>0</v>
      </c>
      <c r="C58" s="59">
        <f>COUNTIFS(Feb!$B:$B,2052,Feb!$J:$J,6200)</f>
        <v>0</v>
      </c>
      <c r="D58" s="59">
        <f>COUNTIFS(Mar!$B:$B,2052,Mar!$J:$J,6200)</f>
        <v>0</v>
      </c>
      <c r="E58" s="59">
        <f>COUNTIFS(Apr!$B:$B,2052,Apr!$J:$J,6200)</f>
        <v>0</v>
      </c>
      <c r="F58" s="59">
        <f>COUNTIFS(May!$B:$B,2052,May!$J:$J,6200)</f>
        <v>0</v>
      </c>
      <c r="G58" s="59">
        <v>1</v>
      </c>
      <c r="H58" s="59">
        <f>COUNTIFS(Jul!$B:$B,2052,Jul!$J:$J,6200)</f>
        <v>0</v>
      </c>
      <c r="I58" s="59">
        <f>COUNTIFS(Aug!$B:$B,2052,Aug!$J:$J,6200)</f>
        <v>0</v>
      </c>
      <c r="J58" s="59">
        <f>COUNTIFS(Sep!$B:$B,2052,Sep!$J:$J,6200)</f>
        <v>0</v>
      </c>
      <c r="K58" s="59">
        <f>COUNTIFS(Oct!$B:$B,2052,Oct!$J:$J,6200)</f>
        <v>0</v>
      </c>
      <c r="L58" s="59">
        <f>COUNTIFS(Nov!$B:$B,2052,Nov!$J:$J,6200)</f>
        <v>0</v>
      </c>
      <c r="M58" s="59">
        <v>5</v>
      </c>
    </row>
    <row r="59" spans="1:13" s="8" customFormat="1" ht="11.25" customHeight="1">
      <c r="A59" s="10" t="s">
        <v>145</v>
      </c>
      <c r="B59" s="59">
        <f>COUNTIFS(Jan!$B:$B,2052,Jan!$J:$J,28)</f>
        <v>0</v>
      </c>
      <c r="C59" s="59">
        <f>COUNTIFS(Feb!$B:$B,2052,Feb!$J:$J,28)</f>
        <v>0</v>
      </c>
      <c r="D59" s="59">
        <f>COUNTIFS(Mar!$B:$B,2052,Mar!$J:$J,28)</f>
        <v>0</v>
      </c>
      <c r="E59" s="59">
        <f>COUNTIFS(Apr!$B:$B,2052,Apr!$J:$J,28)</f>
        <v>0</v>
      </c>
      <c r="F59" s="59">
        <f>COUNTIFS(May!$B:$B,2052,May!$J:$J,28)</f>
        <v>0</v>
      </c>
      <c r="G59" s="59">
        <f>COUNTIFS(Jun!$B:$B,2052,Jun!$J:$J,28)</f>
        <v>0</v>
      </c>
      <c r="H59" s="59">
        <f>COUNTIFS(Jul!$B:$B,2052,Jul!$J:$J,28)</f>
        <v>0</v>
      </c>
      <c r="I59" s="59">
        <f>COUNTIFS(Aug!$B:$B,2052,Aug!$J:$J,28)</f>
        <v>0</v>
      </c>
      <c r="J59" s="59">
        <f>COUNTIFS(Sep!$B:$B,2052,Sep!$J:$J,28)</f>
        <v>0</v>
      </c>
      <c r="K59" s="59">
        <f>COUNTIFS(Oct!$B:$B,2052,Oct!$J:$J,28)</f>
        <v>0</v>
      </c>
      <c r="L59" s="59">
        <f>COUNTIFS(Nov!$B:$B,2052,Nov!$J:$J,28)</f>
        <v>0</v>
      </c>
      <c r="M59" s="59">
        <v>0</v>
      </c>
    </row>
    <row r="60" spans="1:13" s="8" customFormat="1" ht="11.25" customHeight="1">
      <c r="A60" s="10" t="s">
        <v>38</v>
      </c>
      <c r="B60" s="59">
        <f>COUNTIFS(Jan!$B:$B,2052,Jan!$J:$J,6100)</f>
        <v>0</v>
      </c>
      <c r="C60" s="59">
        <v>2</v>
      </c>
      <c r="D60" s="59">
        <f>COUNTIFS(Mar!$B:$B,2052,Mar!$J:$J,6100)</f>
        <v>0</v>
      </c>
      <c r="E60" s="59">
        <v>1</v>
      </c>
      <c r="F60" s="59">
        <f>COUNTIFS(May!$B:$B,2052,May!$J:$J,6100)</f>
        <v>0</v>
      </c>
      <c r="G60" s="59">
        <v>1</v>
      </c>
      <c r="H60" s="59">
        <f>COUNTIFS(Jul!$B:$B,2052,Jul!$J:$J,6100)</f>
        <v>0</v>
      </c>
      <c r="I60" s="59">
        <f>COUNTIFS(Aug!$B:$B,2052,Aug!$J:$J,6100)</f>
        <v>0</v>
      </c>
      <c r="J60" s="59">
        <f>COUNTIFS(Sep!$B:$B,2052,Sep!$J:$J,6100)</f>
        <v>0</v>
      </c>
      <c r="K60" s="59">
        <v>2</v>
      </c>
      <c r="L60" s="59">
        <f>COUNTIFS(Nov!$B:$B,2052,Nov!$J:$J,6100)</f>
        <v>0</v>
      </c>
      <c r="M60" s="59">
        <v>1</v>
      </c>
    </row>
    <row r="61" spans="1:13" s="8" customFormat="1" ht="11.25" customHeight="1">
      <c r="A61" s="10" t="s">
        <v>9</v>
      </c>
      <c r="B61" s="59">
        <f>COUNTIFS(Jan!$B:$B,2052,Jan!$J:$J,6)</f>
        <v>0</v>
      </c>
      <c r="C61" s="59">
        <v>1</v>
      </c>
      <c r="D61" s="59">
        <f>COUNTIFS(Mar!$B:$B,2052,Mar!$J:$J,6)</f>
        <v>0</v>
      </c>
      <c r="E61" s="59">
        <f>COUNTIFS(Apr!$B:$B,2052,Apr!$J:$J,6)</f>
        <v>0</v>
      </c>
      <c r="F61" s="59">
        <f>COUNTIFS(May!$B:$B,2052,May!$J:$J,6)</f>
        <v>0</v>
      </c>
      <c r="G61" s="59">
        <f>COUNTIFS(Jun!$B:$B,2052,Jun!$J:$J,6)</f>
        <v>0</v>
      </c>
      <c r="H61" s="59">
        <f>COUNTIFS(Jul!$B:$B,2052,Jul!$J:$J,6)</f>
        <v>0</v>
      </c>
      <c r="I61" s="59">
        <f>COUNTIFS(Aug!$B:$B,2052,Aug!$J:$J,6)</f>
        <v>0</v>
      </c>
      <c r="J61" s="59">
        <f>COUNTIFS(Sep!$B:$B,2052,Sep!$J:$J,6)</f>
        <v>0</v>
      </c>
      <c r="K61" s="59">
        <v>1</v>
      </c>
      <c r="L61" s="59">
        <f>COUNTIFS(Nov!$B:$B,2052,Nov!$J:$J,6)</f>
        <v>0</v>
      </c>
      <c r="M61" s="59">
        <v>0</v>
      </c>
    </row>
    <row r="62" spans="1:13" s="8" customFormat="1" ht="11.25" customHeight="1">
      <c r="A62" s="10" t="s">
        <v>8</v>
      </c>
      <c r="B62" s="59">
        <f>COUNTIFS(Jan!$B:$B,2052,Jan!$J:$J,4)</f>
        <v>0</v>
      </c>
      <c r="C62" s="59">
        <f>COUNTIFS(Feb!$B:$B,2052,Feb!$J:$J,4)</f>
        <v>0</v>
      </c>
      <c r="D62" s="59">
        <f>COUNTIFS(Mar!$B:$B,2052,Mar!$J:$J,4)</f>
        <v>0</v>
      </c>
      <c r="E62" s="59">
        <f>COUNTIFS(Apr!$B:$B,2052,Apr!$J:$J,4)</f>
        <v>0</v>
      </c>
      <c r="F62" s="59">
        <f>COUNTIFS(May!$B:$B,2052,May!$J:$J,4)</f>
        <v>0</v>
      </c>
      <c r="G62" s="59">
        <f>COUNTIFS(Jun!$B:$B,2052,Jun!$J:$J,4)</f>
        <v>0</v>
      </c>
      <c r="H62" s="59">
        <f>COUNTIFS(Jul!$B:$B,2052,Jul!$J:$J,4)</f>
        <v>0</v>
      </c>
      <c r="I62" s="59">
        <f>COUNTIFS(Aug!$B:$B,2052,Aug!$J:$J,4)</f>
        <v>0</v>
      </c>
      <c r="J62" s="59">
        <f>COUNTIFS(Sep!$B:$B,2052,Sep!$J:$J,4)</f>
        <v>0</v>
      </c>
      <c r="K62" s="59">
        <f>COUNTIFS(Oct!$B:$B,2052,Oct!$J:$J,4)</f>
        <v>0</v>
      </c>
      <c r="L62" s="59">
        <f>COUNTIFS(Nov!$B:$B,2052,Nov!$J:$J,4)</f>
        <v>0</v>
      </c>
      <c r="M62" s="59">
        <v>0</v>
      </c>
    </row>
    <row r="63" spans="1:13" s="8" customFormat="1" ht="11.25" customHeight="1">
      <c r="A63" s="10" t="s">
        <v>6</v>
      </c>
      <c r="B63" s="59">
        <f>COUNTIFS(Jan!$B:$B,2052,Jan!$J:$J,5)</f>
        <v>0</v>
      </c>
      <c r="C63" s="59">
        <f>COUNTIFS(Feb!$B:$B,2052,Feb!$J:$J,5)</f>
        <v>0</v>
      </c>
      <c r="D63" s="59">
        <f>COUNTIFS(Mar!$B:$B,2052,Mar!$J:$J,5)</f>
        <v>0</v>
      </c>
      <c r="E63" s="59">
        <f>COUNTIFS(Apr!$B:$B,2052,Apr!$J:$J,5)</f>
        <v>0</v>
      </c>
      <c r="F63" s="59">
        <v>1</v>
      </c>
      <c r="G63" s="59">
        <f>COUNTIFS(Jun!$B:$B,2052,Jun!$J:$J,5)</f>
        <v>0</v>
      </c>
      <c r="H63" s="59">
        <f>COUNTIFS(Jul!$B:$B,2052,Jul!$J:$J,5)</f>
        <v>0</v>
      </c>
      <c r="I63" s="59">
        <f>COUNTIFS(Aug!$B:$B,2052,Aug!$J:$J,5)</f>
        <v>0</v>
      </c>
      <c r="J63" s="59">
        <f>COUNTIFS(Sep!$B:$B,2052,Sep!$J:$J,5)</f>
        <v>0</v>
      </c>
      <c r="K63" s="59">
        <f>COUNTIFS(Oct!$B:$B,2052,Oct!$J:$J,5)</f>
        <v>0</v>
      </c>
      <c r="L63" s="59">
        <f>COUNTIFS(Nov!$B:$B,2052,Nov!$J:$J,5)</f>
        <v>0</v>
      </c>
      <c r="M63" s="59">
        <v>0</v>
      </c>
    </row>
    <row r="64" spans="1:13" s="8" customFormat="1" ht="11.25" customHeight="1">
      <c r="A64" s="52" t="s">
        <v>141</v>
      </c>
      <c r="B64" s="69">
        <f>COUNTIFS(Jan!$B:$B,2052,Jan!$F:$F,456)</f>
        <v>7</v>
      </c>
      <c r="C64" s="69">
        <v>4</v>
      </c>
      <c r="D64" s="69">
        <v>3</v>
      </c>
      <c r="E64" s="69">
        <v>1</v>
      </c>
      <c r="F64" s="69">
        <v>3</v>
      </c>
      <c r="G64" s="69">
        <f>COUNTIFS(Jun!$B:$B,2052,Jun!$F:$F,456)</f>
        <v>0</v>
      </c>
      <c r="H64" s="69">
        <v>1</v>
      </c>
      <c r="I64" s="69">
        <f>COUNTIFS(Aug!$B:$B,2052,Aug!$F:$F,456)</f>
        <v>0</v>
      </c>
      <c r="J64" s="69">
        <f>COUNTIFS(Sep!$B:$B,2052,Sep!$F:$F,456)</f>
        <v>0</v>
      </c>
      <c r="K64" s="69">
        <f>COUNTIFS(Oct!$B:$B,2052,Oct!$F:$F,456)</f>
        <v>0</v>
      </c>
      <c r="L64" s="69">
        <f>COUNTIFS(Nov!$B:$B,2052,Nov!$F:$F,456)</f>
        <v>0</v>
      </c>
      <c r="M64" s="69">
        <v>1</v>
      </c>
    </row>
    <row r="65" spans="1:13" s="8" customFormat="1" ht="11.25" customHeight="1" thickBot="1">
      <c r="A65" s="12" t="s">
        <v>16</v>
      </c>
      <c r="B65" s="70">
        <f>SUM(B54:B64)</f>
        <v>8</v>
      </c>
      <c r="C65" s="70">
        <f t="shared" ref="C65:M65" si="13">SUM(C54:C64)</f>
        <v>8</v>
      </c>
      <c r="D65" s="70">
        <f>SUM(D54:D64)</f>
        <v>4</v>
      </c>
      <c r="E65" s="70">
        <f>SUM(E54:E64)</f>
        <v>4</v>
      </c>
      <c r="F65" s="70">
        <f>SUM(F54:F64)</f>
        <v>6</v>
      </c>
      <c r="G65" s="70">
        <f>SUM(G54:G64)</f>
        <v>6</v>
      </c>
      <c r="H65" s="70">
        <f t="shared" si="13"/>
        <v>5</v>
      </c>
      <c r="I65" s="70">
        <f t="shared" si="13"/>
        <v>2</v>
      </c>
      <c r="J65" s="70">
        <f t="shared" si="13"/>
        <v>1</v>
      </c>
      <c r="K65" s="70">
        <f t="shared" si="13"/>
        <v>3</v>
      </c>
      <c r="L65" s="165">
        <f t="shared" si="13"/>
        <v>2</v>
      </c>
      <c r="M65" s="170">
        <f t="shared" si="13"/>
        <v>25</v>
      </c>
    </row>
    <row r="66" spans="1:13" s="8" customFormat="1" ht="15.75" customHeight="1">
      <c r="A66" s="6"/>
      <c r="B66" s="7"/>
      <c r="C66" s="7"/>
      <c r="D66" s="7"/>
      <c r="E66" s="7"/>
      <c r="F66" s="7"/>
      <c r="G66" s="7"/>
      <c r="H66" s="7"/>
      <c r="I66" s="7"/>
      <c r="J66" s="7"/>
      <c r="K66" s="7"/>
      <c r="L66" s="7"/>
      <c r="M66" s="7"/>
    </row>
    <row r="67" spans="1:13" ht="12" customHeight="1">
      <c r="A67" s="6"/>
      <c r="B67" s="7"/>
      <c r="C67" s="7"/>
      <c r="D67" s="7"/>
      <c r="E67" s="7"/>
      <c r="F67" s="7"/>
      <c r="G67" s="7"/>
      <c r="H67" s="7"/>
      <c r="I67" s="7"/>
      <c r="J67" s="7"/>
      <c r="K67" s="7"/>
      <c r="L67" s="7"/>
      <c r="M67" s="7"/>
    </row>
  </sheetData>
  <phoneticPr fontId="0" type="noConversion"/>
  <printOptions horizontalCentered="1" verticalCentered="1"/>
  <pageMargins left="0.14000000000000001" right="0.16" top="0.25" bottom="0.5" header="0.5" footer="0.25"/>
  <pageSetup scale="95" firstPageNumber="3" orientation="portrait" useFirstPageNumber="1" r:id="rId1"/>
  <headerFooter alignWithMargins="0">
    <oddFooter>&amp;R13 of 51</oddFooter>
  </headerFooter>
  <ignoredErrors>
    <ignoredError sqref="M32 M52 M65" formulaRange="1"/>
  </ignoredError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67"/>
  <sheetViews>
    <sheetView view="pageBreakPreview" topLeftCell="A28" zoomScale="90" zoomScaleNormal="100" zoomScaleSheetLayoutView="90" workbookViewId="0">
      <selection activeCell="M47" sqref="M47"/>
    </sheetView>
  </sheetViews>
  <sheetFormatPr defaultRowHeight="12.75"/>
  <cols>
    <col min="1" max="1" width="22.85546875" style="1" customWidth="1"/>
    <col min="2" max="13" width="7.140625" style="1" customWidth="1"/>
    <col min="14" max="14" width="4.42578125" style="1" customWidth="1"/>
    <col min="15" max="16384" width="9.140625" style="1"/>
  </cols>
  <sheetData>
    <row r="1" spans="1:21" ht="18" customHeight="1">
      <c r="A1" s="130"/>
      <c r="B1" s="131"/>
      <c r="C1" s="131"/>
      <c r="D1" s="131"/>
      <c r="E1" s="131"/>
      <c r="F1" s="131"/>
      <c r="G1" s="131"/>
      <c r="H1" s="130"/>
      <c r="I1" s="131"/>
      <c r="J1" s="131"/>
      <c r="K1" s="131"/>
      <c r="L1" s="130"/>
      <c r="M1" s="143" t="s">
        <v>199</v>
      </c>
    </row>
    <row r="2" spans="1:21" ht="18" customHeight="1">
      <c r="A2" s="130"/>
      <c r="B2" s="135"/>
      <c r="C2" s="135"/>
      <c r="D2" s="135"/>
      <c r="E2" s="135"/>
      <c r="F2" s="135"/>
      <c r="G2" s="135"/>
      <c r="H2" s="130"/>
      <c r="I2" s="135"/>
      <c r="J2" s="135"/>
      <c r="K2" s="135"/>
      <c r="L2" s="130"/>
      <c r="M2" s="155" t="s">
        <v>2183</v>
      </c>
    </row>
    <row r="3" spans="1:21" s="5" customFormat="1" ht="18" customHeight="1">
      <c r="A3" s="133"/>
      <c r="B3" s="133"/>
      <c r="C3" s="133"/>
      <c r="D3" s="133"/>
      <c r="E3" s="133"/>
      <c r="F3" s="133"/>
      <c r="G3" s="133"/>
      <c r="H3" s="133"/>
      <c r="I3" s="133"/>
      <c r="J3" s="136"/>
      <c r="K3" s="136"/>
      <c r="L3" s="133"/>
      <c r="M3" s="155" t="s">
        <v>207</v>
      </c>
      <c r="N3" s="134"/>
      <c r="O3" s="134"/>
      <c r="P3" s="134"/>
      <c r="Q3" s="134"/>
      <c r="R3" s="134"/>
      <c r="S3" s="134"/>
      <c r="T3" s="134"/>
      <c r="U3" s="134"/>
    </row>
    <row r="4" spans="1:21" s="8" customFormat="1" ht="6.75" customHeight="1" thickBot="1">
      <c r="A4" s="38"/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</row>
    <row r="5" spans="1:21" s="8" customFormat="1" ht="11.25" customHeight="1" thickBot="1">
      <c r="A5" s="53" t="s">
        <v>19</v>
      </c>
      <c r="B5" s="50">
        <v>41275</v>
      </c>
      <c r="C5" s="47">
        <v>41306</v>
      </c>
      <c r="D5" s="47">
        <v>41334</v>
      </c>
      <c r="E5" s="47">
        <v>41365</v>
      </c>
      <c r="F5" s="47">
        <v>41395</v>
      </c>
      <c r="G5" s="47">
        <v>41426</v>
      </c>
      <c r="H5" s="47">
        <v>41456</v>
      </c>
      <c r="I5" s="47">
        <v>41487</v>
      </c>
      <c r="J5" s="47">
        <v>41518</v>
      </c>
      <c r="K5" s="47">
        <v>41548</v>
      </c>
      <c r="L5" s="47">
        <v>41579</v>
      </c>
      <c r="M5" s="51">
        <v>41609</v>
      </c>
    </row>
    <row r="6" spans="1:21" s="8" customFormat="1" ht="11.25" customHeight="1">
      <c r="A6" s="41" t="s">
        <v>129</v>
      </c>
      <c r="B6" s="57">
        <f t="shared" ref="B6:M6" si="0">B32</f>
        <v>34</v>
      </c>
      <c r="C6" s="57">
        <f t="shared" si="0"/>
        <v>28</v>
      </c>
      <c r="D6" s="57">
        <f t="shared" si="0"/>
        <v>29</v>
      </c>
      <c r="E6" s="57">
        <f t="shared" si="0"/>
        <v>12</v>
      </c>
      <c r="F6" s="57">
        <f t="shared" si="0"/>
        <v>33</v>
      </c>
      <c r="G6" s="57">
        <f t="shared" si="0"/>
        <v>26</v>
      </c>
      <c r="H6" s="57">
        <f t="shared" si="0"/>
        <v>39</v>
      </c>
      <c r="I6" s="57">
        <f t="shared" si="0"/>
        <v>42</v>
      </c>
      <c r="J6" s="57">
        <f t="shared" si="0"/>
        <v>29</v>
      </c>
      <c r="K6" s="57">
        <f t="shared" si="0"/>
        <v>9</v>
      </c>
      <c r="L6" s="156">
        <f t="shared" si="0"/>
        <v>16</v>
      </c>
      <c r="M6" s="168">
        <f t="shared" si="0"/>
        <v>41</v>
      </c>
    </row>
    <row r="7" spans="1:21" s="8" customFormat="1" ht="11.25" customHeight="1">
      <c r="A7" s="42" t="s">
        <v>18</v>
      </c>
      <c r="B7" s="57">
        <f t="shared" ref="B7:M7" si="1">SUM(B10:B12)</f>
        <v>124</v>
      </c>
      <c r="C7" s="57">
        <f t="shared" si="1"/>
        <v>115</v>
      </c>
      <c r="D7" s="57">
        <f t="shared" si="1"/>
        <v>159</v>
      </c>
      <c r="E7" s="57">
        <f t="shared" si="1"/>
        <v>132</v>
      </c>
      <c r="F7" s="57">
        <f t="shared" si="1"/>
        <v>151</v>
      </c>
      <c r="G7" s="57">
        <f t="shared" si="1"/>
        <v>158</v>
      </c>
      <c r="H7" s="57">
        <f t="shared" si="1"/>
        <v>181</v>
      </c>
      <c r="I7" s="57">
        <f t="shared" si="1"/>
        <v>218</v>
      </c>
      <c r="J7" s="57">
        <f t="shared" si="1"/>
        <v>130</v>
      </c>
      <c r="K7" s="57">
        <f t="shared" si="1"/>
        <v>103</v>
      </c>
      <c r="L7" s="156">
        <f t="shared" si="1"/>
        <v>93</v>
      </c>
      <c r="M7" s="171">
        <f t="shared" si="1"/>
        <v>146</v>
      </c>
    </row>
    <row r="8" spans="1:21" s="8" customFormat="1" ht="11.25" customHeight="1" thickBot="1">
      <c r="A8" s="43" t="s">
        <v>14</v>
      </c>
      <c r="B8" s="58">
        <f t="shared" ref="B8:M8" si="2">SUM(B6:B7)</f>
        <v>158</v>
      </c>
      <c r="C8" s="58">
        <f t="shared" si="2"/>
        <v>143</v>
      </c>
      <c r="D8" s="58">
        <f t="shared" si="2"/>
        <v>188</v>
      </c>
      <c r="E8" s="58">
        <f t="shared" si="2"/>
        <v>144</v>
      </c>
      <c r="F8" s="58">
        <f t="shared" si="2"/>
        <v>184</v>
      </c>
      <c r="G8" s="58">
        <f t="shared" si="2"/>
        <v>184</v>
      </c>
      <c r="H8" s="58">
        <f t="shared" si="2"/>
        <v>220</v>
      </c>
      <c r="I8" s="58">
        <f t="shared" si="2"/>
        <v>260</v>
      </c>
      <c r="J8" s="58">
        <f t="shared" si="2"/>
        <v>159</v>
      </c>
      <c r="K8" s="58">
        <f t="shared" si="2"/>
        <v>112</v>
      </c>
      <c r="L8" s="157">
        <f t="shared" si="2"/>
        <v>109</v>
      </c>
      <c r="M8" s="172">
        <f t="shared" si="2"/>
        <v>187</v>
      </c>
    </row>
    <row r="9" spans="1:21" s="8" customFormat="1" ht="11.25" customHeight="1" thickBot="1">
      <c r="A9" s="54" t="s">
        <v>18</v>
      </c>
      <c r="B9" s="50">
        <v>41275</v>
      </c>
      <c r="C9" s="47">
        <v>41306</v>
      </c>
      <c r="D9" s="47">
        <v>41334</v>
      </c>
      <c r="E9" s="47">
        <v>41365</v>
      </c>
      <c r="F9" s="47">
        <v>41395</v>
      </c>
      <c r="G9" s="47">
        <v>41426</v>
      </c>
      <c r="H9" s="47">
        <v>41456</v>
      </c>
      <c r="I9" s="47">
        <v>41487</v>
      </c>
      <c r="J9" s="47">
        <v>41518</v>
      </c>
      <c r="K9" s="47">
        <v>41548</v>
      </c>
      <c r="L9" s="47">
        <v>41579</v>
      </c>
      <c r="M9" s="51">
        <v>41609</v>
      </c>
    </row>
    <row r="10" spans="1:21" s="8" customFormat="1" ht="11.25" customHeight="1">
      <c r="A10" s="9" t="s">
        <v>128</v>
      </c>
      <c r="B10" s="57">
        <f t="shared" ref="B10:M10" si="3">B52</f>
        <v>76</v>
      </c>
      <c r="C10" s="57">
        <f t="shared" si="3"/>
        <v>86</v>
      </c>
      <c r="D10" s="57">
        <f t="shared" si="3"/>
        <v>102</v>
      </c>
      <c r="E10" s="57">
        <f t="shared" si="3"/>
        <v>85</v>
      </c>
      <c r="F10" s="57">
        <f t="shared" si="3"/>
        <v>102</v>
      </c>
      <c r="G10" s="59">
        <f t="shared" si="3"/>
        <v>102</v>
      </c>
      <c r="H10" s="59">
        <f t="shared" si="3"/>
        <v>128</v>
      </c>
      <c r="I10" s="59">
        <f t="shared" si="3"/>
        <v>158</v>
      </c>
      <c r="J10" s="59">
        <f t="shared" si="3"/>
        <v>78</v>
      </c>
      <c r="K10" s="59">
        <f t="shared" si="3"/>
        <v>67</v>
      </c>
      <c r="L10" s="158">
        <f t="shared" si="3"/>
        <v>52</v>
      </c>
      <c r="M10" s="168">
        <f t="shared" si="3"/>
        <v>88</v>
      </c>
    </row>
    <row r="11" spans="1:21" s="8" customFormat="1" ht="11.25" customHeight="1">
      <c r="A11" s="9" t="s">
        <v>127</v>
      </c>
      <c r="B11" s="59">
        <f t="shared" ref="B11:M11" si="4">B65</f>
        <v>27</v>
      </c>
      <c r="C11" s="59">
        <f t="shared" si="4"/>
        <v>10</v>
      </c>
      <c r="D11" s="59">
        <f t="shared" si="4"/>
        <v>9</v>
      </c>
      <c r="E11" s="59">
        <f t="shared" si="4"/>
        <v>11</v>
      </c>
      <c r="F11" s="59">
        <f t="shared" si="4"/>
        <v>7</v>
      </c>
      <c r="G11" s="59">
        <f t="shared" si="4"/>
        <v>1</v>
      </c>
      <c r="H11" s="59">
        <f t="shared" si="4"/>
        <v>7</v>
      </c>
      <c r="I11" s="59">
        <f t="shared" si="4"/>
        <v>11</v>
      </c>
      <c r="J11" s="59">
        <f t="shared" si="4"/>
        <v>10</v>
      </c>
      <c r="K11" s="59">
        <f t="shared" si="4"/>
        <v>4</v>
      </c>
      <c r="L11" s="158">
        <f t="shared" si="4"/>
        <v>9</v>
      </c>
      <c r="M11" s="169">
        <f t="shared" si="4"/>
        <v>14</v>
      </c>
    </row>
    <row r="12" spans="1:21" s="8" customFormat="1" ht="11.25" customHeight="1" thickBot="1">
      <c r="A12" s="2" t="s">
        <v>12</v>
      </c>
      <c r="B12" s="60">
        <f>COUNTIFS(Jan!$B:$B,2053,Jan!$F:$F,800)</f>
        <v>21</v>
      </c>
      <c r="C12" s="60">
        <v>19</v>
      </c>
      <c r="D12" s="60">
        <v>48</v>
      </c>
      <c r="E12" s="60">
        <v>36</v>
      </c>
      <c r="F12" s="60">
        <v>42</v>
      </c>
      <c r="G12" s="60">
        <v>55</v>
      </c>
      <c r="H12" s="60">
        <v>46</v>
      </c>
      <c r="I12" s="60">
        <v>49</v>
      </c>
      <c r="J12" s="60">
        <v>42</v>
      </c>
      <c r="K12" s="60">
        <v>32</v>
      </c>
      <c r="L12" s="60">
        <v>32</v>
      </c>
      <c r="M12" s="60">
        <v>44</v>
      </c>
    </row>
    <row r="13" spans="1:21" s="8" customFormat="1" ht="5.0999999999999996" customHeight="1" thickBot="1">
      <c r="A13" s="3"/>
      <c r="B13" s="17"/>
      <c r="C13" s="17"/>
      <c r="D13" s="17"/>
      <c r="E13" s="17"/>
      <c r="F13" s="17"/>
      <c r="G13" s="17"/>
      <c r="H13" s="17"/>
      <c r="I13" s="17"/>
      <c r="J13" s="17"/>
      <c r="K13" s="17"/>
      <c r="L13" s="17"/>
      <c r="M13" s="147"/>
    </row>
    <row r="14" spans="1:21" s="16" customFormat="1" ht="11.25" customHeight="1">
      <c r="A14" s="44" t="s">
        <v>131</v>
      </c>
      <c r="B14" s="120">
        <v>6487</v>
      </c>
      <c r="C14" s="120">
        <v>6185</v>
      </c>
      <c r="D14" s="120">
        <v>7423</v>
      </c>
      <c r="E14" s="120">
        <v>8421</v>
      </c>
      <c r="F14" s="120">
        <v>7510</v>
      </c>
      <c r="G14" s="120">
        <v>7580</v>
      </c>
      <c r="H14" s="119">
        <v>6596</v>
      </c>
      <c r="I14" s="61">
        <v>6807.5</v>
      </c>
      <c r="J14" s="61">
        <v>6582</v>
      </c>
      <c r="K14" s="118">
        <v>9127</v>
      </c>
      <c r="L14" s="160">
        <v>7780</v>
      </c>
      <c r="M14" s="173">
        <v>6632</v>
      </c>
      <c r="O14" s="22"/>
      <c r="P14" s="22"/>
      <c r="Q14" s="22"/>
    </row>
    <row r="15" spans="1:21" s="8" customFormat="1" ht="11.25" customHeight="1">
      <c r="A15" s="45" t="s">
        <v>132</v>
      </c>
      <c r="B15" s="62">
        <f>IFERROR((SUMIFS(Jan!$N:$N,Jan!$J:$J,1,Jan!$B:$B,2053)+SUMIFS(Jan!$N:$N,Jan!$D:$D,"&gt;1",Jan!$B:$B,2053))/(COUNTIFS(Jan!$J:$J,1,Jan!$B:$B,2053)+COUNTIFS(Jan!$D:$D,"&gt;1",Jan!$B:$B,2053)),"")</f>
        <v>32.46153846153846</v>
      </c>
      <c r="C15" s="62">
        <v>31.29</v>
      </c>
      <c r="D15" s="62">
        <v>31.62</v>
      </c>
      <c r="E15" s="62">
        <v>31.54</v>
      </c>
      <c r="F15" s="62">
        <v>30.69</v>
      </c>
      <c r="G15" s="62">
        <v>31.2</v>
      </c>
      <c r="H15" s="62">
        <v>31.38</v>
      </c>
      <c r="I15" s="62">
        <v>31.49</v>
      </c>
      <c r="J15" s="62">
        <v>29.14</v>
      </c>
      <c r="K15" s="62">
        <v>31.72</v>
      </c>
      <c r="L15" s="62">
        <v>32.19</v>
      </c>
      <c r="M15" s="62">
        <v>28.46</v>
      </c>
      <c r="N15" s="15"/>
      <c r="O15" s="1"/>
      <c r="P15" s="1"/>
      <c r="Q15" s="1"/>
    </row>
    <row r="16" spans="1:21" s="8" customFormat="1" ht="11.25" customHeight="1">
      <c r="A16" s="45" t="s">
        <v>133</v>
      </c>
      <c r="B16" s="62">
        <f>IFERROR(AVERAGEIFS(Jan!$N:$N,Jan!$F:$F,800,Jan!$B:$B,2053),"")</f>
        <v>31.38095238095238</v>
      </c>
      <c r="C16" s="62">
        <v>29.62</v>
      </c>
      <c r="D16" s="62">
        <v>33.85</v>
      </c>
      <c r="E16" s="62">
        <v>32.950000000000003</v>
      </c>
      <c r="F16" s="62">
        <v>32.83</v>
      </c>
      <c r="G16" s="62">
        <v>33.18</v>
      </c>
      <c r="H16" s="62">
        <v>33.71</v>
      </c>
      <c r="I16" s="62">
        <v>31.91</v>
      </c>
      <c r="J16" s="62">
        <v>30.78</v>
      </c>
      <c r="K16" s="62">
        <v>32.520000000000003</v>
      </c>
      <c r="L16" s="62">
        <v>32.67</v>
      </c>
      <c r="M16" s="62">
        <v>29.83</v>
      </c>
      <c r="O16" s="1"/>
      <c r="P16" s="1"/>
      <c r="Q16" s="1"/>
    </row>
    <row r="17" spans="1:17" s="8" customFormat="1" ht="11.25" customHeight="1">
      <c r="A17" s="45" t="s">
        <v>134</v>
      </c>
      <c r="B17" s="63">
        <f>IFERROR((SUMIFS(Jan!$M:$M,Jan!$J:$J,1,Jan!$B:$B,2053)+SUMIFS(Jan!$M:$M,Jan!$D:$D,"&gt;1",Jan!$B:$B,2053))/(COUNTIFS(Jan!$J:$J,1,Jan!$B:$B,2053)+COUNTIFS(Jan!$D:$D,"&gt;1",Jan!$B:$B,2053)),"")</f>
        <v>0.6923076923076924</v>
      </c>
      <c r="C17" s="63">
        <v>1.73</v>
      </c>
      <c r="D17" s="63">
        <v>1.74</v>
      </c>
      <c r="E17" s="63">
        <v>1.39</v>
      </c>
      <c r="F17" s="63">
        <v>1.06</v>
      </c>
      <c r="G17" s="63">
        <v>1.81</v>
      </c>
      <c r="H17" s="63">
        <v>1.8</v>
      </c>
      <c r="I17" s="63">
        <v>1.87</v>
      </c>
      <c r="J17" s="63">
        <v>1.85</v>
      </c>
      <c r="K17" s="63">
        <v>0.81</v>
      </c>
      <c r="L17" s="63">
        <v>1.22</v>
      </c>
      <c r="M17" s="63">
        <v>1.69</v>
      </c>
      <c r="O17" s="1"/>
      <c r="P17" s="1"/>
      <c r="Q17" s="1"/>
    </row>
    <row r="18" spans="1:17" s="8" customFormat="1" ht="11.25" customHeight="1" thickBot="1">
      <c r="A18" s="43" t="s">
        <v>135</v>
      </c>
      <c r="B18" s="64">
        <f>IFERROR(AVERAGEIFS(Jan!$M:$M,Jan!$F:$F,800,Jan!$B:$B,2053),"")</f>
        <v>0.70952380952380956</v>
      </c>
      <c r="C18" s="64">
        <v>0.72</v>
      </c>
      <c r="D18" s="64">
        <v>0.72</v>
      </c>
      <c r="E18" s="64">
        <v>0.79</v>
      </c>
      <c r="F18" s="64">
        <v>0.63</v>
      </c>
      <c r="G18" s="64">
        <v>0.63</v>
      </c>
      <c r="H18" s="64">
        <v>0.62</v>
      </c>
      <c r="I18" s="64">
        <v>1.39</v>
      </c>
      <c r="J18" s="64">
        <v>0.7</v>
      </c>
      <c r="K18" s="64">
        <v>0.7</v>
      </c>
      <c r="L18" s="64">
        <v>0.53</v>
      </c>
      <c r="M18" s="64">
        <v>1.33</v>
      </c>
    </row>
    <row r="19" spans="1:17" s="8" customFormat="1" ht="5.0999999999999996" customHeight="1" thickBot="1">
      <c r="A19" s="3"/>
      <c r="B19" s="17"/>
      <c r="C19" s="17"/>
      <c r="D19" s="17"/>
      <c r="E19" s="17"/>
      <c r="F19" s="17"/>
      <c r="G19" s="17"/>
      <c r="H19" s="17"/>
      <c r="I19" s="17"/>
      <c r="J19" s="17"/>
      <c r="K19" s="17"/>
      <c r="L19" s="17"/>
      <c r="M19" s="147"/>
    </row>
    <row r="20" spans="1:17" s="8" customFormat="1" ht="11.25" customHeight="1">
      <c r="A20" s="42" t="s">
        <v>52</v>
      </c>
      <c r="B20" s="65">
        <v>31</v>
      </c>
      <c r="C20" s="65">
        <v>28</v>
      </c>
      <c r="D20" s="65">
        <v>31</v>
      </c>
      <c r="E20" s="65">
        <v>30</v>
      </c>
      <c r="F20" s="65">
        <v>31</v>
      </c>
      <c r="G20" s="65">
        <v>30</v>
      </c>
      <c r="H20" s="65">
        <v>31</v>
      </c>
      <c r="I20" s="65">
        <v>31</v>
      </c>
      <c r="J20" s="65">
        <v>30</v>
      </c>
      <c r="K20" s="65">
        <v>31</v>
      </c>
      <c r="L20" s="161">
        <v>30</v>
      </c>
      <c r="M20" s="174">
        <v>31</v>
      </c>
    </row>
    <row r="21" spans="1:17" s="8" customFormat="1" ht="11.25" customHeight="1">
      <c r="A21" s="9" t="s">
        <v>15</v>
      </c>
      <c r="B21" s="66">
        <f>B12/B20</f>
        <v>0.67741935483870963</v>
      </c>
      <c r="C21" s="66">
        <f t="shared" ref="C21:M21" si="5">C12/C20</f>
        <v>0.6785714285714286</v>
      </c>
      <c r="D21" s="66">
        <f>D12/D20</f>
        <v>1.5483870967741935</v>
      </c>
      <c r="E21" s="66">
        <f>E12/E20</f>
        <v>1.2</v>
      </c>
      <c r="F21" s="66">
        <f>F12/F20</f>
        <v>1.3548387096774193</v>
      </c>
      <c r="G21" s="66">
        <f>G12/G20</f>
        <v>1.8333333333333333</v>
      </c>
      <c r="H21" s="66">
        <f t="shared" si="5"/>
        <v>1.4838709677419355</v>
      </c>
      <c r="I21" s="66">
        <f t="shared" si="5"/>
        <v>1.5806451612903225</v>
      </c>
      <c r="J21" s="66">
        <f t="shared" si="5"/>
        <v>1.4</v>
      </c>
      <c r="K21" s="66">
        <f t="shared" si="5"/>
        <v>1.032258064516129</v>
      </c>
      <c r="L21" s="162">
        <f t="shared" si="5"/>
        <v>1.0666666666666667</v>
      </c>
      <c r="M21" s="175">
        <f t="shared" si="5"/>
        <v>1.4193548387096775</v>
      </c>
    </row>
    <row r="22" spans="1:17" s="8" customFormat="1" ht="11.25" customHeight="1">
      <c r="A22" s="9" t="s">
        <v>130</v>
      </c>
      <c r="B22" s="67">
        <f t="shared" ref="B22:G22" si="6">IFERROR(B12/B7,0)</f>
        <v>0.16935483870967741</v>
      </c>
      <c r="C22" s="67">
        <f t="shared" si="6"/>
        <v>0.16521739130434782</v>
      </c>
      <c r="D22" s="67">
        <f t="shared" si="6"/>
        <v>0.30188679245283018</v>
      </c>
      <c r="E22" s="67">
        <f t="shared" si="6"/>
        <v>0.27272727272727271</v>
      </c>
      <c r="F22" s="67">
        <f t="shared" si="6"/>
        <v>0.27814569536423839</v>
      </c>
      <c r="G22" s="67">
        <f t="shared" si="6"/>
        <v>0.34810126582278483</v>
      </c>
      <c r="H22" s="67">
        <f t="shared" ref="H22:M22" si="7">IFERROR(H12/H7,0)</f>
        <v>0.2541436464088398</v>
      </c>
      <c r="I22" s="67">
        <f t="shared" si="7"/>
        <v>0.22477064220183487</v>
      </c>
      <c r="J22" s="67">
        <f t="shared" si="7"/>
        <v>0.32307692307692309</v>
      </c>
      <c r="K22" s="116">
        <f t="shared" si="7"/>
        <v>0.31067961165048541</v>
      </c>
      <c r="L22" s="67">
        <f t="shared" si="7"/>
        <v>0.34408602150537637</v>
      </c>
      <c r="M22" s="176">
        <f t="shared" si="7"/>
        <v>0.30136986301369861</v>
      </c>
      <c r="N22" s="1"/>
    </row>
    <row r="23" spans="1:17" s="8" customFormat="1" ht="11.25" customHeight="1" thickBot="1">
      <c r="A23" s="9" t="s">
        <v>53</v>
      </c>
      <c r="B23" s="67">
        <f t="shared" ref="B23:G23" si="8">IFERROR(B12/(B11+B12),0)</f>
        <v>0.4375</v>
      </c>
      <c r="C23" s="67">
        <f t="shared" si="8"/>
        <v>0.65517241379310343</v>
      </c>
      <c r="D23" s="67">
        <f t="shared" si="8"/>
        <v>0.84210526315789469</v>
      </c>
      <c r="E23" s="67">
        <f t="shared" si="8"/>
        <v>0.76595744680851063</v>
      </c>
      <c r="F23" s="67">
        <f t="shared" si="8"/>
        <v>0.8571428571428571</v>
      </c>
      <c r="G23" s="67">
        <f t="shared" si="8"/>
        <v>0.9821428571428571</v>
      </c>
      <c r="H23" s="67">
        <f t="shared" ref="H23:M23" si="9">IFERROR(H12/(H11+H12),0)</f>
        <v>0.86792452830188682</v>
      </c>
      <c r="I23" s="67">
        <f t="shared" si="9"/>
        <v>0.81666666666666665</v>
      </c>
      <c r="J23" s="67">
        <f t="shared" si="9"/>
        <v>0.80769230769230771</v>
      </c>
      <c r="K23" s="117">
        <f t="shared" si="9"/>
        <v>0.88888888888888884</v>
      </c>
      <c r="L23" s="163">
        <f t="shared" si="9"/>
        <v>0.78048780487804881</v>
      </c>
      <c r="M23" s="177">
        <f t="shared" si="9"/>
        <v>0.75862068965517238</v>
      </c>
      <c r="N23" s="4"/>
    </row>
    <row r="24" spans="1:17" s="8" customFormat="1" ht="11.25" customHeight="1" thickBot="1">
      <c r="A24" s="56" t="s">
        <v>21</v>
      </c>
      <c r="B24" s="50">
        <v>41275</v>
      </c>
      <c r="C24" s="47">
        <v>41306</v>
      </c>
      <c r="D24" s="47">
        <v>41334</v>
      </c>
      <c r="E24" s="47">
        <v>41365</v>
      </c>
      <c r="F24" s="47">
        <v>41395</v>
      </c>
      <c r="G24" s="47">
        <v>41426</v>
      </c>
      <c r="H24" s="47">
        <v>41456</v>
      </c>
      <c r="I24" s="47">
        <v>41487</v>
      </c>
      <c r="J24" s="47">
        <v>41518</v>
      </c>
      <c r="K24" s="47">
        <v>41548</v>
      </c>
      <c r="L24" s="47">
        <v>41579</v>
      </c>
      <c r="M24" s="51">
        <v>41609</v>
      </c>
    </row>
    <row r="25" spans="1:17" s="8" customFormat="1" ht="11.25" customHeight="1">
      <c r="A25" s="18" t="s">
        <v>5</v>
      </c>
      <c r="B25" s="68">
        <f>COUNTIFS(Jan!$B:$B,2053,Jan!$J:$J,18)</f>
        <v>9</v>
      </c>
      <c r="C25" s="68">
        <v>9</v>
      </c>
      <c r="D25" s="68">
        <v>14</v>
      </c>
      <c r="E25" s="68">
        <v>3</v>
      </c>
      <c r="F25" s="68">
        <v>9</v>
      </c>
      <c r="G25" s="68">
        <v>11</v>
      </c>
      <c r="H25" s="68">
        <v>23</v>
      </c>
      <c r="I25" s="68">
        <v>21</v>
      </c>
      <c r="J25" s="68">
        <v>10</v>
      </c>
      <c r="K25" s="68">
        <v>2</v>
      </c>
      <c r="L25" s="68">
        <v>5</v>
      </c>
      <c r="M25" s="68">
        <v>14</v>
      </c>
    </row>
    <row r="26" spans="1:17" s="8" customFormat="1" ht="11.25" customHeight="1">
      <c r="A26" s="46" t="s">
        <v>40</v>
      </c>
      <c r="B26" s="57">
        <f>COUNTIFS(Jan!$B:$B,2053,Jan!$J:$J,41)</f>
        <v>0</v>
      </c>
      <c r="C26" s="57">
        <f>COUNTIFS(Feb!$B:$B,2053,Feb!$J:$J,41)</f>
        <v>0</v>
      </c>
      <c r="D26" s="57">
        <f>COUNTIFS(Mar!$B:$B,2053,Mar!$J:$J,41)</f>
        <v>0</v>
      </c>
      <c r="E26" s="57">
        <f>COUNTIFS(Apr!$B:$B,2053,Apr!$J:$J,41)</f>
        <v>0</v>
      </c>
      <c r="F26" s="57">
        <v>8</v>
      </c>
      <c r="G26" s="57">
        <f>COUNTIFS(Jun!$B:$B,2053,Jun!$J:$J,41)</f>
        <v>0</v>
      </c>
      <c r="H26" s="57">
        <f>COUNTIFS(Jul!$B:$B,2053,Jul!$J:$J,41)</f>
        <v>0</v>
      </c>
      <c r="I26" s="57">
        <f>COUNTIFS(Aug!$B:$B,2053,Aug!$J:$J,41)</f>
        <v>0</v>
      </c>
      <c r="J26" s="57">
        <f>COUNTIFS(Sep!$B:$B,2053,Sep!$J:$J,41)</f>
        <v>0</v>
      </c>
      <c r="K26" s="57">
        <f>COUNTIFS(Oct!$B:$B,2053,Oct!$J:$J,41)</f>
        <v>0</v>
      </c>
      <c r="L26" s="57">
        <f>COUNTIFS(Nov!$B:$B,2053,Nov!$J:$J,41)</f>
        <v>0</v>
      </c>
      <c r="M26" s="57">
        <v>0</v>
      </c>
    </row>
    <row r="27" spans="1:17" s="8" customFormat="1" ht="11.25" customHeight="1">
      <c r="A27" s="9" t="s">
        <v>11</v>
      </c>
      <c r="B27" s="179">
        <f>COUNTIFS(Jan!$B:$B,2053,Jan!$J:$J,17)</f>
        <v>15</v>
      </c>
      <c r="C27" s="206">
        <v>14</v>
      </c>
      <c r="D27" s="206">
        <v>14</v>
      </c>
      <c r="E27" s="206">
        <v>8</v>
      </c>
      <c r="F27" s="206">
        <v>12</v>
      </c>
      <c r="G27" s="206">
        <v>10</v>
      </c>
      <c r="H27" s="206">
        <v>12</v>
      </c>
      <c r="I27" s="206">
        <v>19</v>
      </c>
      <c r="J27" s="206">
        <v>17</v>
      </c>
      <c r="K27" s="206">
        <v>7</v>
      </c>
      <c r="L27" s="206">
        <v>8</v>
      </c>
      <c r="M27" s="206">
        <v>22</v>
      </c>
    </row>
    <row r="28" spans="1:17" s="8" customFormat="1" ht="11.25" customHeight="1">
      <c r="A28" s="9" t="s">
        <v>143</v>
      </c>
      <c r="B28" s="59">
        <f>COUNTIFS(Jan!$B:$B,2053,Jan!$F:$F,455)</f>
        <v>0</v>
      </c>
      <c r="C28" s="59">
        <f>COUNTIFS(Feb!$B:$B,2053,Feb!$F:$F,455)</f>
        <v>0</v>
      </c>
      <c r="D28" s="59">
        <f>COUNTIFS(Mar!$B:$B,2053,Mar!$F:$F,455)</f>
        <v>0</v>
      </c>
      <c r="E28" s="59">
        <f>COUNTIFS(Apr!$B:$B,2053,Apr!$F:$F,455)</f>
        <v>0</v>
      </c>
      <c r="F28" s="59">
        <f>COUNTIFS(May!$B:$B,2053,May!$F:$F,455)</f>
        <v>0</v>
      </c>
      <c r="G28" s="59">
        <f>COUNTIFS(Jun!$B:$B,2053,Jun!$F:$F,455)</f>
        <v>0</v>
      </c>
      <c r="H28" s="59">
        <f>COUNTIFS(Jul!$B:$B,2053,Jul!$F:$F,455)</f>
        <v>0</v>
      </c>
      <c r="I28" s="59">
        <f>COUNTIFS(Aug!$B:$B,2053,Aug!$F:$F,455)</f>
        <v>0</v>
      </c>
      <c r="J28" s="59">
        <f>COUNTIFS(Sep!$B:$B,2053,Sep!$F:$F,455)</f>
        <v>0</v>
      </c>
      <c r="K28" s="59">
        <f>COUNTIFS(Oct!$B:$B,2053,Oct!$F:$F,455)</f>
        <v>0</v>
      </c>
      <c r="L28" s="59">
        <f>COUNTIFS(Nov!$B:$B,2053,Nov!$F:$F,455)</f>
        <v>0</v>
      </c>
      <c r="M28" s="59">
        <v>0</v>
      </c>
    </row>
    <row r="29" spans="1:17" s="8" customFormat="1" ht="11.25" customHeight="1">
      <c r="A29" s="9" t="s">
        <v>23</v>
      </c>
      <c r="B29" s="59">
        <f>COUNTIFS(Jan!$B:$B,2053,Jan!$J:$J,31)</f>
        <v>0</v>
      </c>
      <c r="C29" s="59">
        <f>COUNTIFS(Feb!$B:$B,2053,Feb!$J:$J,31)</f>
        <v>0</v>
      </c>
      <c r="D29" s="59">
        <f>COUNTIFS(Mar!$B:$B,2053,Mar!$J:$J,31)</f>
        <v>0</v>
      </c>
      <c r="E29" s="59">
        <f>COUNTIFS(Apr!$B:$B,2053,Apr!$J:$J,31)</f>
        <v>0</v>
      </c>
      <c r="F29" s="59">
        <f>COUNTIFS(May!$B:$B,2053,May!$J:$J,31)</f>
        <v>0</v>
      </c>
      <c r="G29" s="59">
        <f>COUNTIFS(Jun!$B:$B,2053,Jun!$J:$J,31)</f>
        <v>0</v>
      </c>
      <c r="H29" s="59">
        <f>COUNTIFS(Jul!$B:$B,2053,Jul!$J:$J,31)</f>
        <v>0</v>
      </c>
      <c r="I29" s="59">
        <f>COUNTIFS(Aug!$B:$B,2053,Aug!$J:$J,31)</f>
        <v>0</v>
      </c>
      <c r="J29" s="59">
        <f>COUNTIFS(Sep!$B:$B,2053,Sep!$J:$J,31)</f>
        <v>0</v>
      </c>
      <c r="K29" s="59">
        <f>COUNTIFS(Oct!$B:$B,2053,Oct!$J:$J,31)</f>
        <v>0</v>
      </c>
      <c r="L29" s="59">
        <f>COUNTIFS(Nov!$B:$B,2053,Nov!$J:$J,31)</f>
        <v>0</v>
      </c>
      <c r="M29" s="59">
        <v>0</v>
      </c>
    </row>
    <row r="30" spans="1:17" s="8" customFormat="1" ht="11.25" customHeight="1">
      <c r="A30" s="9" t="s">
        <v>37</v>
      </c>
      <c r="B30" s="59">
        <f>COUNTIFS(Jan!$B:$B,2053,Jan!$J:$J,4400)</f>
        <v>10</v>
      </c>
      <c r="C30" s="59">
        <v>5</v>
      </c>
      <c r="D30" s="59">
        <v>1</v>
      </c>
      <c r="E30" s="59">
        <v>1</v>
      </c>
      <c r="F30" s="59">
        <v>4</v>
      </c>
      <c r="G30" s="59">
        <v>5</v>
      </c>
      <c r="H30" s="59">
        <v>4</v>
      </c>
      <c r="I30" s="59">
        <v>2</v>
      </c>
      <c r="J30" s="59">
        <v>2</v>
      </c>
      <c r="K30" s="59">
        <f>COUNTIFS(Oct!$B:$B,2053,Oct!$J:$J,4400)</f>
        <v>0</v>
      </c>
      <c r="L30" s="59">
        <v>3</v>
      </c>
      <c r="M30" s="59">
        <v>5</v>
      </c>
    </row>
    <row r="31" spans="1:17" s="8" customFormat="1" ht="11.25" customHeight="1">
      <c r="A31" s="10" t="s">
        <v>24</v>
      </c>
      <c r="B31" s="59">
        <f>COUNTIFS(Jan!$B:$B,2053,Jan!$J:$J,30)</f>
        <v>0</v>
      </c>
      <c r="C31" s="59">
        <f>COUNTIFS(Feb!$B:$B,2053,Feb!$J:$J,30)</f>
        <v>0</v>
      </c>
      <c r="D31" s="59">
        <f>COUNTIFS(Mar!$B:$B,2053,Mar!$J:$J,30)</f>
        <v>0</v>
      </c>
      <c r="E31" s="59">
        <f>COUNTIFS(Apr!$B:$B,2053,Apr!$J:$J,30)</f>
        <v>0</v>
      </c>
      <c r="F31" s="59">
        <f>COUNTIFS(May!$B:$B,2053,May!$J:$J,30)</f>
        <v>0</v>
      </c>
      <c r="G31" s="59">
        <f>COUNTIFS(Jun!$B:$B,2053,Jun!$J:$J,30)</f>
        <v>0</v>
      </c>
      <c r="H31" s="59">
        <f>COUNTIFS(Jul!$B:$B,2053,Jul!$J:$J,30)</f>
        <v>0</v>
      </c>
      <c r="I31" s="59">
        <f>COUNTIFS(Aug!$B:$B,2053,Aug!$J:$J,30)</f>
        <v>0</v>
      </c>
      <c r="J31" s="59">
        <f>COUNTIFS(Sep!$B:$B,2053,Sep!$J:$J,30)</f>
        <v>0</v>
      </c>
      <c r="K31" s="59">
        <f>COUNTIFS(Oct!$B:$B,2053,Oct!$J:$J,30)</f>
        <v>0</v>
      </c>
      <c r="L31" s="59">
        <f>COUNTIFS(Nov!$B:$B,2053,Nov!$J:$J,30)</f>
        <v>0</v>
      </c>
      <c r="M31" s="59">
        <v>0</v>
      </c>
    </row>
    <row r="32" spans="1:17" s="14" customFormat="1" ht="11.25" customHeight="1" thickBot="1">
      <c r="A32" s="2" t="s">
        <v>140</v>
      </c>
      <c r="B32" s="60">
        <f>SUM(B25:B31)</f>
        <v>34</v>
      </c>
      <c r="C32" s="60">
        <f t="shared" ref="C32:M32" si="10">SUM(C25:C31)</f>
        <v>28</v>
      </c>
      <c r="D32" s="60">
        <f>SUM(D25:D31)</f>
        <v>29</v>
      </c>
      <c r="E32" s="60">
        <f>SUM(E25:E31)</f>
        <v>12</v>
      </c>
      <c r="F32" s="60">
        <f>SUM(F25:F31)</f>
        <v>33</v>
      </c>
      <c r="G32" s="60">
        <f>SUM(G25:G31)</f>
        <v>26</v>
      </c>
      <c r="H32" s="60">
        <f t="shared" si="10"/>
        <v>39</v>
      </c>
      <c r="I32" s="60">
        <f t="shared" si="10"/>
        <v>42</v>
      </c>
      <c r="J32" s="60">
        <f t="shared" si="10"/>
        <v>29</v>
      </c>
      <c r="K32" s="60">
        <f t="shared" si="10"/>
        <v>9</v>
      </c>
      <c r="L32" s="159">
        <f t="shared" si="10"/>
        <v>16</v>
      </c>
      <c r="M32" s="170">
        <f t="shared" si="10"/>
        <v>41</v>
      </c>
    </row>
    <row r="33" spans="1:13" ht="12" customHeight="1" thickBot="1">
      <c r="A33" s="55" t="s">
        <v>136</v>
      </c>
      <c r="B33" s="50">
        <v>41275</v>
      </c>
      <c r="C33" s="47">
        <v>41306</v>
      </c>
      <c r="D33" s="47">
        <v>41334</v>
      </c>
      <c r="E33" s="47">
        <v>41365</v>
      </c>
      <c r="F33" s="47">
        <v>41395</v>
      </c>
      <c r="G33" s="47">
        <v>41426</v>
      </c>
      <c r="H33" s="47">
        <v>41456</v>
      </c>
      <c r="I33" s="47">
        <v>41487</v>
      </c>
      <c r="J33" s="47">
        <v>41518</v>
      </c>
      <c r="K33" s="47">
        <v>41548</v>
      </c>
      <c r="L33" s="47">
        <v>41579</v>
      </c>
      <c r="M33" s="51">
        <v>41609</v>
      </c>
    </row>
    <row r="34" spans="1:13" s="8" customFormat="1" ht="11.25" customHeight="1">
      <c r="A34" s="46" t="s">
        <v>33</v>
      </c>
      <c r="B34" s="57">
        <f>COUNTIFS(Jan!$B:$B,2053,Jan!$J:$J,40)</f>
        <v>0</v>
      </c>
      <c r="C34" s="57">
        <f>COUNTIFS(Feb!$B:$B,2053,Feb!$J:$J,40)</f>
        <v>0</v>
      </c>
      <c r="D34" s="57">
        <f>COUNTIFS(Mar!$B:$B,2053,Mar!$J:$J,40)</f>
        <v>0</v>
      </c>
      <c r="E34" s="57">
        <v>1</v>
      </c>
      <c r="F34" s="57">
        <f>COUNTIFS(May!$B:$B,2053,May!$J:$J,40)</f>
        <v>0</v>
      </c>
      <c r="G34" s="57">
        <f>COUNTIFS(Jun!$B:$B,2053,Jun!$J:$J,40)</f>
        <v>0</v>
      </c>
      <c r="H34" s="57">
        <f>COUNTIFS(Jul!$B:$B,2053,Jul!$J:$J,40)</f>
        <v>0</v>
      </c>
      <c r="I34" s="57">
        <f>COUNTIFS(Aug!$B:$B,2053,Aug!$J:$J,40)</f>
        <v>0</v>
      </c>
      <c r="J34" s="57">
        <f>COUNTIFS(Sep!$B:$B,2053,Sep!$J:$J,40)</f>
        <v>0</v>
      </c>
      <c r="K34" s="57">
        <f>COUNTIFS(Oct!$B:$B,2053,Oct!$J:$J,40)</f>
        <v>0</v>
      </c>
      <c r="L34" s="57">
        <f>COUNTIFS(Nov!$B:$B,2053,Nov!$J:$J,40)</f>
        <v>0</v>
      </c>
      <c r="M34" s="57">
        <v>0</v>
      </c>
    </row>
    <row r="35" spans="1:13" s="8" customFormat="1" ht="11.25" customHeight="1">
      <c r="A35" s="10" t="s">
        <v>4</v>
      </c>
      <c r="B35" s="59">
        <f>COUNTIFS(Jan!$B:$B,2053,Jan!$J:$J,15)</f>
        <v>7</v>
      </c>
      <c r="C35" s="59">
        <v>6</v>
      </c>
      <c r="D35" s="59">
        <v>4</v>
      </c>
      <c r="E35" s="59">
        <v>4</v>
      </c>
      <c r="F35" s="59">
        <v>3</v>
      </c>
      <c r="G35" s="59">
        <v>4</v>
      </c>
      <c r="H35" s="59">
        <v>7</v>
      </c>
      <c r="I35" s="59">
        <v>7</v>
      </c>
      <c r="J35" s="59">
        <v>4</v>
      </c>
      <c r="K35" s="59">
        <v>4</v>
      </c>
      <c r="L35" s="59">
        <v>1</v>
      </c>
      <c r="M35" s="59">
        <v>3</v>
      </c>
    </row>
    <row r="36" spans="1:13" s="8" customFormat="1" ht="11.25" customHeight="1">
      <c r="A36" s="10" t="s">
        <v>39</v>
      </c>
      <c r="B36" s="59">
        <f>COUNTIFS(Jan!$B:$B,2053,Jan!$J:$J,29)</f>
        <v>5</v>
      </c>
      <c r="C36" s="59">
        <v>8</v>
      </c>
      <c r="D36" s="59">
        <v>6</v>
      </c>
      <c r="E36" s="59">
        <v>7</v>
      </c>
      <c r="F36" s="59">
        <v>6</v>
      </c>
      <c r="G36" s="59">
        <v>5</v>
      </c>
      <c r="H36" s="59">
        <v>6</v>
      </c>
      <c r="I36" s="59">
        <v>8</v>
      </c>
      <c r="J36" s="59">
        <v>12</v>
      </c>
      <c r="K36" s="59">
        <v>10</v>
      </c>
      <c r="L36" s="59">
        <v>4</v>
      </c>
      <c r="M36" s="59">
        <v>7</v>
      </c>
    </row>
    <row r="37" spans="1:13" s="8" customFormat="1" ht="11.25" customHeight="1">
      <c r="A37" s="10" t="s">
        <v>3</v>
      </c>
      <c r="B37" s="59">
        <f>COUNTIFS(Jan!$B:$B,2053,Jan!$J:$J,13)</f>
        <v>1</v>
      </c>
      <c r="C37" s="59">
        <f>COUNTIFS(Feb!$B:$B,2053,Feb!$J:$J,13)</f>
        <v>0</v>
      </c>
      <c r="D37" s="59">
        <v>3</v>
      </c>
      <c r="E37" s="59">
        <v>1</v>
      </c>
      <c r="F37" s="59">
        <v>1</v>
      </c>
      <c r="G37" s="59">
        <v>4</v>
      </c>
      <c r="H37" s="59">
        <f>COUNTIFS(Jul!$B:$B,2053,Jul!$J:$J,13)</f>
        <v>0</v>
      </c>
      <c r="I37" s="59">
        <v>1</v>
      </c>
      <c r="J37" s="59">
        <v>1</v>
      </c>
      <c r="K37" s="59">
        <v>2</v>
      </c>
      <c r="L37" s="59">
        <v>1</v>
      </c>
      <c r="M37" s="59">
        <v>2</v>
      </c>
    </row>
    <row r="38" spans="1:13" s="8" customFormat="1" ht="11.25" customHeight="1">
      <c r="A38" s="9" t="s">
        <v>218</v>
      </c>
      <c r="B38" s="59">
        <f>COUNTIFS(Jan!$B:$B,2053,Jan!$J:$J,43)</f>
        <v>6</v>
      </c>
      <c r="C38" s="59">
        <v>4</v>
      </c>
      <c r="D38" s="59">
        <v>6</v>
      </c>
      <c r="E38" s="59">
        <v>8</v>
      </c>
      <c r="F38" s="59">
        <v>4</v>
      </c>
      <c r="G38" s="59">
        <v>4</v>
      </c>
      <c r="H38" s="59">
        <v>6</v>
      </c>
      <c r="I38" s="59">
        <v>6</v>
      </c>
      <c r="J38" s="59">
        <v>1</v>
      </c>
      <c r="K38" s="59">
        <v>2</v>
      </c>
      <c r="L38" s="59">
        <v>3</v>
      </c>
      <c r="M38" s="59">
        <v>5</v>
      </c>
    </row>
    <row r="39" spans="1:13" s="8" customFormat="1" ht="11.25" customHeight="1">
      <c r="A39" s="10" t="s">
        <v>25</v>
      </c>
      <c r="B39" s="59">
        <f>COUNTIFS(Jan!$B:$B,2053,Jan!$J:$J,24)</f>
        <v>10</v>
      </c>
      <c r="C39" s="59">
        <v>6</v>
      </c>
      <c r="D39" s="59">
        <v>7</v>
      </c>
      <c r="E39" s="59">
        <v>7</v>
      </c>
      <c r="F39" s="59">
        <v>8</v>
      </c>
      <c r="G39" s="59">
        <v>13</v>
      </c>
      <c r="H39" s="59">
        <v>14</v>
      </c>
      <c r="I39" s="59">
        <v>15</v>
      </c>
      <c r="J39" s="59">
        <v>8</v>
      </c>
      <c r="K39" s="59">
        <v>5</v>
      </c>
      <c r="L39" s="59">
        <v>7</v>
      </c>
      <c r="M39" s="59">
        <v>6</v>
      </c>
    </row>
    <row r="40" spans="1:13" s="8" customFormat="1" ht="11.25" customHeight="1">
      <c r="A40" s="10" t="s">
        <v>34</v>
      </c>
      <c r="B40" s="59">
        <f>COUNTIFS(Jan!$B:$B,2053,Jan!$J:$J,9)</f>
        <v>0</v>
      </c>
      <c r="C40" s="59">
        <f>COUNTIFS(Feb!$B:$B,2053,Feb!$J:$J,9)</f>
        <v>0</v>
      </c>
      <c r="D40" s="59">
        <f>COUNTIFS(Mar!$B:$B,2053,Mar!$J:$J,9)</f>
        <v>0</v>
      </c>
      <c r="E40" s="59">
        <f>COUNTIFS(Apr!$B:$B,2053,Apr!$J:$J,9)</f>
        <v>0</v>
      </c>
      <c r="F40" s="59">
        <f>COUNTIFS(May!$B:$B,2053,May!$J:$J,9)</f>
        <v>0</v>
      </c>
      <c r="G40" s="59">
        <f>COUNTIFS(Jun!$B:$B,2053,Jun!$J:$J,9)</f>
        <v>0</v>
      </c>
      <c r="H40" s="59">
        <f>COUNTIFS(Jul!$B:$B,2053,Jul!$J:$J,9)</f>
        <v>0</v>
      </c>
      <c r="I40" s="59">
        <f>COUNTIFS(Aug!$B:$B,2053,Aug!$J:$J,9)</f>
        <v>0</v>
      </c>
      <c r="J40" s="59">
        <f>COUNTIFS(Sep!$B:$B,2053,Sep!$J:$J,9)</f>
        <v>0</v>
      </c>
      <c r="K40" s="59">
        <f>COUNTIFS(Oct!$B:$B,2053,Oct!$J:$J,9)</f>
        <v>0</v>
      </c>
      <c r="L40" s="59">
        <f>COUNTIFS(Nov!$B:$B,2053,Nov!$J:$J,9)</f>
        <v>0</v>
      </c>
      <c r="M40" s="59">
        <v>0</v>
      </c>
    </row>
    <row r="41" spans="1:13" s="8" customFormat="1" ht="11.25" customHeight="1">
      <c r="A41" s="10" t="s">
        <v>31</v>
      </c>
      <c r="B41" s="59">
        <f>COUNTIFS(Jan!$B:$B,2053,Jan!$J:$J,10)</f>
        <v>3</v>
      </c>
      <c r="C41" s="59">
        <v>2</v>
      </c>
      <c r="D41" s="59">
        <v>11</v>
      </c>
      <c r="E41" s="59">
        <v>7</v>
      </c>
      <c r="F41" s="59">
        <v>16</v>
      </c>
      <c r="G41" s="59">
        <v>17</v>
      </c>
      <c r="H41" s="59">
        <v>15</v>
      </c>
      <c r="I41" s="59">
        <v>19</v>
      </c>
      <c r="J41" s="59">
        <v>2</v>
      </c>
      <c r="K41" s="59">
        <v>1</v>
      </c>
      <c r="L41" s="59">
        <v>2</v>
      </c>
      <c r="M41" s="59">
        <v>3</v>
      </c>
    </row>
    <row r="42" spans="1:13" s="8" customFormat="1" ht="11.25" customHeight="1">
      <c r="A42" s="10" t="s">
        <v>144</v>
      </c>
      <c r="B42" s="59">
        <f>COUNTIFS(Jan!$B:$B,2053,Jan!$F:$F,462)</f>
        <v>1</v>
      </c>
      <c r="C42" s="59">
        <f>COUNTIFS(Feb!$B:$B,2053,Feb!$F:$F,462)</f>
        <v>0</v>
      </c>
      <c r="D42" s="59">
        <f>COUNTIFS(Mar!$B:$B,2053,Mar!$F:$F,462)</f>
        <v>0</v>
      </c>
      <c r="E42" s="59">
        <v>1</v>
      </c>
      <c r="F42" s="59">
        <f>COUNTIFS(May!$B:$B,2053,May!$F:$F,462)</f>
        <v>0</v>
      </c>
      <c r="G42" s="59">
        <f>COUNTIFS(Jun!$B:$B,2053,Jun!$F:$F,462)</f>
        <v>0</v>
      </c>
      <c r="H42" s="59">
        <f>COUNTIFS(Jul!$B:$B,2053,Jul!$F:$F,462)</f>
        <v>0</v>
      </c>
      <c r="I42" s="59">
        <f>COUNTIFS(Aug!$B:$B,2053,Aug!$F:$F,462)</f>
        <v>0</v>
      </c>
      <c r="J42" s="59">
        <f>COUNTIFS(Sep!$B:$B,2053,Sep!$F:$F,462)</f>
        <v>0</v>
      </c>
      <c r="K42" s="59">
        <v>1</v>
      </c>
      <c r="L42" s="59">
        <f>COUNTIFS(Nov!$B:$B,2053,Nov!$F:$F,462)</f>
        <v>0</v>
      </c>
      <c r="M42" s="59">
        <v>0</v>
      </c>
    </row>
    <row r="43" spans="1:13" s="8" customFormat="1" ht="11.25" customHeight="1">
      <c r="A43" s="10" t="s">
        <v>1</v>
      </c>
      <c r="B43" s="59">
        <f>COUNTIFS(Jan!$B:$B,2053,Jan!$J:$J,11)</f>
        <v>22</v>
      </c>
      <c r="C43" s="59">
        <v>34</v>
      </c>
      <c r="D43" s="59">
        <v>35</v>
      </c>
      <c r="E43" s="59">
        <v>29</v>
      </c>
      <c r="F43" s="59">
        <v>39</v>
      </c>
      <c r="G43" s="59">
        <v>30</v>
      </c>
      <c r="H43" s="59">
        <v>41</v>
      </c>
      <c r="I43" s="59">
        <v>52</v>
      </c>
      <c r="J43" s="59">
        <v>29</v>
      </c>
      <c r="K43" s="59">
        <v>30</v>
      </c>
      <c r="L43" s="59">
        <v>16</v>
      </c>
      <c r="M43" s="59">
        <v>34</v>
      </c>
    </row>
    <row r="44" spans="1:13" s="8" customFormat="1" ht="11.25" customHeight="1">
      <c r="A44" s="10" t="s">
        <v>26</v>
      </c>
      <c r="B44" s="59">
        <f>COUNTIFS(Jan!$B:$B,2053,Jan!$J:$J,20)</f>
        <v>0</v>
      </c>
      <c r="C44" s="59">
        <v>1</v>
      </c>
      <c r="D44" s="59">
        <f>COUNTIFS(Mar!$B:$B,2053,Mar!$J:$J,20)</f>
        <v>0</v>
      </c>
      <c r="E44" s="59">
        <f>COUNTIFS(Apr!$B:$B,2053,Apr!$J:$J,20)</f>
        <v>0</v>
      </c>
      <c r="F44" s="59">
        <f>COUNTIFS(May!$B:$B,2053,May!$J:$J,20)</f>
        <v>0</v>
      </c>
      <c r="G44" s="59">
        <f>COUNTIFS(Jun!$B:$B,2053,Jun!$J:$J,20)</f>
        <v>0</v>
      </c>
      <c r="H44" s="59">
        <v>1</v>
      </c>
      <c r="I44" s="59">
        <v>3</v>
      </c>
      <c r="J44" s="59">
        <f>COUNTIFS(Sep!$B:$B,2053,Sep!$J:$J,20)</f>
        <v>0</v>
      </c>
      <c r="K44" s="59">
        <f>COUNTIFS(Oct!$B:$B,2053,Oct!$J:$J,20)</f>
        <v>0</v>
      </c>
      <c r="L44" s="59">
        <f>COUNTIFS(Nov!$B:$B,2053,Nov!$J:$J,20)</f>
        <v>0</v>
      </c>
      <c r="M44" s="59">
        <v>0</v>
      </c>
    </row>
    <row r="45" spans="1:13" s="8" customFormat="1" ht="11.25" customHeight="1">
      <c r="A45" s="10" t="s">
        <v>32</v>
      </c>
      <c r="B45" s="59">
        <f>COUNTIFS(Jan!$B:$B,2053,Jan!$J:$J,2)</f>
        <v>11</v>
      </c>
      <c r="C45" s="59">
        <v>17</v>
      </c>
      <c r="D45" s="59">
        <v>21</v>
      </c>
      <c r="E45" s="59">
        <v>14</v>
      </c>
      <c r="F45" s="59">
        <v>19</v>
      </c>
      <c r="G45" s="59">
        <v>20</v>
      </c>
      <c r="H45" s="59">
        <v>28</v>
      </c>
      <c r="I45" s="59">
        <v>37</v>
      </c>
      <c r="J45" s="59">
        <v>14</v>
      </c>
      <c r="K45" s="59">
        <v>10</v>
      </c>
      <c r="L45" s="59">
        <v>16</v>
      </c>
      <c r="M45" s="59">
        <v>19</v>
      </c>
    </row>
    <row r="46" spans="1:13" s="8" customFormat="1" ht="11.25" customHeight="1">
      <c r="A46" s="10" t="s">
        <v>28</v>
      </c>
      <c r="B46" s="59">
        <f>COUNTIFS(Jan!$B:$B,2053,Jan!$J:$J,1700)+COUNTIFS(Jan!$B:$B,2053,Jan!$F:$F,1700)+COUNTIFS(Jan!$B:$B,2053,Jan!$J:$J,19)</f>
        <v>0</v>
      </c>
      <c r="C46" s="59">
        <f>COUNTIFS(Feb!$B:$B,2053,Feb!$J:$J,1700)+COUNTIFS(Feb!$B:$B,2053,Feb!$F:$F,1700)+COUNTIFS(Feb!$B:$B,2053,Feb!$J:$J,19)</f>
        <v>0</v>
      </c>
      <c r="D46" s="59">
        <f>COUNTIFS(Mar!$B:$B,2053,Mar!$J:$J,1700)+COUNTIFS(Mar!$B:$B,2053,Mar!$F:$F,1700)+COUNTIFS(Mar!$B:$B,2053,Mar!$J:$J,19)</f>
        <v>0</v>
      </c>
      <c r="E46" s="59">
        <f>COUNTIFS(Apr!$B:$B,2053,Apr!$J:$J,1700)+COUNTIFS(Apr!$B:$B,2053,Apr!$F:$F,1700)+COUNTIFS(Apr!$B:$B,2053,Apr!$J:$J,19)</f>
        <v>0</v>
      </c>
      <c r="F46" s="59">
        <f>COUNTIFS(May!$B:$B,2053,May!$J:$J,1700)+COUNTIFS(May!$B:$B,2053,May!$F:$F,1700)+COUNTIFS(May!$B:$B,2053,May!$J:$J,19)</f>
        <v>0</v>
      </c>
      <c r="G46" s="59">
        <f>COUNTIFS(Jun!$B:$B,2053,Jun!$J:$J,1700)+COUNTIFS(Jun!$B:$B,2053,Jun!$F:$F,1700)+COUNTIFS(Jun!$B:$B,2053,Jun!$J:$J,19)</f>
        <v>0</v>
      </c>
      <c r="H46" s="59">
        <f>COUNTIFS(Jul!$B:$B,2053,Jul!$J:$J,1700)+COUNTIFS(Jul!$B:$B,2053,Jul!$F:$F,1700)+COUNTIFS(Jul!$B:$B,2053,Jul!$J:$J,19)</f>
        <v>0</v>
      </c>
      <c r="I46" s="59">
        <v>3</v>
      </c>
      <c r="J46" s="59">
        <f>COUNTIFS(Sep!$B:$B,2053,Sep!$J:$J,1700)+COUNTIFS(Sep!$B:$B,2053,Sep!$F:$F,1700)+COUNTIFS(Sep!$B:$B,2053,Sep!$J:$J,19)</f>
        <v>0</v>
      </c>
      <c r="K46" s="59">
        <f>COUNTIFS(Oct!$B:$B,2053,Oct!$J:$J,1700)+COUNTIFS(Oct!$B:$B,2053,Oct!$F:$F,1700)+COUNTIFS(Oct!$B:$B,2053,Oct!$J:$J,19)</f>
        <v>0</v>
      </c>
      <c r="L46" s="59">
        <f>COUNTIFS(Nov!$B:$B,2053,Nov!$J:$J,1700)+COUNTIFS(Nov!$B:$B,2053,Nov!$F:$F,1700)+COUNTIFS(Nov!$B:$B,2053,Nov!$J:$J,19)</f>
        <v>0</v>
      </c>
      <c r="M46" s="59">
        <v>2</v>
      </c>
    </row>
    <row r="47" spans="1:13" s="8" customFormat="1" ht="11.25" customHeight="1">
      <c r="A47" s="10" t="s">
        <v>0</v>
      </c>
      <c r="B47" s="59">
        <f>COUNTIFS(Jan!$B:$B,2053,Jan!$J:$J,3)</f>
        <v>6</v>
      </c>
      <c r="C47" s="59">
        <v>6</v>
      </c>
      <c r="D47" s="59">
        <v>6</v>
      </c>
      <c r="E47" s="59">
        <v>3</v>
      </c>
      <c r="F47" s="59">
        <v>6</v>
      </c>
      <c r="G47" s="59">
        <v>3</v>
      </c>
      <c r="H47" s="59">
        <v>6</v>
      </c>
      <c r="I47" s="59">
        <v>4</v>
      </c>
      <c r="J47" s="59">
        <v>6</v>
      </c>
      <c r="K47" s="59">
        <v>2</v>
      </c>
      <c r="L47" s="59">
        <f>COUNTIFS(Nov!$B:$B,2053,Nov!$J:$J,3)</f>
        <v>0</v>
      </c>
      <c r="M47" s="59">
        <v>4</v>
      </c>
    </row>
    <row r="48" spans="1:13" s="8" customFormat="1" ht="11.25" customHeight="1">
      <c r="A48" s="10" t="s">
        <v>35</v>
      </c>
      <c r="B48" s="59">
        <f>COUNTIFS(Jan!$B:$B,2053,Jan!$J:$J,7400)</f>
        <v>1</v>
      </c>
      <c r="C48" s="59">
        <v>1</v>
      </c>
      <c r="D48" s="59">
        <v>1</v>
      </c>
      <c r="E48" s="59">
        <v>2</v>
      </c>
      <c r="F48" s="59">
        <f>COUNTIFS(May!$B:$B,2053,May!$J:$J,7400)</f>
        <v>0</v>
      </c>
      <c r="G48" s="59">
        <f>COUNTIFS(Jun!$B:$B,2053,Jun!$J:$J,7400)</f>
        <v>0</v>
      </c>
      <c r="H48" s="59">
        <f>COUNTIFS(Jul!$B:$B,2053,Jul!$J:$J,7400)</f>
        <v>0</v>
      </c>
      <c r="I48" s="59">
        <v>0</v>
      </c>
      <c r="J48" s="59">
        <f>COUNTIFS(Sep!$B:$B,2053,Sep!$J:$J,7400)</f>
        <v>0</v>
      </c>
      <c r="K48" s="59">
        <f>COUNTIFS(Oct!$B:$B,2053,Oct!$J:$J,7400)</f>
        <v>0</v>
      </c>
      <c r="L48" s="59">
        <f>COUNTIFS(Nov!$B:$B,2053,Nov!$J:$J,7400)</f>
        <v>0</v>
      </c>
      <c r="M48" s="59">
        <v>0</v>
      </c>
    </row>
    <row r="49" spans="1:13" s="8" customFormat="1" ht="11.25" customHeight="1">
      <c r="A49" s="10" t="s">
        <v>2</v>
      </c>
      <c r="B49" s="59">
        <f>COUNTIFS(Jan!$B:$B,2053,Jan!$J:$J,14)</f>
        <v>2</v>
      </c>
      <c r="C49" s="59">
        <v>1</v>
      </c>
      <c r="D49" s="59">
        <v>1</v>
      </c>
      <c r="E49" s="59">
        <v>1</v>
      </c>
      <c r="F49" s="59">
        <f>COUNTIFS(May!$B:$B,2053,May!$J:$J,14)</f>
        <v>0</v>
      </c>
      <c r="G49" s="59">
        <v>2</v>
      </c>
      <c r="H49" s="59">
        <v>4</v>
      </c>
      <c r="I49" s="59">
        <v>3</v>
      </c>
      <c r="J49" s="59">
        <f>COUNTIFS(Sep!$B:$B,2053,Sep!$J:$J,14)</f>
        <v>0</v>
      </c>
      <c r="K49" s="59">
        <f>COUNTIFS(Oct!$B:$B,2053,Oct!$J:$J,14)</f>
        <v>0</v>
      </c>
      <c r="L49" s="59">
        <v>2</v>
      </c>
      <c r="M49" s="59">
        <v>2</v>
      </c>
    </row>
    <row r="50" spans="1:13" s="8" customFormat="1" ht="11.25" customHeight="1">
      <c r="A50" s="10" t="s">
        <v>142</v>
      </c>
      <c r="B50" s="59">
        <f>COUNTIFS(Jan!$B:$B,2053,Jan!$F:$F,466)</f>
        <v>1</v>
      </c>
      <c r="C50" s="59">
        <f>COUNTIFS(Feb!$B:$B,2053,Feb!$F:$F,466)</f>
        <v>0</v>
      </c>
      <c r="D50" s="59">
        <v>1</v>
      </c>
      <c r="E50" s="59">
        <f>COUNTIFS(Apr!$B:$B,2053,Apr!$F:$F,466)</f>
        <v>0</v>
      </c>
      <c r="F50" s="59">
        <f>COUNTIFS(May!$B:$B,2053,May!$F:$F,466)</f>
        <v>0</v>
      </c>
      <c r="G50" s="59">
        <f>COUNTIFS(Jun!$B:$B,2053,Jun!$F:$F,466)</f>
        <v>0</v>
      </c>
      <c r="H50" s="59">
        <f>COUNTIFS(Jul!$B:$B,2053,Jul!$F:$F,466)</f>
        <v>0</v>
      </c>
      <c r="I50" s="59">
        <f>COUNTIFS(Aug!$B:$B,2053,Aug!$F:$F,466)</f>
        <v>0</v>
      </c>
      <c r="J50" s="59">
        <v>1</v>
      </c>
      <c r="K50" s="59">
        <f>COUNTIFS(Oct!$B:$B,2053,Oct!$F:$F,466)</f>
        <v>0</v>
      </c>
      <c r="L50" s="59">
        <f>COUNTIFS(Nov!$B:$B,2053,Nov!$F:$F,466)</f>
        <v>0</v>
      </c>
      <c r="M50" s="59">
        <v>1</v>
      </c>
    </row>
    <row r="51" spans="1:13" s="8" customFormat="1" ht="11.25" customHeight="1">
      <c r="A51" s="10" t="s">
        <v>27</v>
      </c>
      <c r="B51" s="59">
        <f>COUNTIFS(Jan!$B:$B,2053,Jan!$J:$J,25)</f>
        <v>0</v>
      </c>
      <c r="C51" s="59">
        <f>COUNTIFS(Feb!$B:$B,2053,Feb!$J:$J,25)</f>
        <v>0</v>
      </c>
      <c r="D51" s="59">
        <f>COUNTIFS(Mar!$B:$B,2053,Mar!$J:$J,25)</f>
        <v>0</v>
      </c>
      <c r="E51" s="59">
        <f>COUNTIFS(Apr!$B:$B,2053,Apr!$J:$J,25)</f>
        <v>0</v>
      </c>
      <c r="F51" s="59">
        <f>COUNTIFS(May!$B:$B,2053,May!$J:$J,25)</f>
        <v>0</v>
      </c>
      <c r="G51" s="59">
        <f>COUNTIFS(Jun!$B:$B,2053,Jun!$J:$J,25)</f>
        <v>0</v>
      </c>
      <c r="H51" s="59">
        <f>COUNTIFS(Jul!$B:$B,2053,Jul!$J:$J,25)</f>
        <v>0</v>
      </c>
      <c r="I51" s="59">
        <f>COUNTIFS(Aug!$B:$B,2053,Aug!$J:$J,25)</f>
        <v>0</v>
      </c>
      <c r="J51" s="59">
        <f>COUNTIFS(Sep!$B:$B,2053,Sep!$J:$J,25)</f>
        <v>0</v>
      </c>
      <c r="K51" s="59">
        <f>COUNTIFS(Oct!$B:$B,2053,Oct!$J:$J,25)</f>
        <v>0</v>
      </c>
      <c r="L51" s="59">
        <f>COUNTIFS(Nov!$B:$B,2053,Nov!$J:$J,25)</f>
        <v>0</v>
      </c>
      <c r="M51" s="59">
        <v>0</v>
      </c>
    </row>
    <row r="52" spans="1:13" s="8" customFormat="1" ht="11.25" customHeight="1" thickBot="1">
      <c r="A52" s="11" t="s">
        <v>16</v>
      </c>
      <c r="B52" s="60">
        <f t="shared" ref="B52:G52" si="11">SUM(B34:B51)</f>
        <v>76</v>
      </c>
      <c r="C52" s="60">
        <f t="shared" si="11"/>
        <v>86</v>
      </c>
      <c r="D52" s="60">
        <f t="shared" si="11"/>
        <v>102</v>
      </c>
      <c r="E52" s="60">
        <f t="shared" si="11"/>
        <v>85</v>
      </c>
      <c r="F52" s="60">
        <f t="shared" si="11"/>
        <v>102</v>
      </c>
      <c r="G52" s="60">
        <f t="shared" si="11"/>
        <v>102</v>
      </c>
      <c r="H52" s="60">
        <f t="shared" ref="H52:M52" si="12">SUM(H34:H51)</f>
        <v>128</v>
      </c>
      <c r="I52" s="60">
        <f t="shared" si="12"/>
        <v>158</v>
      </c>
      <c r="J52" s="60">
        <f t="shared" si="12"/>
        <v>78</v>
      </c>
      <c r="K52" s="60">
        <f t="shared" si="12"/>
        <v>67</v>
      </c>
      <c r="L52" s="159">
        <f t="shared" si="12"/>
        <v>52</v>
      </c>
      <c r="M52" s="170">
        <f t="shared" si="12"/>
        <v>88</v>
      </c>
    </row>
    <row r="53" spans="1:13" ht="12" customHeight="1" thickBot="1">
      <c r="A53" s="55" t="s">
        <v>137</v>
      </c>
      <c r="B53" s="50">
        <v>41275</v>
      </c>
      <c r="C53" s="47">
        <v>41306</v>
      </c>
      <c r="D53" s="47">
        <v>41334</v>
      </c>
      <c r="E53" s="47">
        <v>41365</v>
      </c>
      <c r="F53" s="47">
        <v>41395</v>
      </c>
      <c r="G53" s="47">
        <v>41426</v>
      </c>
      <c r="H53" s="47">
        <v>41456</v>
      </c>
      <c r="I53" s="47">
        <v>41487</v>
      </c>
      <c r="J53" s="47">
        <v>41518</v>
      </c>
      <c r="K53" s="47">
        <v>41548</v>
      </c>
      <c r="L53" s="47">
        <v>41579</v>
      </c>
      <c r="M53" s="51">
        <v>41609</v>
      </c>
    </row>
    <row r="54" spans="1:13" s="8" customFormat="1" ht="11.25" customHeight="1">
      <c r="A54" s="10" t="s">
        <v>30</v>
      </c>
      <c r="B54" s="57">
        <f>COUNTIFS(Jan!$B:$B,2053,Jan!$J:$J,7)</f>
        <v>5</v>
      </c>
      <c r="C54" s="57">
        <v>1</v>
      </c>
      <c r="D54" s="57">
        <v>2</v>
      </c>
      <c r="E54" s="57">
        <v>2</v>
      </c>
      <c r="F54" s="57">
        <v>2</v>
      </c>
      <c r="G54" s="57">
        <f>COUNTIFS(Jun!$B:$B,2053,Jun!$J:$J,7)</f>
        <v>0</v>
      </c>
      <c r="H54" s="57">
        <v>2</v>
      </c>
      <c r="I54" s="57">
        <v>4</v>
      </c>
      <c r="J54" s="57">
        <v>4</v>
      </c>
      <c r="K54" s="57">
        <f>COUNTIFS(Oct!$B:$B,2053,Oct!$J:$J,7)</f>
        <v>0</v>
      </c>
      <c r="L54" s="57">
        <v>2</v>
      </c>
      <c r="M54" s="57">
        <v>6</v>
      </c>
    </row>
    <row r="55" spans="1:13" s="8" customFormat="1" ht="11.25" customHeight="1">
      <c r="A55" s="10" t="s">
        <v>29</v>
      </c>
      <c r="B55" s="59">
        <f>COUNTIFS(Jan!$B:$B,2053,Jan!$J:$J,8)</f>
        <v>0</v>
      </c>
      <c r="C55" s="59">
        <f>COUNTIFS(Feb!$B:$B,2053,Feb!$J:$J,8)</f>
        <v>0</v>
      </c>
      <c r="D55" s="59">
        <f>COUNTIFS(Mar!$B:$B,2053,Mar!$J:$J,8)</f>
        <v>0</v>
      </c>
      <c r="E55" s="59">
        <f>COUNTIFS(Apr!$B:$B,2053,Apr!$J:$J,8)</f>
        <v>0</v>
      </c>
      <c r="F55" s="59">
        <f>COUNTIFS(May!$B:$B,2053,May!$J:$J,8)</f>
        <v>0</v>
      </c>
      <c r="G55" s="59">
        <f>COUNTIFS(Jun!$B:$B,2053,Jun!$J:$J,8)</f>
        <v>0</v>
      </c>
      <c r="H55" s="59">
        <f>COUNTIFS(Jul!$B:$B,2053,Jul!$J:$J,8)</f>
        <v>0</v>
      </c>
      <c r="I55" s="59">
        <f>COUNTIFS(Aug!$B:$B,2053,Aug!$J:$J,8)</f>
        <v>0</v>
      </c>
      <c r="J55" s="59">
        <v>1</v>
      </c>
      <c r="K55" s="59">
        <f>COUNTIFS(Oct!$B:$B,2053,Oct!$J:$J,8)</f>
        <v>0</v>
      </c>
      <c r="L55" s="59">
        <f>COUNTIFS(Nov!$B:$B,2053,Nov!$J:$J,8)</f>
        <v>0</v>
      </c>
      <c r="M55" s="59">
        <v>1</v>
      </c>
    </row>
    <row r="56" spans="1:13" s="8" customFormat="1" ht="11.25" customHeight="1">
      <c r="A56" s="10" t="s">
        <v>7</v>
      </c>
      <c r="B56" s="59">
        <f>COUNTIFS(Jan!$B:$B,2053,Jan!$J:$J,12)</f>
        <v>6</v>
      </c>
      <c r="C56" s="59">
        <v>2</v>
      </c>
      <c r="D56" s="59">
        <v>3</v>
      </c>
      <c r="E56" s="59">
        <v>2</v>
      </c>
      <c r="F56" s="59">
        <v>1</v>
      </c>
      <c r="G56" s="59">
        <f>COUNTIFS(Jun!$B:$B,2053,Jun!$J:$J,12)</f>
        <v>0</v>
      </c>
      <c r="H56" s="59">
        <v>3</v>
      </c>
      <c r="I56" s="59">
        <v>6</v>
      </c>
      <c r="J56" s="59">
        <v>5</v>
      </c>
      <c r="K56" s="59">
        <v>4</v>
      </c>
      <c r="L56" s="59">
        <v>6</v>
      </c>
      <c r="M56" s="59">
        <v>6</v>
      </c>
    </row>
    <row r="57" spans="1:13" s="8" customFormat="1" ht="11.25" customHeight="1">
      <c r="A57" s="10" t="s">
        <v>10</v>
      </c>
      <c r="B57" s="59">
        <f>COUNTIFS(Jan!$B:$B,2053,Jan!$J:$J,5100)</f>
        <v>0</v>
      </c>
      <c r="C57" s="59">
        <f>COUNTIFS(Feb!$B:$B,2053,Feb!$J:$J,5100)</f>
        <v>0</v>
      </c>
      <c r="D57" s="59">
        <f>COUNTIFS(Mar!$B:$B,2053,Mar!$J:$J,5100)</f>
        <v>0</v>
      </c>
      <c r="E57" s="59">
        <f>COUNTIFS(Apr!$B:$B,2053,Apr!$J:$J,5100)</f>
        <v>0</v>
      </c>
      <c r="F57" s="59">
        <f>COUNTIFS(May!$B:$B,2053,May!$J:$J,5100)</f>
        <v>0</v>
      </c>
      <c r="G57" s="59">
        <f>COUNTIFS(Jun!$B:$B,2053,Jun!$J:$J,5100)</f>
        <v>0</v>
      </c>
      <c r="H57" s="59">
        <f>COUNTIFS(Jul!$B:$B,2053,Jul!$J:$J,5100)</f>
        <v>0</v>
      </c>
      <c r="I57" s="59">
        <f>COUNTIFS(Aug!$B:$B,2053,Aug!$J:$J,5100)</f>
        <v>0</v>
      </c>
      <c r="J57" s="59">
        <f>COUNTIFS(Sep!$B:$B,2053,Sep!$J:$J,5100)</f>
        <v>0</v>
      </c>
      <c r="K57" s="59">
        <f>COUNTIFS(Oct!$B:$B,2053,Oct!$J:$J,5100)</f>
        <v>0</v>
      </c>
      <c r="L57" s="59">
        <f>COUNTIFS(Nov!$B:$B,2053,Nov!$J:$J,5100)</f>
        <v>0</v>
      </c>
      <c r="M57" s="59">
        <v>0</v>
      </c>
    </row>
    <row r="58" spans="1:13" s="8" customFormat="1" ht="11.25" customHeight="1">
      <c r="A58" s="10" t="s">
        <v>36</v>
      </c>
      <c r="B58" s="59">
        <f>COUNTIFS(Jan!$B:$B,2053,Jan!$J:$J,6200)</f>
        <v>0</v>
      </c>
      <c r="C58" s="59">
        <f>COUNTIFS(Feb!$B:$B,2053,Feb!$J:$J,6200)</f>
        <v>0</v>
      </c>
      <c r="D58" s="59">
        <f>COUNTIFS(Mar!$B:$B,2053,Mar!$J:$J,6200)</f>
        <v>0</v>
      </c>
      <c r="E58" s="59">
        <f>COUNTIFS(Apr!$B:$B,2053,Apr!$J:$J,6200)</f>
        <v>0</v>
      </c>
      <c r="F58" s="59">
        <f>COUNTIFS(May!$B:$B,2053,May!$J:$J,6200)</f>
        <v>0</v>
      </c>
      <c r="G58" s="59">
        <f>COUNTIFS(Jun!$B:$B,2053,Jun!$J:$J,6200)</f>
        <v>0</v>
      </c>
      <c r="H58" s="59">
        <f>COUNTIFS(Jul!$B:$B,2053,Jul!$J:$J,6200)</f>
        <v>0</v>
      </c>
      <c r="I58" s="59">
        <f>COUNTIFS(Aug!$B:$B,2053,Aug!$J:$J,6200)</f>
        <v>0</v>
      </c>
      <c r="J58" s="59">
        <f>COUNTIFS(Sep!$B:$B,2053,Sep!$J:$J,6200)</f>
        <v>0</v>
      </c>
      <c r="K58" s="59">
        <f>COUNTIFS(Oct!$B:$B,2053,Oct!$J:$J,6200)</f>
        <v>0</v>
      </c>
      <c r="L58" s="59">
        <f>COUNTIFS(Nov!$B:$B,2053,Nov!$J:$J,6200)</f>
        <v>0</v>
      </c>
      <c r="M58" s="59">
        <v>0</v>
      </c>
    </row>
    <row r="59" spans="1:13" s="8" customFormat="1" ht="11.25" customHeight="1">
      <c r="A59" s="10" t="s">
        <v>145</v>
      </c>
      <c r="B59" s="59">
        <f>COUNTIFS(Jan!$B:$B,2053,Jan!$J:$J,28)</f>
        <v>0</v>
      </c>
      <c r="C59" s="59">
        <f>COUNTIFS(Feb!$B:$B,2053,Feb!$J:$J,28)</f>
        <v>0</v>
      </c>
      <c r="D59" s="59">
        <f>COUNTIFS(Mar!$B:$B,2053,Mar!$J:$J,28)</f>
        <v>0</v>
      </c>
      <c r="E59" s="59">
        <f>COUNTIFS(Apr!$B:$B,2053,Apr!$J:$J,28)</f>
        <v>0</v>
      </c>
      <c r="F59" s="59">
        <f>COUNTIFS(May!$B:$B,2053,May!$J:$J,28)</f>
        <v>0</v>
      </c>
      <c r="G59" s="59">
        <f>COUNTIFS(Jun!$B:$B,2053,Jun!$J:$J,28)</f>
        <v>0</v>
      </c>
      <c r="H59" s="59">
        <f>COUNTIFS(Jul!$B:$B,2053,Jul!$J:$J,28)</f>
        <v>0</v>
      </c>
      <c r="I59" s="59">
        <f>COUNTIFS(Aug!$B:$B,2053,Aug!$J:$J,28)</f>
        <v>0</v>
      </c>
      <c r="J59" s="59">
        <f>COUNTIFS(Sep!$B:$B,2053,Sep!$J:$J,28)</f>
        <v>0</v>
      </c>
      <c r="K59" s="59">
        <f>COUNTIFS(Oct!$B:$B,2053,Oct!$J:$J,28)</f>
        <v>0</v>
      </c>
      <c r="L59" s="59">
        <f>COUNTIFS(Nov!$B:$B,2053,Nov!$J:$J,28)</f>
        <v>0</v>
      </c>
      <c r="M59" s="59">
        <v>0</v>
      </c>
    </row>
    <row r="60" spans="1:13" s="8" customFormat="1" ht="11.25" customHeight="1">
      <c r="A60" s="10" t="s">
        <v>38</v>
      </c>
      <c r="B60" s="59">
        <f>COUNTIFS(Jan!$B:$B,2053,Jan!$J:$J,6100)</f>
        <v>1</v>
      </c>
      <c r="C60" s="59">
        <v>5</v>
      </c>
      <c r="D60" s="59">
        <f>COUNTIFS(Mar!$B:$B,2053,Mar!$J:$J,6100)</f>
        <v>0</v>
      </c>
      <c r="E60" s="59">
        <v>3</v>
      </c>
      <c r="F60" s="59">
        <f>COUNTIFS(May!$B:$B,2053,May!$J:$J,6100)</f>
        <v>0</v>
      </c>
      <c r="G60" s="59">
        <f>COUNTIFS(Jun!$B:$B,2053,Jun!$J:$J,6100)</f>
        <v>0</v>
      </c>
      <c r="H60" s="59">
        <f>COUNTIFS(Jul!$B:$B,2053,Jul!$J:$J,6100)</f>
        <v>0</v>
      </c>
      <c r="I60" s="59">
        <f>COUNTIFS(Aug!$B:$B,2053,Aug!$J:$J,6100)</f>
        <v>0</v>
      </c>
      <c r="J60" s="59">
        <f>COUNTIFS(Sep!$B:$B,2053,Sep!$J:$J,6100)</f>
        <v>0</v>
      </c>
      <c r="K60" s="59">
        <f>COUNTIFS(Oct!$B:$B,2053,Oct!$J:$J,6100)</f>
        <v>0</v>
      </c>
      <c r="L60" s="59">
        <f>COUNTIFS(Nov!$B:$B,2053,Nov!$J:$J,6100)</f>
        <v>0</v>
      </c>
      <c r="M60" s="59">
        <v>0</v>
      </c>
    </row>
    <row r="61" spans="1:13" s="8" customFormat="1" ht="11.25" customHeight="1">
      <c r="A61" s="10" t="s">
        <v>9</v>
      </c>
      <c r="B61" s="59">
        <f>COUNTIFS(Jan!$B:$B,2053,Jan!$J:$J,6)</f>
        <v>0</v>
      </c>
      <c r="C61" s="59">
        <f>COUNTIFS(Feb!$B:$B,2053,Feb!$J:$J,6)</f>
        <v>0</v>
      </c>
      <c r="D61" s="59">
        <f>COUNTIFS(Mar!$B:$B,2053,Mar!$J:$J,6)</f>
        <v>0</v>
      </c>
      <c r="E61" s="59">
        <f>COUNTIFS(Apr!$B:$B,2053,Apr!$J:$J,6)</f>
        <v>0</v>
      </c>
      <c r="F61" s="59">
        <f>COUNTIFS(May!$B:$B,2053,May!$J:$J,6)</f>
        <v>0</v>
      </c>
      <c r="G61" s="59">
        <f>COUNTIFS(Jun!$B:$B,2053,Jun!$J:$J,6)</f>
        <v>0</v>
      </c>
      <c r="H61" s="59">
        <f>COUNTIFS(Jul!$B:$B,2053,Jul!$J:$J,6)</f>
        <v>0</v>
      </c>
      <c r="I61" s="59">
        <f>COUNTIFS(Aug!$B:$B,2053,Aug!$J:$J,6)</f>
        <v>0</v>
      </c>
      <c r="J61" s="59">
        <f>COUNTIFS(Sep!$B:$B,2053,Sep!$J:$J,6)</f>
        <v>0</v>
      </c>
      <c r="K61" s="59">
        <f>COUNTIFS(Oct!$B:$B,2053,Oct!$J:$J,6)</f>
        <v>0</v>
      </c>
      <c r="L61" s="59">
        <f>COUNTIFS(Nov!$B:$B,2053,Nov!$J:$J,6)</f>
        <v>0</v>
      </c>
      <c r="M61" s="59">
        <v>0</v>
      </c>
    </row>
    <row r="62" spans="1:13" s="8" customFormat="1" ht="11.25" customHeight="1">
      <c r="A62" s="10" t="s">
        <v>8</v>
      </c>
      <c r="B62" s="59">
        <f>COUNTIFS(Jan!$B:$B,2053,Jan!$J:$J,4)</f>
        <v>0</v>
      </c>
      <c r="C62" s="59">
        <f>COUNTIFS(Feb!$B:$B,2053,Feb!$J:$J,4)</f>
        <v>0</v>
      </c>
      <c r="D62" s="59">
        <f>COUNTIFS(Mar!$B:$B,2053,Mar!$J:$J,4)</f>
        <v>0</v>
      </c>
      <c r="E62" s="59">
        <f>COUNTIFS(Apr!$B:$B,2053,Apr!$J:$J,4)</f>
        <v>0</v>
      </c>
      <c r="F62" s="59">
        <f>COUNTIFS(May!$B:$B,2053,May!$J:$J,4)</f>
        <v>0</v>
      </c>
      <c r="G62" s="59">
        <f>COUNTIFS(Jun!$B:$B,2053,Jun!$J:$J,4)</f>
        <v>0</v>
      </c>
      <c r="H62" s="59">
        <f>COUNTIFS(Jul!$B:$B,2053,Jul!$J:$J,4)</f>
        <v>0</v>
      </c>
      <c r="I62" s="59">
        <f>COUNTIFS(Aug!$B:$B,2053,Aug!$J:$J,4)</f>
        <v>0</v>
      </c>
      <c r="J62" s="59">
        <f>COUNTIFS(Sep!$B:$B,2053,Sep!$J:$J,4)</f>
        <v>0</v>
      </c>
      <c r="K62" s="59">
        <f>COUNTIFS(Oct!$B:$B,2053,Oct!$J:$J,4)</f>
        <v>0</v>
      </c>
      <c r="L62" s="59">
        <f>COUNTIFS(Nov!$B:$B,2053,Nov!$J:$J,4)</f>
        <v>0</v>
      </c>
      <c r="M62" s="59">
        <v>0</v>
      </c>
    </row>
    <row r="63" spans="1:13" s="8" customFormat="1" ht="11.25" customHeight="1">
      <c r="A63" s="10" t="s">
        <v>6</v>
      </c>
      <c r="B63" s="59">
        <f>COUNTIFS(Jan!$B:$B,2053,Jan!$J:$J,5)</f>
        <v>0</v>
      </c>
      <c r="C63" s="59">
        <f>COUNTIFS(Feb!$B:$B,2053,Feb!$J:$J,5)</f>
        <v>0</v>
      </c>
      <c r="D63" s="59">
        <f>COUNTIFS(Mar!$B:$B,2053,Mar!$J:$J,5)</f>
        <v>0</v>
      </c>
      <c r="E63" s="59">
        <f>COUNTIFS(Apr!$B:$B,2053,Apr!$J:$J,5)</f>
        <v>0</v>
      </c>
      <c r="F63" s="59">
        <f>COUNTIFS(May!$B:$B,2053,May!$J:$J,5)</f>
        <v>0</v>
      </c>
      <c r="G63" s="59">
        <f>COUNTIFS(Jun!$B:$B,2053,Jun!$J:$J,5)</f>
        <v>0</v>
      </c>
      <c r="H63" s="59">
        <f>COUNTIFS(Jul!$B:$B,2053,Jul!$J:$J,5)</f>
        <v>0</v>
      </c>
      <c r="I63" s="59">
        <f>COUNTIFS(Aug!$B:$B,2053,Aug!$J:$J,5)</f>
        <v>0</v>
      </c>
      <c r="J63" s="59">
        <f>COUNTIFS(Sep!$B:$B,2053,Sep!$J:$J,5)</f>
        <v>0</v>
      </c>
      <c r="K63" s="59">
        <f>COUNTIFS(Oct!$B:$B,2053,Oct!$J:$J,5)</f>
        <v>0</v>
      </c>
      <c r="L63" s="59">
        <f>COUNTIFS(Nov!$B:$B,2053,Nov!$J:$J,5)</f>
        <v>0</v>
      </c>
      <c r="M63" s="59">
        <v>0</v>
      </c>
    </row>
    <row r="64" spans="1:13" s="8" customFormat="1" ht="11.25" customHeight="1">
      <c r="A64" s="52" t="s">
        <v>141</v>
      </c>
      <c r="B64" s="69">
        <f>COUNTIFS(Jan!$B:$B,2053,Jan!$F:$F,456)</f>
        <v>15</v>
      </c>
      <c r="C64" s="69">
        <v>2</v>
      </c>
      <c r="D64" s="69">
        <v>4</v>
      </c>
      <c r="E64" s="69">
        <v>4</v>
      </c>
      <c r="F64" s="69">
        <v>4</v>
      </c>
      <c r="G64" s="69">
        <v>1</v>
      </c>
      <c r="H64" s="69">
        <v>2</v>
      </c>
      <c r="I64" s="69">
        <v>1</v>
      </c>
      <c r="J64" s="69">
        <f>COUNTIFS(Sep!$B:$B,2053,Sep!$F:$F,456)</f>
        <v>0</v>
      </c>
      <c r="K64" s="69">
        <f>COUNTIFS(Oct!$B:$B,2053,Oct!$F:$F,456)</f>
        <v>0</v>
      </c>
      <c r="L64" s="69">
        <v>1</v>
      </c>
      <c r="M64" s="69">
        <v>1</v>
      </c>
    </row>
    <row r="65" spans="1:13" s="8" customFormat="1" ht="11.25" customHeight="1" thickBot="1">
      <c r="A65" s="12" t="s">
        <v>16</v>
      </c>
      <c r="B65" s="70">
        <f>SUM(B54:B64)</f>
        <v>27</v>
      </c>
      <c r="C65" s="70">
        <f t="shared" ref="C65:M65" si="13">SUM(C54:C64)</f>
        <v>10</v>
      </c>
      <c r="D65" s="70">
        <f>SUM(D54:D64)</f>
        <v>9</v>
      </c>
      <c r="E65" s="70">
        <f>SUM(E54:E64)</f>
        <v>11</v>
      </c>
      <c r="F65" s="70">
        <f>SUM(F54:F64)</f>
        <v>7</v>
      </c>
      <c r="G65" s="70">
        <f>SUM(G54:G64)</f>
        <v>1</v>
      </c>
      <c r="H65" s="70">
        <f t="shared" si="13"/>
        <v>7</v>
      </c>
      <c r="I65" s="70">
        <f t="shared" si="13"/>
        <v>11</v>
      </c>
      <c r="J65" s="70">
        <f t="shared" si="13"/>
        <v>10</v>
      </c>
      <c r="K65" s="70">
        <f t="shared" si="13"/>
        <v>4</v>
      </c>
      <c r="L65" s="165">
        <f t="shared" si="13"/>
        <v>9</v>
      </c>
      <c r="M65" s="170">
        <f t="shared" si="13"/>
        <v>14</v>
      </c>
    </row>
    <row r="66" spans="1:13" s="8" customFormat="1" ht="15.75" customHeight="1">
      <c r="A66" s="6"/>
      <c r="B66" s="7"/>
      <c r="C66" s="7"/>
      <c r="D66" s="7"/>
      <c r="E66" s="7"/>
      <c r="F66" s="7"/>
      <c r="G66" s="7"/>
      <c r="H66" s="7"/>
      <c r="I66" s="7"/>
      <c r="J66" s="7"/>
      <c r="K66" s="7"/>
      <c r="L66" s="7"/>
      <c r="M66" s="7"/>
    </row>
    <row r="67" spans="1:13" ht="12" customHeight="1">
      <c r="A67" s="6"/>
      <c r="B67" s="7"/>
      <c r="C67" s="7"/>
      <c r="D67" s="7"/>
      <c r="E67" s="7"/>
      <c r="F67" s="7"/>
      <c r="G67" s="7"/>
      <c r="H67" s="7"/>
      <c r="I67" s="7"/>
      <c r="J67" s="7"/>
      <c r="K67" s="7"/>
      <c r="L67" s="7"/>
      <c r="M67" s="7"/>
    </row>
  </sheetData>
  <phoneticPr fontId="0" type="noConversion"/>
  <printOptions horizontalCentered="1" verticalCentered="1"/>
  <pageMargins left="0.14000000000000001" right="0.16" top="0.25" bottom="0.5" header="0.5" footer="0.25"/>
  <pageSetup scale="95" firstPageNumber="3" orientation="portrait" useFirstPageNumber="1" r:id="rId1"/>
  <headerFooter alignWithMargins="0">
    <oddFooter>&amp;R14 of 51</oddFooter>
  </headerFooter>
  <ignoredErrors>
    <ignoredError sqref="M32 M52 M65" formulaRange="1"/>
  </ignoredError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67"/>
  <sheetViews>
    <sheetView view="pageBreakPreview" topLeftCell="A22" zoomScale="90" zoomScaleNormal="100" zoomScaleSheetLayoutView="90" workbookViewId="0">
      <selection activeCell="M47" sqref="M47"/>
    </sheetView>
  </sheetViews>
  <sheetFormatPr defaultRowHeight="12.75"/>
  <cols>
    <col min="1" max="1" width="22.85546875" style="1" customWidth="1"/>
    <col min="2" max="13" width="7.140625" style="1" customWidth="1"/>
    <col min="14" max="14" width="4.42578125" style="1" customWidth="1"/>
    <col min="15" max="16384" width="9.140625" style="1"/>
  </cols>
  <sheetData>
    <row r="1" spans="1:21" ht="18" customHeight="1">
      <c r="A1" s="130"/>
      <c r="B1" s="131"/>
      <c r="C1" s="131"/>
      <c r="D1" s="131"/>
      <c r="E1" s="131"/>
      <c r="F1" s="131"/>
      <c r="G1" s="131"/>
      <c r="H1" s="130"/>
      <c r="I1" s="131"/>
      <c r="J1" s="131"/>
      <c r="K1" s="131"/>
      <c r="L1" s="130"/>
      <c r="M1" s="143" t="s">
        <v>22</v>
      </c>
    </row>
    <row r="2" spans="1:21" ht="18" customHeight="1">
      <c r="A2" s="130"/>
      <c r="B2" s="135"/>
      <c r="C2" s="135"/>
      <c r="D2" s="135"/>
      <c r="E2" s="135"/>
      <c r="F2" s="135"/>
      <c r="G2" s="135"/>
      <c r="H2" s="130"/>
      <c r="I2" s="135"/>
      <c r="J2" s="135"/>
      <c r="K2" s="135"/>
      <c r="L2" s="130"/>
      <c r="M2" s="155" t="s">
        <v>13</v>
      </c>
    </row>
    <row r="3" spans="1:21" s="5" customFormat="1" ht="18" customHeight="1">
      <c r="A3" s="133"/>
      <c r="B3" s="133"/>
      <c r="C3" s="133"/>
      <c r="D3" s="133"/>
      <c r="E3" s="133"/>
      <c r="F3" s="133"/>
      <c r="G3" s="133"/>
      <c r="H3" s="133"/>
      <c r="I3" s="133"/>
      <c r="J3" s="136"/>
      <c r="K3" s="136"/>
      <c r="L3" s="133"/>
      <c r="M3" s="155" t="s">
        <v>56</v>
      </c>
      <c r="N3" s="134"/>
      <c r="O3" s="134"/>
      <c r="P3" s="134"/>
      <c r="Q3" s="134"/>
      <c r="R3" s="134"/>
      <c r="S3" s="134"/>
      <c r="T3" s="134"/>
      <c r="U3" s="134"/>
    </row>
    <row r="4" spans="1:21" s="8" customFormat="1" ht="6.75" customHeight="1" thickBot="1">
      <c r="A4" s="38"/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</row>
    <row r="5" spans="1:21" s="8" customFormat="1" ht="11.25" customHeight="1" thickBot="1">
      <c r="A5" s="53" t="s">
        <v>19</v>
      </c>
      <c r="B5" s="50">
        <v>41275</v>
      </c>
      <c r="C5" s="47">
        <v>41306</v>
      </c>
      <c r="D5" s="47">
        <v>41334</v>
      </c>
      <c r="E5" s="47">
        <v>41365</v>
      </c>
      <c r="F5" s="47">
        <v>41395</v>
      </c>
      <c r="G5" s="47">
        <v>41426</v>
      </c>
      <c r="H5" s="47">
        <v>41456</v>
      </c>
      <c r="I5" s="47">
        <v>41487</v>
      </c>
      <c r="J5" s="47">
        <v>41518</v>
      </c>
      <c r="K5" s="47">
        <v>41548</v>
      </c>
      <c r="L5" s="47">
        <v>41579</v>
      </c>
      <c r="M5" s="51">
        <v>41609</v>
      </c>
    </row>
    <row r="6" spans="1:21" s="8" customFormat="1" ht="11.25" customHeight="1">
      <c r="A6" s="41" t="s">
        <v>129</v>
      </c>
      <c r="B6" s="57">
        <f t="shared" ref="B6:M6" si="0">B32</f>
        <v>27</v>
      </c>
      <c r="C6" s="57">
        <f t="shared" si="0"/>
        <v>27</v>
      </c>
      <c r="D6" s="57">
        <f t="shared" si="0"/>
        <v>21</v>
      </c>
      <c r="E6" s="57">
        <f t="shared" si="0"/>
        <v>21</v>
      </c>
      <c r="F6" s="57">
        <f t="shared" si="0"/>
        <v>46</v>
      </c>
      <c r="G6" s="57">
        <f t="shared" si="0"/>
        <v>25</v>
      </c>
      <c r="H6" s="57">
        <f t="shared" si="0"/>
        <v>30</v>
      </c>
      <c r="I6" s="57">
        <f t="shared" si="0"/>
        <v>31</v>
      </c>
      <c r="J6" s="57">
        <f t="shared" si="0"/>
        <v>29</v>
      </c>
      <c r="K6" s="57">
        <f t="shared" si="0"/>
        <v>21</v>
      </c>
      <c r="L6" s="156">
        <f t="shared" si="0"/>
        <v>14</v>
      </c>
      <c r="M6" s="168">
        <f t="shared" si="0"/>
        <v>18</v>
      </c>
    </row>
    <row r="7" spans="1:21" s="8" customFormat="1" ht="11.25" customHeight="1">
      <c r="A7" s="42" t="s">
        <v>18</v>
      </c>
      <c r="B7" s="57">
        <f t="shared" ref="B7:M7" si="1">SUM(B10:B12)</f>
        <v>254</v>
      </c>
      <c r="C7" s="57">
        <f t="shared" si="1"/>
        <v>287</v>
      </c>
      <c r="D7" s="57">
        <f t="shared" si="1"/>
        <v>334</v>
      </c>
      <c r="E7" s="57">
        <f t="shared" si="1"/>
        <v>307</v>
      </c>
      <c r="F7" s="57">
        <f t="shared" si="1"/>
        <v>321</v>
      </c>
      <c r="G7" s="57">
        <f t="shared" si="1"/>
        <v>348</v>
      </c>
      <c r="H7" s="57">
        <f t="shared" si="1"/>
        <v>441</v>
      </c>
      <c r="I7" s="57">
        <f t="shared" si="1"/>
        <v>422</v>
      </c>
      <c r="J7" s="57">
        <f t="shared" si="1"/>
        <v>353</v>
      </c>
      <c r="K7" s="57">
        <f t="shared" si="1"/>
        <v>274</v>
      </c>
      <c r="L7" s="156">
        <f t="shared" si="1"/>
        <v>372</v>
      </c>
      <c r="M7" s="171">
        <f t="shared" si="1"/>
        <v>424</v>
      </c>
    </row>
    <row r="8" spans="1:21" s="8" customFormat="1" ht="11.25" customHeight="1" thickBot="1">
      <c r="A8" s="43" t="s">
        <v>14</v>
      </c>
      <c r="B8" s="58">
        <f t="shared" ref="B8:M8" si="2">SUM(B6:B7)</f>
        <v>281</v>
      </c>
      <c r="C8" s="58">
        <f t="shared" si="2"/>
        <v>314</v>
      </c>
      <c r="D8" s="58">
        <f t="shared" si="2"/>
        <v>355</v>
      </c>
      <c r="E8" s="58">
        <f t="shared" si="2"/>
        <v>328</v>
      </c>
      <c r="F8" s="58">
        <f t="shared" si="2"/>
        <v>367</v>
      </c>
      <c r="G8" s="58">
        <f t="shared" si="2"/>
        <v>373</v>
      </c>
      <c r="H8" s="58">
        <f t="shared" si="2"/>
        <v>471</v>
      </c>
      <c r="I8" s="58">
        <f t="shared" si="2"/>
        <v>453</v>
      </c>
      <c r="J8" s="58">
        <f t="shared" si="2"/>
        <v>382</v>
      </c>
      <c r="K8" s="58">
        <f t="shared" si="2"/>
        <v>295</v>
      </c>
      <c r="L8" s="157">
        <f t="shared" si="2"/>
        <v>386</v>
      </c>
      <c r="M8" s="172">
        <f t="shared" si="2"/>
        <v>442</v>
      </c>
    </row>
    <row r="9" spans="1:21" s="8" customFormat="1" ht="11.25" customHeight="1" thickBot="1">
      <c r="A9" s="54" t="s">
        <v>18</v>
      </c>
      <c r="B9" s="50">
        <v>41275</v>
      </c>
      <c r="C9" s="47">
        <v>41306</v>
      </c>
      <c r="D9" s="47">
        <v>41334</v>
      </c>
      <c r="E9" s="47">
        <v>41365</v>
      </c>
      <c r="F9" s="47">
        <v>41395</v>
      </c>
      <c r="G9" s="47">
        <v>41426</v>
      </c>
      <c r="H9" s="47">
        <v>41456</v>
      </c>
      <c r="I9" s="47">
        <v>41487</v>
      </c>
      <c r="J9" s="47">
        <v>41518</v>
      </c>
      <c r="K9" s="47">
        <v>41548</v>
      </c>
      <c r="L9" s="47">
        <v>41579</v>
      </c>
      <c r="M9" s="51">
        <v>41609</v>
      </c>
    </row>
    <row r="10" spans="1:21" s="8" customFormat="1" ht="11.25" customHeight="1">
      <c r="A10" s="9" t="s">
        <v>128</v>
      </c>
      <c r="B10" s="57">
        <f t="shared" ref="B10:M10" si="3">B52</f>
        <v>121</v>
      </c>
      <c r="C10" s="57">
        <f t="shared" si="3"/>
        <v>144</v>
      </c>
      <c r="D10" s="57">
        <f t="shared" si="3"/>
        <v>143</v>
      </c>
      <c r="E10" s="57">
        <f t="shared" si="3"/>
        <v>122</v>
      </c>
      <c r="F10" s="57">
        <f t="shared" si="3"/>
        <v>133</v>
      </c>
      <c r="G10" s="59">
        <f t="shared" si="3"/>
        <v>180</v>
      </c>
      <c r="H10" s="59">
        <f t="shared" si="3"/>
        <v>223</v>
      </c>
      <c r="I10" s="59">
        <f t="shared" si="3"/>
        <v>234</v>
      </c>
      <c r="J10" s="59">
        <f t="shared" si="3"/>
        <v>164</v>
      </c>
      <c r="K10" s="59">
        <f t="shared" si="3"/>
        <v>102</v>
      </c>
      <c r="L10" s="158">
        <f t="shared" si="3"/>
        <v>172</v>
      </c>
      <c r="M10" s="168">
        <f t="shared" si="3"/>
        <v>243</v>
      </c>
    </row>
    <row r="11" spans="1:21" s="8" customFormat="1" ht="11.25" customHeight="1">
      <c r="A11" s="9" t="s">
        <v>127</v>
      </c>
      <c r="B11" s="59">
        <f t="shared" ref="B11:M11" si="4">B65</f>
        <v>21</v>
      </c>
      <c r="C11" s="59">
        <f t="shared" si="4"/>
        <v>10</v>
      </c>
      <c r="D11" s="59">
        <f t="shared" si="4"/>
        <v>26</v>
      </c>
      <c r="E11" s="59">
        <f t="shared" si="4"/>
        <v>29</v>
      </c>
      <c r="F11" s="59">
        <f t="shared" si="4"/>
        <v>15</v>
      </c>
      <c r="G11" s="59">
        <f t="shared" si="4"/>
        <v>11</v>
      </c>
      <c r="H11" s="59">
        <f t="shared" si="4"/>
        <v>26</v>
      </c>
      <c r="I11" s="59">
        <f t="shared" si="4"/>
        <v>11</v>
      </c>
      <c r="J11" s="59">
        <f t="shared" si="4"/>
        <v>17</v>
      </c>
      <c r="K11" s="59">
        <f t="shared" si="4"/>
        <v>7</v>
      </c>
      <c r="L11" s="158">
        <f t="shared" si="4"/>
        <v>8</v>
      </c>
      <c r="M11" s="169">
        <f t="shared" si="4"/>
        <v>16</v>
      </c>
    </row>
    <row r="12" spans="1:21" s="8" customFormat="1" ht="11.25" customHeight="1" thickBot="1">
      <c r="A12" s="2" t="s">
        <v>12</v>
      </c>
      <c r="B12" s="60">
        <f>COUNTIFS(Jan!$B:$B,2062,Jan!$F:$F,800)</f>
        <v>112</v>
      </c>
      <c r="C12" s="60">
        <v>133</v>
      </c>
      <c r="D12" s="60">
        <v>165</v>
      </c>
      <c r="E12" s="60">
        <v>156</v>
      </c>
      <c r="F12" s="60">
        <v>173</v>
      </c>
      <c r="G12" s="60">
        <v>157</v>
      </c>
      <c r="H12" s="60">
        <v>192</v>
      </c>
      <c r="I12" s="60">
        <v>177</v>
      </c>
      <c r="J12" s="60">
        <v>172</v>
      </c>
      <c r="K12" s="60">
        <v>165</v>
      </c>
      <c r="L12" s="60">
        <v>192</v>
      </c>
      <c r="M12" s="60">
        <v>165</v>
      </c>
    </row>
    <row r="13" spans="1:21" s="8" customFormat="1" ht="5.0999999999999996" customHeight="1" thickBot="1">
      <c r="A13" s="3"/>
      <c r="B13" s="17"/>
      <c r="C13" s="17"/>
      <c r="D13" s="17"/>
      <c r="E13" s="17"/>
      <c r="F13" s="17"/>
      <c r="G13" s="17"/>
      <c r="H13" s="17"/>
      <c r="I13" s="17"/>
      <c r="J13" s="17"/>
      <c r="K13" s="17"/>
      <c r="L13" s="17"/>
      <c r="M13" s="147"/>
    </row>
    <row r="14" spans="1:21" s="16" customFormat="1" ht="11.25" customHeight="1">
      <c r="A14" s="44" t="s">
        <v>131</v>
      </c>
      <c r="B14" s="120">
        <v>17320</v>
      </c>
      <c r="C14" s="120">
        <v>17543</v>
      </c>
      <c r="D14" s="120">
        <v>18283</v>
      </c>
      <c r="E14" s="120">
        <v>14593</v>
      </c>
      <c r="F14" s="120">
        <v>18753</v>
      </c>
      <c r="G14" s="120">
        <v>17638</v>
      </c>
      <c r="H14" s="119">
        <v>16468</v>
      </c>
      <c r="I14" s="61">
        <v>13062</v>
      </c>
      <c r="J14" s="61">
        <v>15801</v>
      </c>
      <c r="K14" s="118">
        <v>25982</v>
      </c>
      <c r="L14" s="160">
        <v>15715</v>
      </c>
      <c r="M14" s="173">
        <v>17948</v>
      </c>
      <c r="O14" s="22"/>
      <c r="P14" s="22"/>
      <c r="Q14" s="22"/>
    </row>
    <row r="15" spans="1:21" s="8" customFormat="1" ht="11.25" customHeight="1">
      <c r="A15" s="45" t="s">
        <v>132</v>
      </c>
      <c r="B15" s="62">
        <f>IFERROR((SUMIFS(Jan!$N:$N,Jan!$J:$J,1,Jan!$B:$B,2062)+SUMIFS(Jan!$N:$N,Jan!$D:$D,"&gt;1",Jan!$B:$B,2062))/(COUNTIFS(Jan!$J:$J,1,Jan!$B:$B,2062)+COUNTIFS(Jan!$D:$D,"&gt;1",Jan!$B:$B,2062)),"")</f>
        <v>29.582089552238806</v>
      </c>
      <c r="C15" s="62">
        <v>29.11</v>
      </c>
      <c r="D15" s="62">
        <v>29.3</v>
      </c>
      <c r="E15" s="62">
        <v>29.27</v>
      </c>
      <c r="F15" s="62">
        <v>28.95</v>
      </c>
      <c r="G15" s="62">
        <v>27.64</v>
      </c>
      <c r="H15" s="62">
        <v>28.11</v>
      </c>
      <c r="I15" s="62">
        <v>28.92</v>
      </c>
      <c r="J15" s="62">
        <v>28.63</v>
      </c>
      <c r="K15" s="62">
        <v>29.22</v>
      </c>
      <c r="L15" s="62">
        <v>29.19</v>
      </c>
      <c r="M15" s="62">
        <v>28.83</v>
      </c>
      <c r="N15" s="15"/>
      <c r="O15" s="1"/>
      <c r="P15" s="1"/>
      <c r="Q15" s="1"/>
    </row>
    <row r="16" spans="1:21" s="8" customFormat="1" ht="11.25" customHeight="1">
      <c r="A16" s="45" t="s">
        <v>133</v>
      </c>
      <c r="B16" s="62">
        <f>IFERROR(AVERAGEIFS(Jan!$N:$N,Jan!$F:$F,800,Jan!$B:$B,2062),"")</f>
        <v>29.4375</v>
      </c>
      <c r="C16" s="62">
        <v>29.57</v>
      </c>
      <c r="D16" s="62">
        <v>30.12</v>
      </c>
      <c r="E16" s="62">
        <v>28.47</v>
      </c>
      <c r="F16" s="62">
        <v>29.58</v>
      </c>
      <c r="G16" s="62">
        <v>28.11</v>
      </c>
      <c r="H16" s="62">
        <v>28.39</v>
      </c>
      <c r="I16" s="62">
        <v>28.73</v>
      </c>
      <c r="J16" s="62">
        <v>29.19</v>
      </c>
      <c r="K16" s="62">
        <v>29.09</v>
      </c>
      <c r="L16" s="62">
        <v>29.16</v>
      </c>
      <c r="M16" s="62">
        <v>28.89</v>
      </c>
      <c r="O16" s="1"/>
      <c r="P16" s="1"/>
      <c r="Q16" s="1"/>
    </row>
    <row r="17" spans="1:17" s="8" customFormat="1" ht="11.25" customHeight="1">
      <c r="A17" s="45" t="s">
        <v>134</v>
      </c>
      <c r="B17" s="63">
        <f>IFERROR((SUMIFS(Jan!$M:$M,Jan!$J:$J,1,Jan!$B:$B,2062)+SUMIFS(Jan!$M:$M,Jan!$D:$D,"&gt;1",Jan!$B:$B,2062))/(COUNTIFS(Jan!$J:$J,1,Jan!$B:$B,2062)+COUNTIFS(Jan!$D:$D,"&gt;1",Jan!$B:$B,2062)),"")</f>
        <v>0.79179104477611928</v>
      </c>
      <c r="C17" s="63">
        <v>1.53</v>
      </c>
      <c r="D17" s="63">
        <v>1.69</v>
      </c>
      <c r="E17" s="63">
        <v>0.89</v>
      </c>
      <c r="F17" s="63">
        <v>0.9</v>
      </c>
      <c r="G17" s="63">
        <v>1.45</v>
      </c>
      <c r="H17" s="63">
        <v>1.0900000000000001</v>
      </c>
      <c r="I17" s="63">
        <v>0.93</v>
      </c>
      <c r="J17" s="63">
        <v>1.36</v>
      </c>
      <c r="K17" s="63">
        <v>0.78</v>
      </c>
      <c r="L17" s="63">
        <v>0.92</v>
      </c>
      <c r="M17" s="63">
        <v>0.86</v>
      </c>
      <c r="O17" s="1"/>
      <c r="P17" s="1"/>
      <c r="Q17" s="1"/>
    </row>
    <row r="18" spans="1:17" s="8" customFormat="1" ht="11.25" customHeight="1" thickBot="1">
      <c r="A18" s="43" t="s">
        <v>135</v>
      </c>
      <c r="B18" s="64">
        <f>IFERROR(AVERAGEIFS(Jan!$M:$M,Jan!$F:$F,800,Jan!$B:$B,2062),"")</f>
        <v>0.86160714285714257</v>
      </c>
      <c r="C18" s="64">
        <v>0.87</v>
      </c>
      <c r="D18" s="64">
        <v>1.07</v>
      </c>
      <c r="E18" s="64">
        <v>0.89</v>
      </c>
      <c r="F18" s="64">
        <v>0.74</v>
      </c>
      <c r="G18" s="64">
        <v>0.94</v>
      </c>
      <c r="H18" s="64">
        <v>0.82</v>
      </c>
      <c r="I18" s="64">
        <v>1</v>
      </c>
      <c r="J18" s="64">
        <v>0.81</v>
      </c>
      <c r="K18" s="64">
        <v>0.76</v>
      </c>
      <c r="L18" s="64">
        <v>0.78</v>
      </c>
      <c r="M18" s="64">
        <v>0.74</v>
      </c>
    </row>
    <row r="19" spans="1:17" s="8" customFormat="1" ht="5.0999999999999996" customHeight="1" thickBot="1">
      <c r="A19" s="3"/>
      <c r="B19" s="17"/>
      <c r="C19" s="17"/>
      <c r="D19" s="17"/>
      <c r="E19" s="17"/>
      <c r="F19" s="17"/>
      <c r="G19" s="17"/>
      <c r="H19" s="92"/>
      <c r="I19" s="17"/>
      <c r="J19" s="17"/>
      <c r="K19" s="17"/>
      <c r="L19" s="17"/>
      <c r="M19" s="147"/>
    </row>
    <row r="20" spans="1:17" s="8" customFormat="1" ht="11.25" customHeight="1">
      <c r="A20" s="42" t="s">
        <v>52</v>
      </c>
      <c r="B20" s="65">
        <v>31</v>
      </c>
      <c r="C20" s="65">
        <v>28</v>
      </c>
      <c r="D20" s="65">
        <v>31</v>
      </c>
      <c r="E20" s="65">
        <v>30</v>
      </c>
      <c r="F20" s="65">
        <v>31</v>
      </c>
      <c r="G20" s="65">
        <v>30</v>
      </c>
      <c r="H20" s="65">
        <v>31</v>
      </c>
      <c r="I20" s="65">
        <v>31</v>
      </c>
      <c r="J20" s="65">
        <v>30</v>
      </c>
      <c r="K20" s="65">
        <v>31</v>
      </c>
      <c r="L20" s="161">
        <v>30</v>
      </c>
      <c r="M20" s="174">
        <v>31</v>
      </c>
    </row>
    <row r="21" spans="1:17" s="8" customFormat="1" ht="11.25" customHeight="1">
      <c r="A21" s="9" t="s">
        <v>15</v>
      </c>
      <c r="B21" s="66">
        <f>B12/B20</f>
        <v>3.6129032258064515</v>
      </c>
      <c r="C21" s="66">
        <f t="shared" ref="C21:M21" si="5">C12/C20</f>
        <v>4.75</v>
      </c>
      <c r="D21" s="66">
        <f>D12/D20</f>
        <v>5.32258064516129</v>
      </c>
      <c r="E21" s="66">
        <f>E12/E20</f>
        <v>5.2</v>
      </c>
      <c r="F21" s="66">
        <f>F12/F20</f>
        <v>5.580645161290323</v>
      </c>
      <c r="G21" s="66">
        <f>G12/G20</f>
        <v>5.2333333333333334</v>
      </c>
      <c r="H21" s="66">
        <f t="shared" si="5"/>
        <v>6.193548387096774</v>
      </c>
      <c r="I21" s="66">
        <f t="shared" si="5"/>
        <v>5.709677419354839</v>
      </c>
      <c r="J21" s="66">
        <f t="shared" si="5"/>
        <v>5.7333333333333334</v>
      </c>
      <c r="K21" s="66">
        <f t="shared" si="5"/>
        <v>5.32258064516129</v>
      </c>
      <c r="L21" s="162">
        <f t="shared" si="5"/>
        <v>6.4</v>
      </c>
      <c r="M21" s="175">
        <f t="shared" si="5"/>
        <v>5.32258064516129</v>
      </c>
    </row>
    <row r="22" spans="1:17" s="8" customFormat="1" ht="11.25" customHeight="1">
      <c r="A22" s="9" t="s">
        <v>130</v>
      </c>
      <c r="B22" s="67">
        <f t="shared" ref="B22:G22" si="6">IFERROR(B12/B7,0)</f>
        <v>0.44094488188976377</v>
      </c>
      <c r="C22" s="67">
        <f t="shared" si="6"/>
        <v>0.46341463414634149</v>
      </c>
      <c r="D22" s="67">
        <f t="shared" si="6"/>
        <v>0.4940119760479042</v>
      </c>
      <c r="E22" s="67">
        <f t="shared" si="6"/>
        <v>0.50814332247557004</v>
      </c>
      <c r="F22" s="67">
        <f t="shared" si="6"/>
        <v>0.5389408099688473</v>
      </c>
      <c r="G22" s="67">
        <f t="shared" si="6"/>
        <v>0.4511494252873563</v>
      </c>
      <c r="H22" s="67">
        <f t="shared" ref="H22:M22" si="7">IFERROR(H12/H7,0)</f>
        <v>0.43537414965986393</v>
      </c>
      <c r="I22" s="67">
        <f t="shared" si="7"/>
        <v>0.41943127962085308</v>
      </c>
      <c r="J22" s="67">
        <f t="shared" si="7"/>
        <v>0.48725212464589235</v>
      </c>
      <c r="K22" s="116">
        <f t="shared" si="7"/>
        <v>0.6021897810218978</v>
      </c>
      <c r="L22" s="67">
        <f t="shared" si="7"/>
        <v>0.5161290322580645</v>
      </c>
      <c r="M22" s="176">
        <f t="shared" si="7"/>
        <v>0.38915094339622641</v>
      </c>
      <c r="N22" s="1"/>
    </row>
    <row r="23" spans="1:17" s="8" customFormat="1" ht="11.25" customHeight="1" thickBot="1">
      <c r="A23" s="9" t="s">
        <v>53</v>
      </c>
      <c r="B23" s="67">
        <f t="shared" ref="B23:G23" si="8">IFERROR(B12/(B11+B12),0)</f>
        <v>0.84210526315789469</v>
      </c>
      <c r="C23" s="67">
        <f t="shared" si="8"/>
        <v>0.93006993006993011</v>
      </c>
      <c r="D23" s="67">
        <f t="shared" si="8"/>
        <v>0.86387434554973819</v>
      </c>
      <c r="E23" s="67">
        <f t="shared" si="8"/>
        <v>0.84324324324324329</v>
      </c>
      <c r="F23" s="67">
        <f t="shared" si="8"/>
        <v>0.92021276595744683</v>
      </c>
      <c r="G23" s="67">
        <f t="shared" si="8"/>
        <v>0.93452380952380953</v>
      </c>
      <c r="H23" s="67">
        <f t="shared" ref="H23:M23" si="9">IFERROR(H12/(H11+H12),0)</f>
        <v>0.88073394495412849</v>
      </c>
      <c r="I23" s="67">
        <f t="shared" si="9"/>
        <v>0.94148936170212771</v>
      </c>
      <c r="J23" s="67">
        <f t="shared" si="9"/>
        <v>0.91005291005291</v>
      </c>
      <c r="K23" s="117">
        <f t="shared" si="9"/>
        <v>0.95930232558139539</v>
      </c>
      <c r="L23" s="163">
        <f t="shared" si="9"/>
        <v>0.96</v>
      </c>
      <c r="M23" s="177">
        <f t="shared" si="9"/>
        <v>0.91160220994475138</v>
      </c>
      <c r="N23" s="4"/>
    </row>
    <row r="24" spans="1:17" s="8" customFormat="1" ht="11.25" customHeight="1" thickBot="1">
      <c r="A24" s="56" t="s">
        <v>21</v>
      </c>
      <c r="B24" s="50">
        <v>41275</v>
      </c>
      <c r="C24" s="47">
        <v>41306</v>
      </c>
      <c r="D24" s="47">
        <v>41334</v>
      </c>
      <c r="E24" s="47">
        <v>41365</v>
      </c>
      <c r="F24" s="47">
        <v>41395</v>
      </c>
      <c r="G24" s="47">
        <v>41426</v>
      </c>
      <c r="H24" s="47">
        <v>41456</v>
      </c>
      <c r="I24" s="47">
        <v>41487</v>
      </c>
      <c r="J24" s="47">
        <v>41518</v>
      </c>
      <c r="K24" s="47">
        <v>41548</v>
      </c>
      <c r="L24" s="47">
        <v>41579</v>
      </c>
      <c r="M24" s="51">
        <v>41609</v>
      </c>
    </row>
    <row r="25" spans="1:17" s="8" customFormat="1" ht="11.25" customHeight="1">
      <c r="A25" s="18" t="s">
        <v>5</v>
      </c>
      <c r="B25" s="68">
        <f>COUNTIFS(Jan!$B:$B,2062,Jan!$J:$J,18)</f>
        <v>1</v>
      </c>
      <c r="C25" s="68">
        <v>3</v>
      </c>
      <c r="D25" s="68">
        <v>5</v>
      </c>
      <c r="E25" s="68">
        <v>1</v>
      </c>
      <c r="F25" s="68">
        <v>1</v>
      </c>
      <c r="G25" s="68">
        <v>3</v>
      </c>
      <c r="H25" s="68">
        <v>2</v>
      </c>
      <c r="I25" s="68">
        <v>1</v>
      </c>
      <c r="J25" s="68">
        <v>5</v>
      </c>
      <c r="K25" s="68">
        <v>1</v>
      </c>
      <c r="L25" s="68">
        <v>1</v>
      </c>
      <c r="M25" s="68">
        <v>3</v>
      </c>
    </row>
    <row r="26" spans="1:17" s="8" customFormat="1" ht="11.25" customHeight="1">
      <c r="A26" s="46" t="s">
        <v>40</v>
      </c>
      <c r="B26" s="57">
        <f>COUNTIFS(Jan!$B:$B,2062,Jan!$J:$J,41)</f>
        <v>0</v>
      </c>
      <c r="C26" s="57">
        <v>1</v>
      </c>
      <c r="D26" s="57">
        <v>1</v>
      </c>
      <c r="E26" s="57">
        <f>COUNTIFS(Apr!$B:$B,2062,Apr!$J:$J,41)</f>
        <v>0</v>
      </c>
      <c r="F26" s="57">
        <f>COUNTIFS(May!$B:$B,2062,May!$J:$J,41)</f>
        <v>0</v>
      </c>
      <c r="G26" s="57">
        <f>COUNTIFS(Jun!$B:$B,2062,Jun!$J:$J,41)</f>
        <v>0</v>
      </c>
      <c r="H26" s="57">
        <v>2</v>
      </c>
      <c r="I26" s="57">
        <f>COUNTIFS(Aug!$B:$B,2062,Aug!$J:$J,41)</f>
        <v>0</v>
      </c>
      <c r="J26" s="57">
        <v>4</v>
      </c>
      <c r="K26" s="57">
        <v>9</v>
      </c>
      <c r="L26" s="57">
        <f>COUNTIFS(Nov!$B:$B,2062,Nov!$J:$J,41)</f>
        <v>0</v>
      </c>
      <c r="M26" s="57">
        <v>0</v>
      </c>
    </row>
    <row r="27" spans="1:17" s="8" customFormat="1" ht="11.25" customHeight="1">
      <c r="A27" s="9" t="s">
        <v>11</v>
      </c>
      <c r="B27" s="179">
        <f>COUNTIFS(Jan!$B:$B,2062,Jan!$J:$J,17)</f>
        <v>15</v>
      </c>
      <c r="C27" s="206">
        <v>15</v>
      </c>
      <c r="D27" s="206">
        <v>13</v>
      </c>
      <c r="E27" s="206">
        <v>15</v>
      </c>
      <c r="F27" s="206">
        <v>45</v>
      </c>
      <c r="G27" s="206">
        <v>19</v>
      </c>
      <c r="H27" s="206">
        <v>23</v>
      </c>
      <c r="I27" s="206">
        <v>27</v>
      </c>
      <c r="J27" s="206">
        <v>14</v>
      </c>
      <c r="K27" s="206">
        <v>10</v>
      </c>
      <c r="L27" s="206">
        <v>10</v>
      </c>
      <c r="M27" s="206">
        <v>11</v>
      </c>
    </row>
    <row r="28" spans="1:17" s="8" customFormat="1" ht="11.25" customHeight="1">
      <c r="A28" s="9" t="s">
        <v>143</v>
      </c>
      <c r="B28" s="59">
        <f>COUNTIFS(Jan!$B:$B,2062,Jan!$F:$F,455)</f>
        <v>0</v>
      </c>
      <c r="C28" s="59">
        <f>COUNTIFS(Feb!$B:$B,2062,Feb!$F:$F,455)</f>
        <v>0</v>
      </c>
      <c r="D28" s="59">
        <f>COUNTIFS(Mar!$B:$B,2062,Mar!$F:$F,455)</f>
        <v>0</v>
      </c>
      <c r="E28" s="59">
        <f>COUNTIFS(Apr!$B:$B,2062,Apr!$F:$F,455)</f>
        <v>0</v>
      </c>
      <c r="F28" s="59">
        <f>COUNTIFS(May!$B:$B,2062,May!$F:$F,455)</f>
        <v>0</v>
      </c>
      <c r="G28" s="59">
        <f>COUNTIFS(Jun!$B:$B,2062,Jun!$F:$F,455)</f>
        <v>0</v>
      </c>
      <c r="H28" s="59">
        <f>COUNTIFS(Jul!$B:$B,2062,Jul!$F:$F,455)</f>
        <v>0</v>
      </c>
      <c r="I28" s="59">
        <f>COUNTIFS(Aug!$B:$B,2062,Aug!$F:$F,455)</f>
        <v>0</v>
      </c>
      <c r="J28" s="59">
        <f>COUNTIFS(Sep!$B:$B,2062,Sep!$F:$F,455)</f>
        <v>0</v>
      </c>
      <c r="K28" s="59">
        <f>COUNTIFS(Oct!$B:$B,2062,Oct!$F:$F,455)</f>
        <v>0</v>
      </c>
      <c r="L28" s="59">
        <f>COUNTIFS(Nov!$B:$B,2062,Nov!$F:$F,455)</f>
        <v>0</v>
      </c>
      <c r="M28" s="59">
        <v>0</v>
      </c>
    </row>
    <row r="29" spans="1:17" s="8" customFormat="1" ht="11.25" customHeight="1">
      <c r="A29" s="9" t="s">
        <v>23</v>
      </c>
      <c r="B29" s="59">
        <f>COUNTIFS(Jan!$B:$B,2062,Jan!$J:$J,31)</f>
        <v>0</v>
      </c>
      <c r="C29" s="59">
        <f>COUNTIFS(Feb!$B:$B,2062,Feb!$J:$J,31)</f>
        <v>0</v>
      </c>
      <c r="D29" s="59">
        <f>COUNTIFS(Mar!$B:$B,2062,Mar!$J:$J,31)</f>
        <v>0</v>
      </c>
      <c r="E29" s="59">
        <f>COUNTIFS(Apr!$B:$B,2062,Apr!$J:$J,31)</f>
        <v>0</v>
      </c>
      <c r="F29" s="59">
        <f>COUNTIFS(May!$B:$B,2062,May!$J:$J,31)</f>
        <v>0</v>
      </c>
      <c r="G29" s="59">
        <f>COUNTIFS(Jun!$B:$B,2062,Jun!$J:$J,31)</f>
        <v>0</v>
      </c>
      <c r="H29" s="59">
        <f>COUNTIFS(Jul!$B:$B,2062,Jul!$J:$J,31)</f>
        <v>0</v>
      </c>
      <c r="I29" s="59">
        <v>1</v>
      </c>
      <c r="J29" s="59">
        <f>COUNTIFS(Sep!$B:$B,2062,Sep!$J:$J,31)</f>
        <v>0</v>
      </c>
      <c r="K29" s="59">
        <f>COUNTIFS(Oct!$B:$B,2062,Oct!$J:$J,31)</f>
        <v>0</v>
      </c>
      <c r="L29" s="59">
        <f>COUNTIFS(Nov!$B:$B,2062,Nov!$J:$J,31)</f>
        <v>0</v>
      </c>
      <c r="M29" s="59">
        <v>0</v>
      </c>
    </row>
    <row r="30" spans="1:17" s="8" customFormat="1" ht="11.25" customHeight="1">
      <c r="A30" s="9" t="s">
        <v>37</v>
      </c>
      <c r="B30" s="59">
        <f>COUNTIFS(Jan!$B:$B,2062,Jan!$J:$J,4400)</f>
        <v>11</v>
      </c>
      <c r="C30" s="59">
        <v>8</v>
      </c>
      <c r="D30" s="59">
        <v>2</v>
      </c>
      <c r="E30" s="59">
        <v>5</v>
      </c>
      <c r="F30" s="59">
        <f>COUNTIFS(May!$B:$B,2062,May!$J:$J,4400)</f>
        <v>0</v>
      </c>
      <c r="G30" s="59">
        <v>3</v>
      </c>
      <c r="H30" s="59">
        <v>3</v>
      </c>
      <c r="I30" s="59">
        <v>2</v>
      </c>
      <c r="J30" s="59">
        <v>6</v>
      </c>
      <c r="K30" s="59">
        <v>1</v>
      </c>
      <c r="L30" s="59">
        <v>3</v>
      </c>
      <c r="M30" s="59">
        <v>4</v>
      </c>
    </row>
    <row r="31" spans="1:17" s="8" customFormat="1" ht="11.25" customHeight="1">
      <c r="A31" s="10" t="s">
        <v>24</v>
      </c>
      <c r="B31" s="59">
        <f>COUNTIFS(Jan!$B:$B,2062,Jan!$J:$J,30)</f>
        <v>0</v>
      </c>
      <c r="C31" s="59">
        <f>COUNTIFS(Feb!$B:$B,2062,Feb!$J:$J,30)</f>
        <v>0</v>
      </c>
      <c r="D31" s="59">
        <f>COUNTIFS(Mar!$B:$B,2062,Mar!$J:$J,30)</f>
        <v>0</v>
      </c>
      <c r="E31" s="59">
        <f>COUNTIFS(Apr!$B:$B,2062,Apr!$J:$J,30)</f>
        <v>0</v>
      </c>
      <c r="F31" s="59">
        <f>COUNTIFS(May!$B:$B,2062,May!$J:$J,30)</f>
        <v>0</v>
      </c>
      <c r="G31" s="59">
        <f>COUNTIFS(Jun!$B:$B,2062,Jun!$J:$J,30)</f>
        <v>0</v>
      </c>
      <c r="H31" s="59">
        <f>COUNTIFS(Jul!$B:$B,2062,Jul!$J:$J,30)</f>
        <v>0</v>
      </c>
      <c r="I31" s="59">
        <f>COUNTIFS(Aug!$B:$B,2062,Aug!$J:$J,30)</f>
        <v>0</v>
      </c>
      <c r="J31" s="59">
        <f>COUNTIFS(Sep!$B:$B,2062,Sep!$J:$J,30)</f>
        <v>0</v>
      </c>
      <c r="K31" s="59">
        <f>COUNTIFS(Oct!$B:$B,2062,Oct!$J:$J,30)</f>
        <v>0</v>
      </c>
      <c r="L31" s="59">
        <f>COUNTIFS(Nov!$B:$B,2062,Nov!$J:$J,30)</f>
        <v>0</v>
      </c>
      <c r="M31" s="59">
        <v>0</v>
      </c>
    </row>
    <row r="32" spans="1:17" s="14" customFormat="1" ht="11.25" customHeight="1" thickBot="1">
      <c r="A32" s="2" t="s">
        <v>140</v>
      </c>
      <c r="B32" s="60">
        <f>SUM(B25:B31)</f>
        <v>27</v>
      </c>
      <c r="C32" s="60">
        <f t="shared" ref="C32:M32" si="10">SUM(C25:C31)</f>
        <v>27</v>
      </c>
      <c r="D32" s="60">
        <f>SUM(D25:D31)</f>
        <v>21</v>
      </c>
      <c r="E32" s="60">
        <f>SUM(E25:E31)</f>
        <v>21</v>
      </c>
      <c r="F32" s="60">
        <f>SUM(F25:F31)</f>
        <v>46</v>
      </c>
      <c r="G32" s="60">
        <f>SUM(G25:G31)</f>
        <v>25</v>
      </c>
      <c r="H32" s="60">
        <f t="shared" si="10"/>
        <v>30</v>
      </c>
      <c r="I32" s="60">
        <f t="shared" si="10"/>
        <v>31</v>
      </c>
      <c r="J32" s="60">
        <f t="shared" si="10"/>
        <v>29</v>
      </c>
      <c r="K32" s="60">
        <f t="shared" si="10"/>
        <v>21</v>
      </c>
      <c r="L32" s="159">
        <f t="shared" si="10"/>
        <v>14</v>
      </c>
      <c r="M32" s="170">
        <f t="shared" si="10"/>
        <v>18</v>
      </c>
    </row>
    <row r="33" spans="1:13" ht="12" customHeight="1" thickBot="1">
      <c r="A33" s="55" t="s">
        <v>136</v>
      </c>
      <c r="B33" s="50">
        <v>41275</v>
      </c>
      <c r="C33" s="47">
        <v>41306</v>
      </c>
      <c r="D33" s="47">
        <v>41334</v>
      </c>
      <c r="E33" s="47">
        <v>41365</v>
      </c>
      <c r="F33" s="47">
        <v>41395</v>
      </c>
      <c r="G33" s="47">
        <v>41426</v>
      </c>
      <c r="H33" s="47">
        <v>41456</v>
      </c>
      <c r="I33" s="47">
        <v>41487</v>
      </c>
      <c r="J33" s="47">
        <v>41518</v>
      </c>
      <c r="K33" s="47">
        <v>41548</v>
      </c>
      <c r="L33" s="47">
        <v>41579</v>
      </c>
      <c r="M33" s="51">
        <v>41609</v>
      </c>
    </row>
    <row r="34" spans="1:13" s="8" customFormat="1" ht="11.25" customHeight="1">
      <c r="A34" s="46" t="s">
        <v>33</v>
      </c>
      <c r="B34" s="57">
        <f>COUNTIFS(Jan!$B:$B,2062,Jan!$J:$J,40)</f>
        <v>0</v>
      </c>
      <c r="C34" s="57">
        <f>COUNTIFS(Feb!$B:$B,2062,Feb!$J:$J,40)</f>
        <v>0</v>
      </c>
      <c r="D34" s="57">
        <v>1</v>
      </c>
      <c r="E34" s="57">
        <f>COUNTIFS(Apr!$B:$B,2062,Apr!$J:$J,40)</f>
        <v>0</v>
      </c>
      <c r="F34" s="57">
        <f>COUNTIFS(May!$B:$B,2062,May!$J:$J,40)</f>
        <v>0</v>
      </c>
      <c r="G34" s="57">
        <f>COUNTIFS(Jun!$B:$B,2062,Jun!$J:$J,40)</f>
        <v>0</v>
      </c>
      <c r="H34" s="57">
        <f>COUNTIFS(Jul!$B:$B,2062,Jul!$J:$J,40)</f>
        <v>0</v>
      </c>
      <c r="I34" s="57">
        <v>1</v>
      </c>
      <c r="J34" s="57">
        <v>2</v>
      </c>
      <c r="K34" s="57">
        <f>COUNTIFS(Oct!$B:$B,2062,Oct!$J:$J,40)</f>
        <v>0</v>
      </c>
      <c r="L34" s="57">
        <v>3</v>
      </c>
      <c r="M34" s="57">
        <v>1</v>
      </c>
    </row>
    <row r="35" spans="1:13" s="8" customFormat="1" ht="11.25" customHeight="1">
      <c r="A35" s="10" t="s">
        <v>4</v>
      </c>
      <c r="B35" s="59">
        <f>COUNTIFS(Jan!$B:$B,2062,Jan!$J:$J,15)</f>
        <v>4</v>
      </c>
      <c r="C35" s="59">
        <v>1</v>
      </c>
      <c r="D35" s="59">
        <v>4</v>
      </c>
      <c r="E35" s="59">
        <v>3</v>
      </c>
      <c r="F35" s="59">
        <v>2</v>
      </c>
      <c r="G35" s="59">
        <v>3</v>
      </c>
      <c r="H35" s="59">
        <v>2</v>
      </c>
      <c r="I35" s="59">
        <v>4</v>
      </c>
      <c r="J35" s="59">
        <v>4</v>
      </c>
      <c r="K35" s="59">
        <v>2</v>
      </c>
      <c r="L35" s="59">
        <v>3</v>
      </c>
      <c r="M35" s="59">
        <v>5</v>
      </c>
    </row>
    <row r="36" spans="1:13" s="8" customFormat="1" ht="11.25" customHeight="1">
      <c r="A36" s="10" t="s">
        <v>39</v>
      </c>
      <c r="B36" s="59">
        <f>COUNTIFS(Jan!$B:$B,2062,Jan!$J:$J,29)</f>
        <v>23</v>
      </c>
      <c r="C36" s="59">
        <v>22</v>
      </c>
      <c r="D36" s="59">
        <v>17</v>
      </c>
      <c r="E36" s="59">
        <v>13</v>
      </c>
      <c r="F36" s="59">
        <v>17</v>
      </c>
      <c r="G36" s="59">
        <v>27</v>
      </c>
      <c r="H36" s="59">
        <v>20</v>
      </c>
      <c r="I36" s="59">
        <v>22</v>
      </c>
      <c r="J36" s="59">
        <v>20</v>
      </c>
      <c r="K36" s="59">
        <v>17</v>
      </c>
      <c r="L36" s="59">
        <v>22</v>
      </c>
      <c r="M36" s="59">
        <v>22</v>
      </c>
    </row>
    <row r="37" spans="1:13" s="8" customFormat="1" ht="11.25" customHeight="1">
      <c r="A37" s="10" t="s">
        <v>3</v>
      </c>
      <c r="B37" s="59">
        <f>COUNTIFS(Jan!$B:$B,2062,Jan!$J:$J,13)</f>
        <v>7</v>
      </c>
      <c r="C37" s="59">
        <v>5</v>
      </c>
      <c r="D37" s="59">
        <v>6</v>
      </c>
      <c r="E37" s="59">
        <v>1</v>
      </c>
      <c r="F37" s="59">
        <v>4</v>
      </c>
      <c r="G37" s="59">
        <v>4</v>
      </c>
      <c r="H37" s="59">
        <v>2</v>
      </c>
      <c r="I37" s="59">
        <v>6</v>
      </c>
      <c r="J37" s="59">
        <v>6</v>
      </c>
      <c r="K37" s="59">
        <v>4</v>
      </c>
      <c r="L37" s="59">
        <v>4</v>
      </c>
      <c r="M37" s="59">
        <v>5</v>
      </c>
    </row>
    <row r="38" spans="1:13" s="8" customFormat="1" ht="11.25" customHeight="1">
      <c r="A38" s="9" t="s">
        <v>218</v>
      </c>
      <c r="B38" s="59">
        <f>COUNTIFS(Jan!$B:$B,2062,Jan!$J:$J,43)</f>
        <v>0</v>
      </c>
      <c r="C38" s="59">
        <f>COUNTIFS(Feb!$B:$B,2062,Feb!$J:$J,43)</f>
        <v>0</v>
      </c>
      <c r="D38" s="59">
        <v>0</v>
      </c>
      <c r="E38" s="59">
        <f>COUNTIFS(Apr!$B:$B,2062,Apr!$J:$J,43)</f>
        <v>0</v>
      </c>
      <c r="F38" s="59">
        <v>1</v>
      </c>
      <c r="G38" s="59">
        <v>1</v>
      </c>
      <c r="H38" s="59">
        <f>COUNTIFS(Jul!$B:$B,2062,Jul!$J:$J,43)</f>
        <v>0</v>
      </c>
      <c r="I38" s="59">
        <v>1</v>
      </c>
      <c r="J38" s="59">
        <f>COUNTIFS(Sep!$B:$B,2062,Sep!$J:$J,43)</f>
        <v>0</v>
      </c>
      <c r="K38" s="59">
        <f>COUNTIFS(Oct!$B:$B,2062,Oct!$J:$J,43)</f>
        <v>0</v>
      </c>
      <c r="L38" s="59">
        <f>COUNTIFS(Nov!$B:$B,2062,Nov!$J:$J,43)</f>
        <v>0</v>
      </c>
      <c r="M38" s="59">
        <v>2</v>
      </c>
    </row>
    <row r="39" spans="1:13" s="8" customFormat="1" ht="11.25" customHeight="1">
      <c r="A39" s="10" t="s">
        <v>25</v>
      </c>
      <c r="B39" s="59">
        <f>COUNTIFS(Jan!$B:$B,2062,Jan!$J:$J,24)</f>
        <v>26</v>
      </c>
      <c r="C39" s="59">
        <v>22</v>
      </c>
      <c r="D39" s="59">
        <v>27</v>
      </c>
      <c r="E39" s="59">
        <v>24</v>
      </c>
      <c r="F39" s="59">
        <v>31</v>
      </c>
      <c r="G39" s="59">
        <v>35</v>
      </c>
      <c r="H39" s="59">
        <v>27</v>
      </c>
      <c r="I39" s="59">
        <v>34</v>
      </c>
      <c r="J39" s="59">
        <v>25</v>
      </c>
      <c r="K39" s="59">
        <v>35</v>
      </c>
      <c r="L39" s="59">
        <v>42</v>
      </c>
      <c r="M39" s="59">
        <v>40</v>
      </c>
    </row>
    <row r="40" spans="1:13" s="8" customFormat="1" ht="11.25" customHeight="1">
      <c r="A40" s="10" t="s">
        <v>34</v>
      </c>
      <c r="B40" s="59">
        <f>COUNTIFS(Jan!$B:$B,2062,Jan!$J:$J,9)</f>
        <v>0</v>
      </c>
      <c r="C40" s="59">
        <f>COUNTIFS(Feb!$B:$B,2062,Feb!$J:$J,9)</f>
        <v>0</v>
      </c>
      <c r="D40" s="59">
        <f>COUNTIFS(Mar!$B:$B,2062,Mar!$J:$J,9)</f>
        <v>0</v>
      </c>
      <c r="E40" s="59">
        <f>COUNTIFS(Apr!$B:$B,2062,Apr!$J:$J,9)</f>
        <v>0</v>
      </c>
      <c r="F40" s="59">
        <v>2</v>
      </c>
      <c r="G40" s="59">
        <f>COUNTIFS(Jun!$B:$B,2062,Jun!$J:$J,9)</f>
        <v>0</v>
      </c>
      <c r="H40" s="59">
        <f>COUNTIFS(Jul!$B:$B,2062,Jul!$J:$J,9)</f>
        <v>0</v>
      </c>
      <c r="I40" s="59">
        <f>COUNTIFS(Aug!$B:$B,2062,Aug!$J:$J,9)</f>
        <v>0</v>
      </c>
      <c r="J40" s="59">
        <f>COUNTIFS(Sep!$B:$B,2062,Sep!$J:$J,9)</f>
        <v>0</v>
      </c>
      <c r="K40" s="59">
        <f>COUNTIFS(Oct!$B:$B,2062,Oct!$J:$J,9)</f>
        <v>0</v>
      </c>
      <c r="L40" s="59">
        <f>COUNTIFS(Nov!$B:$B,2062,Nov!$J:$J,9)</f>
        <v>0</v>
      </c>
      <c r="M40" s="59">
        <v>1</v>
      </c>
    </row>
    <row r="41" spans="1:13" s="8" customFormat="1" ht="11.25" customHeight="1">
      <c r="A41" s="10" t="s">
        <v>31</v>
      </c>
      <c r="B41" s="59">
        <f>COUNTIFS(Jan!$B:$B,2062,Jan!$J:$J,10)</f>
        <v>1</v>
      </c>
      <c r="C41" s="59">
        <v>3</v>
      </c>
      <c r="D41" s="59">
        <v>3</v>
      </c>
      <c r="E41" s="59">
        <v>6</v>
      </c>
      <c r="F41" s="59">
        <v>13</v>
      </c>
      <c r="G41" s="59">
        <v>8</v>
      </c>
      <c r="H41" s="59">
        <v>23</v>
      </c>
      <c r="I41" s="59">
        <v>15</v>
      </c>
      <c r="J41" s="59">
        <v>3</v>
      </c>
      <c r="K41" s="59">
        <v>2</v>
      </c>
      <c r="L41" s="59">
        <v>5</v>
      </c>
      <c r="M41" s="59">
        <v>0</v>
      </c>
    </row>
    <row r="42" spans="1:13" s="8" customFormat="1" ht="11.25" customHeight="1">
      <c r="A42" s="10" t="s">
        <v>144</v>
      </c>
      <c r="B42" s="59">
        <f>COUNTIFS(Jan!$B:$B,2062,Jan!$F:$F,462)</f>
        <v>0</v>
      </c>
      <c r="C42" s="59">
        <f>COUNTIFS(Feb!$B:$B,2062,Feb!$F:$F,462)</f>
        <v>0</v>
      </c>
      <c r="D42" s="59">
        <f>COUNTIFS(Mar!$B:$B,2062,Mar!$F:$F,462)</f>
        <v>0</v>
      </c>
      <c r="E42" s="59">
        <f>COUNTIFS(Apr!$B:$B,2062,Apr!$F:$F,462)</f>
        <v>0</v>
      </c>
      <c r="F42" s="59">
        <f>COUNTIFS(May!$B:$B,2062,May!$F:$F,462)</f>
        <v>0</v>
      </c>
      <c r="G42" s="59">
        <f>COUNTIFS(Jun!$B:$B,2062,Jun!$F:$F,462)</f>
        <v>0</v>
      </c>
      <c r="H42" s="59">
        <f>COUNTIFS(Jul!$B:$B,2062,Jul!$F:$F,462)</f>
        <v>0</v>
      </c>
      <c r="I42" s="59">
        <f>COUNTIFS(Aug!$B:$B,2062,Aug!$F:$F,462)</f>
        <v>0</v>
      </c>
      <c r="J42" s="59">
        <f>COUNTIFS(Sep!$B:$B,2062,Sep!$F:$F,462)</f>
        <v>0</v>
      </c>
      <c r="K42" s="59">
        <f>COUNTIFS(Oct!$B:$B,2062,Oct!$F:$F,462)</f>
        <v>0</v>
      </c>
      <c r="L42" s="59">
        <f>COUNTIFS(Nov!$B:$B,2062,Nov!$F:$F,462)</f>
        <v>0</v>
      </c>
      <c r="M42" s="59">
        <v>0</v>
      </c>
    </row>
    <row r="43" spans="1:13" s="8" customFormat="1" ht="11.25" customHeight="1">
      <c r="A43" s="10" t="s">
        <v>1</v>
      </c>
      <c r="B43" s="59">
        <f>COUNTIFS(Jan!$B:$B,2062,Jan!$J:$J,11)</f>
        <v>9</v>
      </c>
      <c r="C43" s="59">
        <v>27</v>
      </c>
      <c r="D43" s="59">
        <v>16</v>
      </c>
      <c r="E43" s="59">
        <v>32</v>
      </c>
      <c r="F43" s="59">
        <v>20</v>
      </c>
      <c r="G43" s="59">
        <v>21</v>
      </c>
      <c r="H43" s="59">
        <v>57</v>
      </c>
      <c r="I43" s="59">
        <v>47</v>
      </c>
      <c r="J43" s="59">
        <v>37</v>
      </c>
      <c r="K43" s="59">
        <v>18</v>
      </c>
      <c r="L43" s="59">
        <v>48</v>
      </c>
      <c r="M43" s="59">
        <v>49</v>
      </c>
    </row>
    <row r="44" spans="1:13" s="8" customFormat="1" ht="11.25" customHeight="1">
      <c r="A44" s="10" t="s">
        <v>26</v>
      </c>
      <c r="B44" s="59">
        <f>COUNTIFS(Jan!$B:$B,2062,Jan!$J:$J,20)</f>
        <v>0</v>
      </c>
      <c r="C44" s="59">
        <v>1</v>
      </c>
      <c r="D44" s="59">
        <v>1</v>
      </c>
      <c r="E44" s="59">
        <f>COUNTIFS(Apr!$B:$B,2062,Apr!$J:$J,20)</f>
        <v>0</v>
      </c>
      <c r="F44" s="59">
        <f>COUNTIFS(May!$B:$B,2062,May!$J:$J,20)</f>
        <v>0</v>
      </c>
      <c r="G44" s="59">
        <v>1</v>
      </c>
      <c r="H44" s="59">
        <f>COUNTIFS(Jul!$B:$B,2062,Jul!$J:$J,20)</f>
        <v>0</v>
      </c>
      <c r="I44" s="59">
        <v>1</v>
      </c>
      <c r="J44" s="59">
        <v>1</v>
      </c>
      <c r="K44" s="59">
        <v>1</v>
      </c>
      <c r="L44" s="59">
        <f>COUNTIFS(Nov!$B:$B,2062,Nov!$J:$J,20)</f>
        <v>0</v>
      </c>
      <c r="M44" s="59">
        <v>4</v>
      </c>
    </row>
    <row r="45" spans="1:13" s="8" customFormat="1" ht="11.25" customHeight="1">
      <c r="A45" s="10" t="s">
        <v>32</v>
      </c>
      <c r="B45" s="59">
        <f>COUNTIFS(Jan!$B:$B,2062,Jan!$J:$J,2)</f>
        <v>40</v>
      </c>
      <c r="C45" s="59">
        <v>45</v>
      </c>
      <c r="D45" s="59">
        <v>50</v>
      </c>
      <c r="E45" s="59">
        <v>34</v>
      </c>
      <c r="F45" s="59">
        <v>31</v>
      </c>
      <c r="G45" s="59">
        <v>55</v>
      </c>
      <c r="H45" s="59">
        <v>61</v>
      </c>
      <c r="I45" s="59">
        <v>66</v>
      </c>
      <c r="J45" s="59">
        <v>50</v>
      </c>
      <c r="K45" s="59">
        <v>19</v>
      </c>
      <c r="L45" s="59">
        <v>30</v>
      </c>
      <c r="M45" s="59">
        <v>76</v>
      </c>
    </row>
    <row r="46" spans="1:13" s="8" customFormat="1" ht="11.25" customHeight="1">
      <c r="A46" s="10" t="s">
        <v>28</v>
      </c>
      <c r="B46" s="59">
        <f>COUNTIFS(Jan!$B:$B,2062,Jan!$J:$J,1700)+COUNTIFS(Jan!$B:$B,2062,Jan!$F:$F,1700)+COUNTIFS(Jan!$B:$B,2062,Jan!$J:$J,19)</f>
        <v>1</v>
      </c>
      <c r="C46" s="59">
        <f>COUNTIFS(Feb!$B:$B,2062,Feb!$J:$J,1700)+COUNTIFS(Feb!$B:$B,2062,Feb!$F:$F,1700)+COUNTIFS(Feb!$B:$B,2062,Feb!$J:$J,19)</f>
        <v>0</v>
      </c>
      <c r="D46" s="59">
        <v>1</v>
      </c>
      <c r="E46" s="59">
        <f>COUNTIFS(Apr!$B:$B,2062,Apr!$J:$J,1700)+COUNTIFS(Apr!$B:$B,2062,Apr!$F:$F,1700)+COUNTIFS(Apr!$B:$B,2062,Apr!$J:$J,19)</f>
        <v>0</v>
      </c>
      <c r="F46" s="59">
        <v>1</v>
      </c>
      <c r="G46" s="59">
        <f>COUNTIFS(Jun!$B:$B,2062,Jun!$J:$J,1700)+COUNTIFS(Jun!$B:$B,2062,Jun!$F:$F,1700)+COUNTIFS(Jun!$B:$B,2062,Jun!$J:$J,19)</f>
        <v>0</v>
      </c>
      <c r="H46" s="59">
        <f>COUNTIFS(Jul!$B:$B,2062,Jul!$J:$J,1700)+COUNTIFS(Jul!$B:$B,2062,Jul!$F:$F,1700)+COUNTIFS(Jul!$B:$B,2062,Jul!$J:$J,19)</f>
        <v>0</v>
      </c>
      <c r="I46" s="59">
        <v>5</v>
      </c>
      <c r="J46" s="59">
        <f>COUNTIFS(Sep!$B:$B,2062,Sep!$J:$J,1700)+COUNTIFS(Sep!$B:$B,2062,Sep!$F:$F,1700)+COUNTIFS(Sep!$B:$B,2062,Sep!$J:$J,19)</f>
        <v>0</v>
      </c>
      <c r="K46" s="59">
        <f>COUNTIFS(Oct!$B:$B,2062,Oct!$J:$J,1700)+COUNTIFS(Oct!$B:$B,2062,Oct!$F:$F,1700)+COUNTIFS(Oct!$B:$B,2062,Oct!$J:$J,19)</f>
        <v>0</v>
      </c>
      <c r="L46" s="59">
        <v>1</v>
      </c>
      <c r="M46" s="59">
        <v>3</v>
      </c>
    </row>
    <row r="47" spans="1:13" s="8" customFormat="1" ht="11.25" customHeight="1">
      <c r="A47" s="10" t="s">
        <v>0</v>
      </c>
      <c r="B47" s="59">
        <f>COUNTIFS(Jan!$B:$B,2062,Jan!$J:$J,3)</f>
        <v>5</v>
      </c>
      <c r="C47" s="59">
        <v>10</v>
      </c>
      <c r="D47" s="59">
        <v>11</v>
      </c>
      <c r="E47" s="59">
        <v>6</v>
      </c>
      <c r="F47" s="59">
        <v>9</v>
      </c>
      <c r="G47" s="59">
        <v>18</v>
      </c>
      <c r="H47" s="59">
        <v>20</v>
      </c>
      <c r="I47" s="59">
        <v>24</v>
      </c>
      <c r="J47" s="59">
        <v>13</v>
      </c>
      <c r="K47" s="59">
        <v>2</v>
      </c>
      <c r="L47" s="59">
        <v>9</v>
      </c>
      <c r="M47" s="59">
        <v>29</v>
      </c>
    </row>
    <row r="48" spans="1:13" s="8" customFormat="1" ht="11.25" customHeight="1">
      <c r="A48" s="10" t="s">
        <v>35</v>
      </c>
      <c r="B48" s="59">
        <f>COUNTIFS(Jan!$B:$B,2062,Jan!$J:$J,7400)</f>
        <v>1</v>
      </c>
      <c r="C48" s="59">
        <v>1</v>
      </c>
      <c r="D48" s="59">
        <v>1</v>
      </c>
      <c r="E48" s="59">
        <f>COUNTIFS(Apr!$B:$B,2062,Apr!$J:$J,7400)</f>
        <v>0</v>
      </c>
      <c r="F48" s="59">
        <f>COUNTIFS(May!$B:$B,2062,May!$J:$J,7400)</f>
        <v>0</v>
      </c>
      <c r="G48" s="59">
        <v>1</v>
      </c>
      <c r="H48" s="59">
        <f>COUNTIFS(Jul!$B:$B,2062,Jul!$J:$J,7400)</f>
        <v>0</v>
      </c>
      <c r="I48" s="59">
        <f>COUNTIFS(Aug!$B:$B,2062,Aug!$J:$J,7400)</f>
        <v>0</v>
      </c>
      <c r="J48" s="59">
        <v>1</v>
      </c>
      <c r="K48" s="59">
        <f>COUNTIFS(Oct!$B:$B,2062,Oct!$J:$J,7400)</f>
        <v>0</v>
      </c>
      <c r="L48" s="59">
        <f>COUNTIFS(Nov!$B:$B,2062,Nov!$J:$J,7400)</f>
        <v>0</v>
      </c>
      <c r="M48" s="59">
        <v>0</v>
      </c>
    </row>
    <row r="49" spans="1:13" s="8" customFormat="1" ht="11.25" customHeight="1">
      <c r="A49" s="10" t="s">
        <v>2</v>
      </c>
      <c r="B49" s="59">
        <f>COUNTIFS(Jan!$B:$B,2062,Jan!$J:$J,14)</f>
        <v>2</v>
      </c>
      <c r="C49" s="59">
        <v>6</v>
      </c>
      <c r="D49" s="59">
        <v>3</v>
      </c>
      <c r="E49" s="59">
        <v>2</v>
      </c>
      <c r="F49" s="59">
        <v>2</v>
      </c>
      <c r="G49" s="59">
        <v>6</v>
      </c>
      <c r="H49" s="59">
        <v>7</v>
      </c>
      <c r="I49" s="59">
        <v>7</v>
      </c>
      <c r="J49" s="59">
        <v>2</v>
      </c>
      <c r="K49" s="59">
        <v>1</v>
      </c>
      <c r="L49" s="59">
        <v>3</v>
      </c>
      <c r="M49" s="59">
        <v>4</v>
      </c>
    </row>
    <row r="50" spans="1:13" s="8" customFormat="1" ht="11.25" customHeight="1">
      <c r="A50" s="10" t="s">
        <v>142</v>
      </c>
      <c r="B50" s="59">
        <f>COUNTIFS(Jan!$B:$B,2062,Jan!$F:$F,466)</f>
        <v>2</v>
      </c>
      <c r="C50" s="59">
        <v>1</v>
      </c>
      <c r="D50" s="59">
        <v>2</v>
      </c>
      <c r="E50" s="59">
        <v>1</v>
      </c>
      <c r="F50" s="59">
        <f>COUNTIFS(May!$B:$B,2062,May!$F:$F,466)</f>
        <v>0</v>
      </c>
      <c r="G50" s="59">
        <f>COUNTIFS(Jun!$B:$B,2062,Jun!$F:$F,466)</f>
        <v>0</v>
      </c>
      <c r="H50" s="59">
        <v>2</v>
      </c>
      <c r="I50" s="59">
        <f>COUNTIFS(Aug!$B:$B,2062,Aug!$F:$F,466)</f>
        <v>0</v>
      </c>
      <c r="J50" s="59">
        <f>COUNTIFS(Sep!$B:$B,2062,Sep!$F:$F,466)</f>
        <v>0</v>
      </c>
      <c r="K50" s="59">
        <f>COUNTIFS(Oct!$B:$B,2062,Oct!$F:$F,466)</f>
        <v>0</v>
      </c>
      <c r="L50" s="59">
        <v>1</v>
      </c>
      <c r="M50" s="59">
        <v>2</v>
      </c>
    </row>
    <row r="51" spans="1:13" s="8" customFormat="1" ht="11.25" customHeight="1">
      <c r="A51" s="10" t="s">
        <v>27</v>
      </c>
      <c r="B51" s="59">
        <f>COUNTIFS(Jan!$B:$B,2062,Jan!$J:$J,25)</f>
        <v>0</v>
      </c>
      <c r="C51" s="59">
        <f>COUNTIFS(Feb!$B:$B,2062,Feb!$J:$J,25)</f>
        <v>0</v>
      </c>
      <c r="D51" s="59">
        <f>COUNTIFS(Mar!$B:$B,2062,Mar!$J:$J,25)</f>
        <v>0</v>
      </c>
      <c r="E51" s="59">
        <f>COUNTIFS(Apr!$B:$B,2062,Apr!$J:$J,25)</f>
        <v>0</v>
      </c>
      <c r="F51" s="59">
        <f>COUNTIFS(May!$B:$B,2062,May!$J:$J,25)</f>
        <v>0</v>
      </c>
      <c r="G51" s="59">
        <f>COUNTIFS(Jun!$B:$B,2062,Jun!$J:$J,25)</f>
        <v>0</v>
      </c>
      <c r="H51" s="59">
        <v>2</v>
      </c>
      <c r="I51" s="59">
        <v>1</v>
      </c>
      <c r="J51" s="59">
        <f>COUNTIFS(Sep!$B:$B,2062,Sep!$J:$J,25)</f>
        <v>0</v>
      </c>
      <c r="K51" s="59">
        <v>1</v>
      </c>
      <c r="L51" s="59">
        <v>1</v>
      </c>
      <c r="M51" s="59">
        <v>0</v>
      </c>
    </row>
    <row r="52" spans="1:13" s="8" customFormat="1" ht="11.25" customHeight="1" thickBot="1">
      <c r="A52" s="11" t="s">
        <v>16</v>
      </c>
      <c r="B52" s="60">
        <f t="shared" ref="B52:G52" si="11">SUM(B34:B51)</f>
        <v>121</v>
      </c>
      <c r="C52" s="60">
        <f t="shared" si="11"/>
        <v>144</v>
      </c>
      <c r="D52" s="60">
        <f t="shared" si="11"/>
        <v>143</v>
      </c>
      <c r="E52" s="60">
        <f t="shared" si="11"/>
        <v>122</v>
      </c>
      <c r="F52" s="60">
        <f t="shared" si="11"/>
        <v>133</v>
      </c>
      <c r="G52" s="60">
        <f t="shared" si="11"/>
        <v>180</v>
      </c>
      <c r="H52" s="60">
        <f t="shared" ref="H52:M52" si="12">SUM(H34:H51)</f>
        <v>223</v>
      </c>
      <c r="I52" s="60">
        <f t="shared" si="12"/>
        <v>234</v>
      </c>
      <c r="J52" s="60">
        <f t="shared" si="12"/>
        <v>164</v>
      </c>
      <c r="K52" s="60">
        <f t="shared" si="12"/>
        <v>102</v>
      </c>
      <c r="L52" s="159">
        <f t="shared" si="12"/>
        <v>172</v>
      </c>
      <c r="M52" s="170">
        <f t="shared" si="12"/>
        <v>243</v>
      </c>
    </row>
    <row r="53" spans="1:13" ht="12" customHeight="1" thickBot="1">
      <c r="A53" s="55" t="s">
        <v>137</v>
      </c>
      <c r="B53" s="50">
        <v>41275</v>
      </c>
      <c r="C53" s="47">
        <v>41306</v>
      </c>
      <c r="D53" s="47">
        <v>41334</v>
      </c>
      <c r="E53" s="47">
        <v>41365</v>
      </c>
      <c r="F53" s="47">
        <v>41395</v>
      </c>
      <c r="G53" s="47">
        <v>41426</v>
      </c>
      <c r="H53" s="47">
        <v>41456</v>
      </c>
      <c r="I53" s="47">
        <v>41487</v>
      </c>
      <c r="J53" s="47">
        <v>41518</v>
      </c>
      <c r="K53" s="47">
        <v>41548</v>
      </c>
      <c r="L53" s="47">
        <v>41579</v>
      </c>
      <c r="M53" s="51">
        <v>41609</v>
      </c>
    </row>
    <row r="54" spans="1:13" s="8" customFormat="1" ht="11.25" customHeight="1">
      <c r="A54" s="10" t="s">
        <v>30</v>
      </c>
      <c r="B54" s="57">
        <f>COUNTIFS(Jan!$B:$B,2062,Jan!$J:$J,7)</f>
        <v>0</v>
      </c>
      <c r="C54" s="57">
        <f>COUNTIFS(Feb!$B:$B,2062,Feb!$J:$J,7)</f>
        <v>0</v>
      </c>
      <c r="D54" s="57">
        <v>3</v>
      </c>
      <c r="E54" s="57">
        <v>5</v>
      </c>
      <c r="F54" s="57">
        <v>3</v>
      </c>
      <c r="G54" s="57">
        <v>4</v>
      </c>
      <c r="H54" s="57">
        <v>9</v>
      </c>
      <c r="I54" s="57">
        <v>7</v>
      </c>
      <c r="J54" s="57">
        <v>4</v>
      </c>
      <c r="K54" s="57">
        <v>1</v>
      </c>
      <c r="L54" s="57">
        <v>3</v>
      </c>
      <c r="M54" s="57">
        <v>7</v>
      </c>
    </row>
    <row r="55" spans="1:13" s="8" customFormat="1" ht="11.25" customHeight="1">
      <c r="A55" s="10" t="s">
        <v>29</v>
      </c>
      <c r="B55" s="59">
        <f>COUNTIFS(Jan!$B:$B,2062,Jan!$J:$J,8)</f>
        <v>0</v>
      </c>
      <c r="C55" s="59">
        <f>COUNTIFS(Feb!$B:$B,2062,Feb!$J:$J,8)</f>
        <v>0</v>
      </c>
      <c r="D55" s="59">
        <f>COUNTIFS(Mar!$B:$B,2062,Mar!$J:$J,8)</f>
        <v>0</v>
      </c>
      <c r="E55" s="59">
        <f>COUNTIFS(Apr!$B:$B,2062,Apr!$J:$J,8)</f>
        <v>0</v>
      </c>
      <c r="F55" s="59">
        <f>COUNTIFS(May!$B:$B,2062,May!$J:$J,8)</f>
        <v>0</v>
      </c>
      <c r="G55" s="59">
        <f>COUNTIFS(Jun!$B:$B,2062,Jun!$J:$J,8)</f>
        <v>0</v>
      </c>
      <c r="H55" s="59">
        <f>COUNTIFS(Jul!$B:$B,2062,Jul!$J:$J,8)</f>
        <v>0</v>
      </c>
      <c r="I55" s="59">
        <v>0</v>
      </c>
      <c r="J55" s="59">
        <f>COUNTIFS(Sep!$B:$B,2062,Sep!$J:$J,8)</f>
        <v>0</v>
      </c>
      <c r="K55" s="59">
        <f>COUNTIFS(Oct!$B:$B,2062,Oct!$J:$J,8)</f>
        <v>0</v>
      </c>
      <c r="L55" s="59">
        <f>COUNTIFS(Nov!$B:$B,2062,Nov!$J:$J,8)</f>
        <v>0</v>
      </c>
      <c r="M55" s="59">
        <v>0</v>
      </c>
    </row>
    <row r="56" spans="1:13" s="8" customFormat="1" ht="11.25" customHeight="1">
      <c r="A56" s="10" t="s">
        <v>7</v>
      </c>
      <c r="B56" s="59">
        <f>COUNTIFS(Jan!$B:$B,2062,Jan!$J:$J,12)</f>
        <v>0</v>
      </c>
      <c r="C56" s="59">
        <v>1</v>
      </c>
      <c r="D56" s="59">
        <v>3</v>
      </c>
      <c r="E56" s="59">
        <v>13</v>
      </c>
      <c r="F56" s="59">
        <v>2</v>
      </c>
      <c r="G56" s="59">
        <f>COUNTIFS(Jun!$B:$B,2062,Jun!$J:$J,12)</f>
        <v>0</v>
      </c>
      <c r="H56" s="59">
        <v>9</v>
      </c>
      <c r="I56" s="59">
        <v>2</v>
      </c>
      <c r="J56" s="59">
        <v>5</v>
      </c>
      <c r="K56" s="59">
        <v>1</v>
      </c>
      <c r="L56" s="59">
        <v>1</v>
      </c>
      <c r="M56" s="59">
        <v>2</v>
      </c>
    </row>
    <row r="57" spans="1:13" s="8" customFormat="1" ht="11.25" customHeight="1">
      <c r="A57" s="10" t="s">
        <v>10</v>
      </c>
      <c r="B57" s="59">
        <f>COUNTIFS(Jan!$B:$B,2062,Jan!$J:$J,5100)</f>
        <v>0</v>
      </c>
      <c r="C57" s="59">
        <f>COUNTIFS(Feb!$B:$B,2062,Feb!$J:$J,5100)</f>
        <v>0</v>
      </c>
      <c r="D57" s="59">
        <f>COUNTIFS(Mar!$B:$B,2062,Mar!$J:$J,5100)</f>
        <v>0</v>
      </c>
      <c r="E57" s="59">
        <f>COUNTIFS(Apr!$B:$B,2062,Apr!$J:$J,5100)</f>
        <v>0</v>
      </c>
      <c r="F57" s="59">
        <f>COUNTIFS(May!$B:$B,2062,May!$J:$J,5100)</f>
        <v>0</v>
      </c>
      <c r="G57" s="59">
        <f>COUNTIFS(Jun!$B:$B,2062,Jun!$J:$J,5100)</f>
        <v>0</v>
      </c>
      <c r="H57" s="59">
        <f>COUNTIFS(Jul!$B:$B,2062,Jul!$J:$J,5100)</f>
        <v>0</v>
      </c>
      <c r="I57" s="59">
        <f>COUNTIFS(Aug!$B:$B,2062,Aug!$J:$J,5100)</f>
        <v>0</v>
      </c>
      <c r="J57" s="59">
        <f>COUNTIFS(Sep!$B:$B,2062,Sep!$J:$J,5100)</f>
        <v>0</v>
      </c>
      <c r="K57" s="59">
        <f>COUNTIFS(Oct!$B:$B,2062,Oct!$J:$J,5100)</f>
        <v>0</v>
      </c>
      <c r="L57" s="59">
        <f>COUNTIFS(Nov!$B:$B,2062,Nov!$J:$J,5100)</f>
        <v>0</v>
      </c>
      <c r="M57" s="59">
        <v>0</v>
      </c>
    </row>
    <row r="58" spans="1:13" s="8" customFormat="1" ht="11.25" customHeight="1">
      <c r="A58" s="10" t="s">
        <v>36</v>
      </c>
      <c r="B58" s="59">
        <f>COUNTIFS(Jan!$B:$B,2062,Jan!$J:$J,6200)</f>
        <v>0</v>
      </c>
      <c r="C58" s="59">
        <f>COUNTIFS(Feb!$B:$B,2062,Feb!$J:$J,6200)</f>
        <v>0</v>
      </c>
      <c r="D58" s="59">
        <f>COUNTIFS(Mar!$B:$B,2062,Mar!$J:$J,6200)</f>
        <v>0</v>
      </c>
      <c r="E58" s="59">
        <f>COUNTIFS(Apr!$B:$B,2062,Apr!$J:$J,6200)</f>
        <v>0</v>
      </c>
      <c r="F58" s="59">
        <f>COUNTIFS(May!$B:$B,2062,May!$J:$J,6200)</f>
        <v>0</v>
      </c>
      <c r="G58" s="59">
        <f>COUNTIFS(Jun!$B:$B,2062,Jun!$J:$J,6200)</f>
        <v>0</v>
      </c>
      <c r="H58" s="59">
        <f>COUNTIFS(Jul!$B:$B,2062,Jul!$J:$J,6200)</f>
        <v>0</v>
      </c>
      <c r="I58" s="59">
        <f>COUNTIFS(Aug!$B:$B,2062,Aug!$J:$J,6200)</f>
        <v>0</v>
      </c>
      <c r="J58" s="59">
        <v>1</v>
      </c>
      <c r="K58" s="59">
        <f>COUNTIFS(Oct!$B:$B,2062,Oct!$J:$J,6200)</f>
        <v>0</v>
      </c>
      <c r="L58" s="59">
        <f>COUNTIFS(Nov!$B:$B,2062,Nov!$J:$J,6200)</f>
        <v>0</v>
      </c>
      <c r="M58" s="59">
        <v>0</v>
      </c>
    </row>
    <row r="59" spans="1:13" s="8" customFormat="1" ht="11.25" customHeight="1">
      <c r="A59" s="10" t="s">
        <v>145</v>
      </c>
      <c r="B59" s="59">
        <f>COUNTIFS(Jan!$B:$B,2062,Jan!$J:$J,28)</f>
        <v>0</v>
      </c>
      <c r="C59" s="59">
        <f>COUNTIFS(Feb!$B:$B,2062,Feb!$J:$J,28)</f>
        <v>0</v>
      </c>
      <c r="D59" s="59">
        <f>COUNTIFS(Mar!$B:$B,2062,Mar!$J:$J,28)</f>
        <v>0</v>
      </c>
      <c r="E59" s="59">
        <f>COUNTIFS(Apr!$B:$B,2062,Apr!$J:$J,28)</f>
        <v>0</v>
      </c>
      <c r="F59" s="59">
        <f>COUNTIFS(May!$B:$B,2062,May!$J:$J,28)</f>
        <v>0</v>
      </c>
      <c r="G59" s="59">
        <f>COUNTIFS(Jun!$B:$B,2062,Jun!$J:$J,28)</f>
        <v>0</v>
      </c>
      <c r="H59" s="59">
        <f>COUNTIFS(Jul!$B:$B,2062,Jul!$J:$J,28)</f>
        <v>0</v>
      </c>
      <c r="I59" s="59">
        <f>COUNTIFS(Aug!$B:$B,2062,Aug!$J:$J,28)</f>
        <v>0</v>
      </c>
      <c r="J59" s="59">
        <f>COUNTIFS(Sep!$B:$B,2062,Sep!$J:$J,28)</f>
        <v>0</v>
      </c>
      <c r="K59" s="59">
        <f>COUNTIFS(Oct!$B:$B,2062,Oct!$J:$J,28)</f>
        <v>0</v>
      </c>
      <c r="L59" s="59">
        <f>COUNTIFS(Nov!$B:$B,2062,Nov!$J:$J,28)</f>
        <v>0</v>
      </c>
      <c r="M59" s="59">
        <v>0</v>
      </c>
    </row>
    <row r="60" spans="1:13" s="8" customFormat="1" ht="11.25" customHeight="1">
      <c r="A60" s="10" t="s">
        <v>38</v>
      </c>
      <c r="B60" s="59">
        <f>COUNTIFS(Jan!$B:$B,2062,Jan!$J:$J,6100)</f>
        <v>1</v>
      </c>
      <c r="C60" s="59">
        <f>COUNTIFS(Feb!$B:$B,2062,Feb!$J:$J,6100)</f>
        <v>0</v>
      </c>
      <c r="D60" s="59">
        <f>COUNTIFS(Mar!$B:$B,2062,Mar!$J:$J,6100)</f>
        <v>0</v>
      </c>
      <c r="E60" s="59">
        <f>COUNTIFS(Apr!$B:$B,2062,Apr!$J:$J,6100)</f>
        <v>0</v>
      </c>
      <c r="F60" s="59">
        <v>1</v>
      </c>
      <c r="G60" s="59">
        <v>1</v>
      </c>
      <c r="H60" s="59">
        <v>6</v>
      </c>
      <c r="I60" s="59">
        <v>1</v>
      </c>
      <c r="J60" s="59">
        <v>7</v>
      </c>
      <c r="K60" s="59">
        <v>1</v>
      </c>
      <c r="L60" s="59">
        <f>COUNTIFS(Nov!$B:$B,2062,Nov!$J:$J,6100)</f>
        <v>0</v>
      </c>
      <c r="M60" s="59">
        <v>1</v>
      </c>
    </row>
    <row r="61" spans="1:13" s="8" customFormat="1" ht="11.25" customHeight="1">
      <c r="A61" s="10" t="s">
        <v>9</v>
      </c>
      <c r="B61" s="59">
        <f>COUNTIFS(Jan!$B:$B,2062,Jan!$J:$J,6)</f>
        <v>0</v>
      </c>
      <c r="C61" s="59">
        <f>COUNTIFS(Feb!$B:$B,2062,Feb!$J:$J,6)</f>
        <v>0</v>
      </c>
      <c r="D61" s="59">
        <f>COUNTIFS(Mar!$B:$B,2062,Mar!$J:$J,6)</f>
        <v>0</v>
      </c>
      <c r="E61" s="59">
        <f>COUNTIFS(Apr!$B:$B,2062,Apr!$J:$J,6)</f>
        <v>0</v>
      </c>
      <c r="F61" s="59">
        <f>COUNTIFS(May!$B:$B,2062,May!$J:$J,6)</f>
        <v>0</v>
      </c>
      <c r="G61" s="59">
        <f>COUNTIFS(Jun!$B:$B,2062,Jun!$J:$J,6)</f>
        <v>0</v>
      </c>
      <c r="H61" s="59">
        <f>COUNTIFS(Jul!$B:$B,2062,Jul!$J:$J,6)</f>
        <v>0</v>
      </c>
      <c r="I61" s="59">
        <f>COUNTIFS(Aug!$B:$B,2062,Aug!$J:$J,6)</f>
        <v>0</v>
      </c>
      <c r="J61" s="59">
        <f>COUNTIFS(Sep!$B:$B,2062,Sep!$J:$J,6)</f>
        <v>0</v>
      </c>
      <c r="K61" s="59">
        <f>COUNTIFS(Oct!$B:$B,2062,Oct!$J:$J,6)</f>
        <v>0</v>
      </c>
      <c r="L61" s="59">
        <f>COUNTIFS(Nov!$B:$B,2062,Nov!$J:$J,6)</f>
        <v>0</v>
      </c>
      <c r="M61" s="59">
        <v>0</v>
      </c>
    </row>
    <row r="62" spans="1:13" s="8" customFormat="1" ht="11.25" customHeight="1">
      <c r="A62" s="10" t="s">
        <v>8</v>
      </c>
      <c r="B62" s="59">
        <f>COUNTIFS(Jan!$B:$B,2062,Jan!$J:$J,4)</f>
        <v>0</v>
      </c>
      <c r="C62" s="59">
        <f>COUNTIFS(Feb!$B:$B,2062,Feb!$J:$J,4)</f>
        <v>0</v>
      </c>
      <c r="D62" s="59">
        <f>COUNTIFS(Mar!$B:$B,2062,Mar!$J:$J,4)</f>
        <v>0</v>
      </c>
      <c r="E62" s="59">
        <f>COUNTIFS(Apr!$B:$B,2062,Apr!$J:$J,4)</f>
        <v>0</v>
      </c>
      <c r="F62" s="59">
        <f>COUNTIFS(May!$B:$B,2062,May!$J:$J,4)</f>
        <v>0</v>
      </c>
      <c r="G62" s="59">
        <f>COUNTIFS(Jun!$B:$B,2062,Jun!$J:$J,4)</f>
        <v>0</v>
      </c>
      <c r="H62" s="59">
        <f>COUNTIFS(Jul!$B:$B,2062,Jul!$J:$J,4)</f>
        <v>0</v>
      </c>
      <c r="I62" s="59">
        <f>COUNTIFS(Aug!$B:$B,2062,Aug!$J:$J,4)</f>
        <v>0</v>
      </c>
      <c r="J62" s="59">
        <f>COUNTIFS(Sep!$B:$B,2062,Sep!$J:$J,4)</f>
        <v>0</v>
      </c>
      <c r="K62" s="59">
        <f>COUNTIFS(Oct!$B:$B,2062,Oct!$J:$J,4)</f>
        <v>0</v>
      </c>
      <c r="L62" s="59">
        <f>COUNTIFS(Nov!$B:$B,2062,Nov!$J:$J,4)</f>
        <v>0</v>
      </c>
      <c r="M62" s="59">
        <v>0</v>
      </c>
    </row>
    <row r="63" spans="1:13" s="8" customFormat="1" ht="11.25" customHeight="1">
      <c r="A63" s="10" t="s">
        <v>6</v>
      </c>
      <c r="B63" s="59">
        <f>COUNTIFS(Jan!$B:$B,2062,Jan!$J:$J,5)</f>
        <v>0</v>
      </c>
      <c r="C63" s="59">
        <f>COUNTIFS(Feb!$B:$B,2062,Feb!$J:$J,5)</f>
        <v>0</v>
      </c>
      <c r="D63" s="59">
        <f>COUNTIFS(Mar!$B:$B,2062,Mar!$J:$J,5)</f>
        <v>0</v>
      </c>
      <c r="E63" s="59">
        <f>COUNTIFS(Apr!$B:$B,2062,Apr!$J:$J,5)</f>
        <v>0</v>
      </c>
      <c r="F63" s="59">
        <f>COUNTIFS(May!$B:$B,2062,May!$J:$J,5)</f>
        <v>0</v>
      </c>
      <c r="G63" s="59">
        <f>COUNTIFS(Jun!$B:$B,2062,Jun!$J:$J,5)</f>
        <v>0</v>
      </c>
      <c r="H63" s="59">
        <f>COUNTIFS(Jul!$B:$B,2062,Jul!$J:$J,5)</f>
        <v>0</v>
      </c>
      <c r="I63" s="59">
        <f>COUNTIFS(Aug!$B:$B,2062,Aug!$J:$J,5)</f>
        <v>0</v>
      </c>
      <c r="J63" s="59">
        <f>COUNTIFS(Sep!$B:$B,2062,Sep!$J:$J,5)</f>
        <v>0</v>
      </c>
      <c r="K63" s="59">
        <f>COUNTIFS(Oct!$B:$B,2062,Oct!$J:$J,5)</f>
        <v>0</v>
      </c>
      <c r="L63" s="59">
        <v>0</v>
      </c>
      <c r="M63" s="59">
        <v>0</v>
      </c>
    </row>
    <row r="64" spans="1:13" s="8" customFormat="1" ht="11.25" customHeight="1">
      <c r="A64" s="52" t="s">
        <v>141</v>
      </c>
      <c r="B64" s="69">
        <f>COUNTIFS(Jan!$B:$B,2062,Jan!$F:$F,456)</f>
        <v>20</v>
      </c>
      <c r="C64" s="69">
        <v>9</v>
      </c>
      <c r="D64" s="69">
        <v>20</v>
      </c>
      <c r="E64" s="69">
        <v>11</v>
      </c>
      <c r="F64" s="69">
        <v>9</v>
      </c>
      <c r="G64" s="69">
        <v>6</v>
      </c>
      <c r="H64" s="69">
        <v>2</v>
      </c>
      <c r="I64" s="69">
        <v>1</v>
      </c>
      <c r="J64" s="69">
        <f>COUNTIFS(Sep!$B:$B,2062,Sep!$F:$F,456)</f>
        <v>0</v>
      </c>
      <c r="K64" s="69">
        <v>4</v>
      </c>
      <c r="L64" s="69">
        <v>4</v>
      </c>
      <c r="M64" s="69">
        <v>6</v>
      </c>
    </row>
    <row r="65" spans="1:13" s="8" customFormat="1" ht="11.25" customHeight="1" thickBot="1">
      <c r="A65" s="12" t="s">
        <v>16</v>
      </c>
      <c r="B65" s="70">
        <f>SUM(B54:B64)</f>
        <v>21</v>
      </c>
      <c r="C65" s="70">
        <f t="shared" ref="C65:M65" si="13">SUM(C54:C64)</f>
        <v>10</v>
      </c>
      <c r="D65" s="70">
        <f>SUM(D54:D64)</f>
        <v>26</v>
      </c>
      <c r="E65" s="70">
        <f>SUM(E54:E64)</f>
        <v>29</v>
      </c>
      <c r="F65" s="70">
        <f>SUM(F54:F64)</f>
        <v>15</v>
      </c>
      <c r="G65" s="70">
        <f>SUM(G54:G64)</f>
        <v>11</v>
      </c>
      <c r="H65" s="70">
        <f t="shared" si="13"/>
        <v>26</v>
      </c>
      <c r="I65" s="70">
        <f t="shared" si="13"/>
        <v>11</v>
      </c>
      <c r="J65" s="70">
        <f t="shared" si="13"/>
        <v>17</v>
      </c>
      <c r="K65" s="70">
        <f t="shared" si="13"/>
        <v>7</v>
      </c>
      <c r="L65" s="165">
        <f t="shared" si="13"/>
        <v>8</v>
      </c>
      <c r="M65" s="170">
        <f t="shared" si="13"/>
        <v>16</v>
      </c>
    </row>
    <row r="66" spans="1:13" s="8" customFormat="1" ht="15.75" customHeight="1">
      <c r="A66" s="6"/>
      <c r="B66" s="7"/>
      <c r="C66" s="7"/>
      <c r="D66" s="7"/>
      <c r="E66" s="7"/>
      <c r="F66" s="7"/>
      <c r="G66" s="7"/>
      <c r="H66" s="7"/>
      <c r="I66" s="7"/>
      <c r="J66" s="7"/>
      <c r="K66" s="7"/>
      <c r="L66" s="7"/>
      <c r="M66" s="7"/>
    </row>
    <row r="67" spans="1:13" ht="12" customHeight="1">
      <c r="A67" s="6"/>
      <c r="B67" s="7"/>
      <c r="C67" s="7"/>
      <c r="D67" s="7"/>
      <c r="E67" s="7"/>
      <c r="F67" s="7"/>
      <c r="G67" s="7"/>
      <c r="H67" s="7"/>
      <c r="I67" s="7"/>
      <c r="J67" s="7"/>
      <c r="K67" s="7"/>
      <c r="L67" s="7"/>
      <c r="M67" s="7"/>
    </row>
  </sheetData>
  <phoneticPr fontId="0" type="noConversion"/>
  <printOptions horizontalCentered="1" verticalCentered="1"/>
  <pageMargins left="0.14000000000000001" right="0.16" top="0.25" bottom="0.5" header="0.5" footer="0.25"/>
  <pageSetup scale="95" firstPageNumber="3" orientation="portrait" useFirstPageNumber="1" r:id="rId1"/>
  <headerFooter alignWithMargins="0">
    <oddFooter>&amp;R15 of 51</oddFooter>
  </headerFooter>
  <ignoredErrors>
    <ignoredError sqref="M32 M52 M65" formulaRange="1"/>
  </ignoredError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67"/>
  <sheetViews>
    <sheetView view="pageBreakPreview" topLeftCell="A22" zoomScale="90" zoomScaleNormal="100" zoomScaleSheetLayoutView="90" workbookViewId="0">
      <selection activeCell="M65" sqref="M65"/>
    </sheetView>
  </sheetViews>
  <sheetFormatPr defaultRowHeight="12.75"/>
  <cols>
    <col min="1" max="1" width="22.85546875" style="1" customWidth="1"/>
    <col min="2" max="13" width="7.140625" style="1" customWidth="1"/>
    <col min="14" max="14" width="4.42578125" style="1" customWidth="1"/>
    <col min="15" max="16384" width="9.140625" style="1"/>
  </cols>
  <sheetData>
    <row r="1" spans="1:21" ht="18" customHeight="1">
      <c r="A1" s="130"/>
      <c r="B1" s="131"/>
      <c r="C1" s="131"/>
      <c r="D1" s="131"/>
      <c r="E1" s="131"/>
      <c r="F1" s="131"/>
      <c r="G1" s="131"/>
      <c r="H1" s="130"/>
      <c r="I1" s="131"/>
      <c r="J1" s="131"/>
      <c r="K1" s="131"/>
      <c r="L1" s="130"/>
      <c r="M1" s="143" t="s">
        <v>22</v>
      </c>
    </row>
    <row r="2" spans="1:21" ht="18" customHeight="1">
      <c r="A2" s="130"/>
      <c r="B2" s="135"/>
      <c r="C2" s="135"/>
      <c r="D2" s="135"/>
      <c r="E2" s="135"/>
      <c r="F2" s="135"/>
      <c r="G2" s="135"/>
      <c r="H2" s="130"/>
      <c r="I2" s="135"/>
      <c r="J2" s="135"/>
      <c r="K2" s="135"/>
      <c r="L2" s="130"/>
      <c r="M2" s="155" t="s">
        <v>13</v>
      </c>
    </row>
    <row r="3" spans="1:21" s="5" customFormat="1" ht="18" customHeight="1">
      <c r="A3" s="133"/>
      <c r="B3" s="133"/>
      <c r="C3" s="133"/>
      <c r="D3" s="133"/>
      <c r="E3" s="133"/>
      <c r="F3" s="133"/>
      <c r="G3" s="133"/>
      <c r="H3" s="133"/>
      <c r="I3" s="133"/>
      <c r="J3" s="136"/>
      <c r="K3" s="136"/>
      <c r="L3" s="133"/>
      <c r="M3" s="155" t="s">
        <v>57</v>
      </c>
      <c r="N3" s="134"/>
      <c r="O3" s="134"/>
      <c r="P3" s="134"/>
      <c r="Q3" s="134"/>
      <c r="R3" s="134"/>
      <c r="S3" s="134"/>
      <c r="T3" s="134"/>
      <c r="U3" s="134"/>
    </row>
    <row r="4" spans="1:21" s="8" customFormat="1" ht="6.75" customHeight="1" thickBot="1">
      <c r="A4" s="38"/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</row>
    <row r="5" spans="1:21" s="8" customFormat="1" ht="11.25" customHeight="1" thickBot="1">
      <c r="A5" s="53" t="s">
        <v>19</v>
      </c>
      <c r="B5" s="50">
        <v>41275</v>
      </c>
      <c r="C5" s="47">
        <v>41306</v>
      </c>
      <c r="D5" s="47">
        <v>41334</v>
      </c>
      <c r="E5" s="47">
        <v>41365</v>
      </c>
      <c r="F5" s="47">
        <v>41395</v>
      </c>
      <c r="G5" s="47">
        <v>41426</v>
      </c>
      <c r="H5" s="47">
        <v>41456</v>
      </c>
      <c r="I5" s="47">
        <v>41487</v>
      </c>
      <c r="J5" s="47">
        <v>41518</v>
      </c>
      <c r="K5" s="47">
        <v>41548</v>
      </c>
      <c r="L5" s="47">
        <v>41579</v>
      </c>
      <c r="M5" s="51">
        <v>41609</v>
      </c>
    </row>
    <row r="6" spans="1:21" s="8" customFormat="1" ht="11.25" customHeight="1">
      <c r="A6" s="41" t="s">
        <v>129</v>
      </c>
      <c r="B6" s="57">
        <f t="shared" ref="B6:M6" si="0">B32</f>
        <v>31</v>
      </c>
      <c r="C6" s="57">
        <f t="shared" si="0"/>
        <v>32</v>
      </c>
      <c r="D6" s="57">
        <f t="shared" si="0"/>
        <v>26</v>
      </c>
      <c r="E6" s="57">
        <f t="shared" si="0"/>
        <v>15</v>
      </c>
      <c r="F6" s="57">
        <f t="shared" si="0"/>
        <v>35</v>
      </c>
      <c r="G6" s="57">
        <f t="shared" si="0"/>
        <v>31</v>
      </c>
      <c r="H6" s="57">
        <f t="shared" si="0"/>
        <v>39</v>
      </c>
      <c r="I6" s="57">
        <f t="shared" si="0"/>
        <v>38</v>
      </c>
      <c r="J6" s="57">
        <f t="shared" si="0"/>
        <v>42</v>
      </c>
      <c r="K6" s="57">
        <f t="shared" si="0"/>
        <v>20</v>
      </c>
      <c r="L6" s="156">
        <f t="shared" si="0"/>
        <v>14</v>
      </c>
      <c r="M6" s="168">
        <f t="shared" si="0"/>
        <v>13</v>
      </c>
    </row>
    <row r="7" spans="1:21" s="8" customFormat="1" ht="11.25" customHeight="1">
      <c r="A7" s="42" t="s">
        <v>18</v>
      </c>
      <c r="B7" s="57">
        <f t="shared" ref="B7:M7" si="1">SUM(B10:B12)</f>
        <v>193</v>
      </c>
      <c r="C7" s="57">
        <f t="shared" si="1"/>
        <v>258</v>
      </c>
      <c r="D7" s="57">
        <f t="shared" si="1"/>
        <v>147</v>
      </c>
      <c r="E7" s="57">
        <f t="shared" si="1"/>
        <v>112</v>
      </c>
      <c r="F7" s="57">
        <f t="shared" si="1"/>
        <v>211</v>
      </c>
      <c r="G7" s="57">
        <f t="shared" si="1"/>
        <v>194</v>
      </c>
      <c r="H7" s="57">
        <f t="shared" si="1"/>
        <v>181</v>
      </c>
      <c r="I7" s="57">
        <f t="shared" si="1"/>
        <v>217</v>
      </c>
      <c r="J7" s="57">
        <f t="shared" si="1"/>
        <v>236</v>
      </c>
      <c r="K7" s="57">
        <f t="shared" si="1"/>
        <v>80</v>
      </c>
      <c r="L7" s="156">
        <f t="shared" si="1"/>
        <v>34</v>
      </c>
      <c r="M7" s="171">
        <f t="shared" si="1"/>
        <v>88</v>
      </c>
    </row>
    <row r="8" spans="1:21" s="8" customFormat="1" ht="11.25" customHeight="1" thickBot="1">
      <c r="A8" s="43" t="s">
        <v>14</v>
      </c>
      <c r="B8" s="58">
        <f t="shared" ref="B8:M8" si="2">SUM(B6:B7)</f>
        <v>224</v>
      </c>
      <c r="C8" s="58">
        <f t="shared" si="2"/>
        <v>290</v>
      </c>
      <c r="D8" s="58">
        <f t="shared" si="2"/>
        <v>173</v>
      </c>
      <c r="E8" s="58">
        <f t="shared" si="2"/>
        <v>127</v>
      </c>
      <c r="F8" s="58">
        <f t="shared" si="2"/>
        <v>246</v>
      </c>
      <c r="G8" s="58">
        <f t="shared" si="2"/>
        <v>225</v>
      </c>
      <c r="H8" s="58">
        <f t="shared" si="2"/>
        <v>220</v>
      </c>
      <c r="I8" s="58">
        <f t="shared" si="2"/>
        <v>255</v>
      </c>
      <c r="J8" s="58">
        <f t="shared" si="2"/>
        <v>278</v>
      </c>
      <c r="K8" s="58">
        <f t="shared" si="2"/>
        <v>100</v>
      </c>
      <c r="L8" s="157">
        <f t="shared" si="2"/>
        <v>48</v>
      </c>
      <c r="M8" s="172">
        <f t="shared" si="2"/>
        <v>101</v>
      </c>
    </row>
    <row r="9" spans="1:21" s="8" customFormat="1" ht="11.25" customHeight="1" thickBot="1">
      <c r="A9" s="54" t="s">
        <v>18</v>
      </c>
      <c r="B9" s="50">
        <v>41275</v>
      </c>
      <c r="C9" s="47">
        <v>41306</v>
      </c>
      <c r="D9" s="47">
        <v>41334</v>
      </c>
      <c r="E9" s="47">
        <v>41365</v>
      </c>
      <c r="F9" s="47">
        <v>41395</v>
      </c>
      <c r="G9" s="47">
        <v>41426</v>
      </c>
      <c r="H9" s="47">
        <v>41456</v>
      </c>
      <c r="I9" s="47">
        <v>41487</v>
      </c>
      <c r="J9" s="47">
        <v>41518</v>
      </c>
      <c r="K9" s="47">
        <v>41548</v>
      </c>
      <c r="L9" s="47">
        <v>41579</v>
      </c>
      <c r="M9" s="51">
        <v>41609</v>
      </c>
    </row>
    <row r="10" spans="1:21" s="8" customFormat="1" ht="11.25" customHeight="1">
      <c r="A10" s="9" t="s">
        <v>128</v>
      </c>
      <c r="B10" s="57">
        <f t="shared" ref="B10:M10" si="3">B52</f>
        <v>83</v>
      </c>
      <c r="C10" s="57">
        <f t="shared" si="3"/>
        <v>97</v>
      </c>
      <c r="D10" s="57">
        <f t="shared" si="3"/>
        <v>75</v>
      </c>
      <c r="E10" s="57">
        <f t="shared" si="3"/>
        <v>77</v>
      </c>
      <c r="F10" s="57">
        <f t="shared" si="3"/>
        <v>103</v>
      </c>
      <c r="G10" s="59">
        <f t="shared" si="3"/>
        <v>92</v>
      </c>
      <c r="H10" s="59">
        <f t="shared" si="3"/>
        <v>126</v>
      </c>
      <c r="I10" s="59">
        <f t="shared" si="3"/>
        <v>155</v>
      </c>
      <c r="J10" s="59">
        <f t="shared" si="3"/>
        <v>152</v>
      </c>
      <c r="K10" s="59">
        <f t="shared" si="3"/>
        <v>52</v>
      </c>
      <c r="L10" s="158">
        <f t="shared" si="3"/>
        <v>17</v>
      </c>
      <c r="M10" s="168">
        <f t="shared" si="3"/>
        <v>38</v>
      </c>
    </row>
    <row r="11" spans="1:21" s="8" customFormat="1" ht="11.25" customHeight="1">
      <c r="A11" s="9" t="s">
        <v>127</v>
      </c>
      <c r="B11" s="59">
        <f t="shared" ref="B11:M11" si="4">B65</f>
        <v>91</v>
      </c>
      <c r="C11" s="59">
        <f t="shared" si="4"/>
        <v>125</v>
      </c>
      <c r="D11" s="59">
        <f t="shared" si="4"/>
        <v>50</v>
      </c>
      <c r="E11" s="59">
        <f t="shared" si="4"/>
        <v>26</v>
      </c>
      <c r="F11" s="59">
        <f t="shared" si="4"/>
        <v>62</v>
      </c>
      <c r="G11" s="59">
        <f t="shared" si="4"/>
        <v>59</v>
      </c>
      <c r="H11" s="59">
        <f t="shared" si="4"/>
        <v>38</v>
      </c>
      <c r="I11" s="59">
        <f t="shared" si="4"/>
        <v>45</v>
      </c>
      <c r="J11" s="59">
        <f t="shared" si="4"/>
        <v>66</v>
      </c>
      <c r="K11" s="59">
        <f t="shared" si="4"/>
        <v>14</v>
      </c>
      <c r="L11" s="158">
        <f t="shared" si="4"/>
        <v>14</v>
      </c>
      <c r="M11" s="169">
        <f t="shared" si="4"/>
        <v>44</v>
      </c>
    </row>
    <row r="12" spans="1:21" s="8" customFormat="1" ht="11.25" customHeight="1" thickBot="1">
      <c r="A12" s="2" t="s">
        <v>12</v>
      </c>
      <c r="B12" s="60">
        <f>COUNTIFS(Jan!$B:$B,2071,Jan!$F:$F,800)</f>
        <v>19</v>
      </c>
      <c r="C12" s="60">
        <v>36</v>
      </c>
      <c r="D12" s="60">
        <v>22</v>
      </c>
      <c r="E12" s="60">
        <v>9</v>
      </c>
      <c r="F12" s="60">
        <v>46</v>
      </c>
      <c r="G12" s="60">
        <v>43</v>
      </c>
      <c r="H12" s="60">
        <v>17</v>
      </c>
      <c r="I12" s="60">
        <v>17</v>
      </c>
      <c r="J12" s="60">
        <v>18</v>
      </c>
      <c r="K12" s="60">
        <v>14</v>
      </c>
      <c r="L12" s="60">
        <v>3</v>
      </c>
      <c r="M12" s="60">
        <v>6</v>
      </c>
    </row>
    <row r="13" spans="1:21" s="8" customFormat="1" ht="5.0999999999999996" customHeight="1" thickBot="1">
      <c r="A13" s="3"/>
      <c r="B13" s="17"/>
      <c r="C13" s="17"/>
      <c r="D13" s="17"/>
      <c r="E13" s="17"/>
      <c r="F13" s="17"/>
      <c r="G13" s="17"/>
      <c r="H13" s="17"/>
      <c r="I13" s="17"/>
      <c r="J13" s="17"/>
      <c r="K13" s="17"/>
      <c r="L13" s="17"/>
      <c r="M13" s="147"/>
    </row>
    <row r="14" spans="1:21" s="16" customFormat="1" ht="11.25" customHeight="1">
      <c r="A14" s="44" t="s">
        <v>131</v>
      </c>
      <c r="B14" s="120">
        <v>15747</v>
      </c>
      <c r="C14" s="120">
        <v>18961</v>
      </c>
      <c r="D14" s="120">
        <v>20643</v>
      </c>
      <c r="E14" s="120">
        <v>17408</v>
      </c>
      <c r="F14" s="120">
        <v>17995</v>
      </c>
      <c r="G14" s="120">
        <v>20194</v>
      </c>
      <c r="H14" s="119">
        <v>18145</v>
      </c>
      <c r="I14" s="61">
        <v>18181</v>
      </c>
      <c r="J14" s="61">
        <v>19110</v>
      </c>
      <c r="K14" s="118">
        <v>25628</v>
      </c>
      <c r="L14" s="160">
        <v>18639</v>
      </c>
      <c r="M14" s="173">
        <v>15512</v>
      </c>
      <c r="O14" s="22"/>
      <c r="P14" s="22"/>
      <c r="Q14" s="22"/>
    </row>
    <row r="15" spans="1:21" s="8" customFormat="1" ht="11.25" customHeight="1">
      <c r="A15" s="45" t="s">
        <v>132</v>
      </c>
      <c r="B15" s="62">
        <f>IFERROR((SUMIFS(Jan!$N:$N,Jan!$J:$J,1,Jan!$B:$B,2071)+SUMIFS(Jan!$N:$N,Jan!$D:$D,"&gt;1",Jan!$B:$B,2071))/(COUNTIFS(Jan!$J:$J,1,Jan!$B:$B,2071)+COUNTIFS(Jan!$D:$D,"&gt;1",Jan!$B:$B,2071)),"")</f>
        <v>28.419354838709676</v>
      </c>
      <c r="C15" s="62">
        <v>28.39</v>
      </c>
      <c r="D15" s="62">
        <v>26.38</v>
      </c>
      <c r="E15" s="62">
        <v>26.82</v>
      </c>
      <c r="F15" s="62">
        <v>27.83</v>
      </c>
      <c r="G15" s="62">
        <v>28.82</v>
      </c>
      <c r="H15" s="62">
        <v>27.78</v>
      </c>
      <c r="I15" s="62">
        <v>27.05</v>
      </c>
      <c r="J15" s="62">
        <v>26.71</v>
      </c>
      <c r="K15" s="62">
        <v>27.95</v>
      </c>
      <c r="L15" s="62">
        <v>26.56</v>
      </c>
      <c r="M15" s="62">
        <v>25.28</v>
      </c>
      <c r="N15" s="15"/>
      <c r="O15" s="1"/>
      <c r="P15" s="1"/>
      <c r="Q15" s="1"/>
    </row>
    <row r="16" spans="1:21" s="8" customFormat="1" ht="11.25" customHeight="1">
      <c r="A16" s="45" t="s">
        <v>133</v>
      </c>
      <c r="B16" s="62">
        <f>IFERROR(AVERAGEIFS(Jan!$N:$N,Jan!$F:$F,800,Jan!$B:$B,2071),"")</f>
        <v>28.789473684210527</v>
      </c>
      <c r="C16" s="62">
        <v>28.3</v>
      </c>
      <c r="D16" s="62">
        <v>27.1</v>
      </c>
      <c r="E16" s="62">
        <v>27.9</v>
      </c>
      <c r="F16" s="62">
        <v>28.64</v>
      </c>
      <c r="G16" s="62">
        <v>28.15</v>
      </c>
      <c r="H16" s="62">
        <v>28.94</v>
      </c>
      <c r="I16" s="62">
        <v>27.53</v>
      </c>
      <c r="J16" s="62">
        <v>25.5</v>
      </c>
      <c r="K16" s="62">
        <v>28.36</v>
      </c>
      <c r="L16" s="62">
        <v>31</v>
      </c>
      <c r="M16" s="62">
        <v>22.71</v>
      </c>
      <c r="O16" s="1"/>
      <c r="P16" s="1"/>
      <c r="Q16" s="1"/>
    </row>
    <row r="17" spans="1:17" s="8" customFormat="1" ht="11.25" customHeight="1">
      <c r="A17" s="45" t="s">
        <v>134</v>
      </c>
      <c r="B17" s="63">
        <f>IFERROR((SUMIFS(Jan!$M:$M,Jan!$J:$J,1,Jan!$B:$B,2071)+SUMIFS(Jan!$M:$M,Jan!$D:$D,"&gt;1",Jan!$B:$B,2071))/(COUNTIFS(Jan!$J:$J,1,Jan!$B:$B,2071)+COUNTIFS(Jan!$D:$D,"&gt;1",Jan!$B:$B,2071)),"")</f>
        <v>1.4129032258064516</v>
      </c>
      <c r="C17" s="63">
        <v>1.17</v>
      </c>
      <c r="D17" s="63">
        <v>1.79</v>
      </c>
      <c r="E17" s="63">
        <v>2.6</v>
      </c>
      <c r="F17" s="63">
        <v>1.22</v>
      </c>
      <c r="G17" s="63">
        <v>1.25</v>
      </c>
      <c r="H17" s="63">
        <v>1.56</v>
      </c>
      <c r="I17" s="63">
        <v>1.0900000000000001</v>
      </c>
      <c r="J17" s="63">
        <v>1.61</v>
      </c>
      <c r="K17" s="63">
        <v>0.81</v>
      </c>
      <c r="L17" s="63">
        <v>1.81</v>
      </c>
      <c r="M17" s="63">
        <v>1.33</v>
      </c>
      <c r="O17" s="1"/>
      <c r="P17" s="1"/>
      <c r="Q17" s="1"/>
    </row>
    <row r="18" spans="1:17" s="8" customFormat="1" ht="11.25" customHeight="1" thickBot="1">
      <c r="A18" s="43" t="s">
        <v>135</v>
      </c>
      <c r="B18" s="64">
        <f>IFERROR(AVERAGEIFS(Jan!$M:$M,Jan!$F:$F,800,Jan!$B:$B,2071),"")</f>
        <v>0.6947368421052631</v>
      </c>
      <c r="C18" s="64">
        <v>0.71</v>
      </c>
      <c r="D18" s="64">
        <v>1.1000000000000001</v>
      </c>
      <c r="E18" s="64">
        <v>0.73</v>
      </c>
      <c r="F18" s="64">
        <v>0.64</v>
      </c>
      <c r="G18" s="64">
        <v>0.65</v>
      </c>
      <c r="H18" s="64">
        <v>0.86</v>
      </c>
      <c r="I18" s="64">
        <v>0.56000000000000005</v>
      </c>
      <c r="J18" s="64">
        <v>0.7</v>
      </c>
      <c r="K18" s="64">
        <v>0.7</v>
      </c>
      <c r="L18" s="64">
        <v>0.53</v>
      </c>
      <c r="M18" s="64">
        <v>0.7</v>
      </c>
    </row>
    <row r="19" spans="1:17" s="8" customFormat="1" ht="5.0999999999999996" customHeight="1" thickBot="1">
      <c r="A19" s="3"/>
      <c r="B19" s="17"/>
      <c r="C19" s="17"/>
      <c r="D19" s="17"/>
      <c r="E19" s="17"/>
      <c r="F19" s="17"/>
      <c r="G19" s="17"/>
      <c r="H19" s="17"/>
      <c r="I19" s="17"/>
      <c r="J19" s="17"/>
      <c r="K19" s="17"/>
      <c r="L19" s="17"/>
      <c r="M19" s="147"/>
    </row>
    <row r="20" spans="1:17" s="8" customFormat="1" ht="11.25" customHeight="1">
      <c r="A20" s="42" t="s">
        <v>52</v>
      </c>
      <c r="B20" s="65">
        <v>31</v>
      </c>
      <c r="C20" s="65">
        <v>28</v>
      </c>
      <c r="D20" s="65">
        <v>31</v>
      </c>
      <c r="E20" s="65">
        <v>30</v>
      </c>
      <c r="F20" s="65">
        <v>31</v>
      </c>
      <c r="G20" s="65">
        <v>30</v>
      </c>
      <c r="H20" s="65">
        <v>31</v>
      </c>
      <c r="I20" s="65">
        <v>31</v>
      </c>
      <c r="J20" s="65">
        <v>30</v>
      </c>
      <c r="K20" s="65">
        <v>31</v>
      </c>
      <c r="L20" s="161">
        <v>30</v>
      </c>
      <c r="M20" s="174">
        <v>31</v>
      </c>
    </row>
    <row r="21" spans="1:17" s="8" customFormat="1" ht="11.25" customHeight="1">
      <c r="A21" s="9" t="s">
        <v>15</v>
      </c>
      <c r="B21" s="66">
        <f>B12/B20</f>
        <v>0.61290322580645162</v>
      </c>
      <c r="C21" s="66">
        <f t="shared" ref="C21:M21" si="5">C12/C20</f>
        <v>1.2857142857142858</v>
      </c>
      <c r="D21" s="66">
        <f>D12/D20</f>
        <v>0.70967741935483875</v>
      </c>
      <c r="E21" s="66">
        <f>E12/E20</f>
        <v>0.3</v>
      </c>
      <c r="F21" s="66">
        <f>F12/F20</f>
        <v>1.4838709677419355</v>
      </c>
      <c r="G21" s="66">
        <f>G12/G20</f>
        <v>1.4333333333333333</v>
      </c>
      <c r="H21" s="66">
        <f t="shared" si="5"/>
        <v>0.54838709677419351</v>
      </c>
      <c r="I21" s="66">
        <f t="shared" si="5"/>
        <v>0.54838709677419351</v>
      </c>
      <c r="J21" s="66">
        <f t="shared" si="5"/>
        <v>0.6</v>
      </c>
      <c r="K21" s="66">
        <f t="shared" si="5"/>
        <v>0.45161290322580644</v>
      </c>
      <c r="L21" s="162">
        <f t="shared" si="5"/>
        <v>0.1</v>
      </c>
      <c r="M21" s="175">
        <f t="shared" si="5"/>
        <v>0.19354838709677419</v>
      </c>
    </row>
    <row r="22" spans="1:17" s="8" customFormat="1" ht="11.25" customHeight="1">
      <c r="A22" s="9" t="s">
        <v>130</v>
      </c>
      <c r="B22" s="67">
        <f t="shared" ref="B22:G22" si="6">IFERROR(B12/B7,0)</f>
        <v>9.8445595854922283E-2</v>
      </c>
      <c r="C22" s="67">
        <f t="shared" si="6"/>
        <v>0.13953488372093023</v>
      </c>
      <c r="D22" s="67">
        <f t="shared" si="6"/>
        <v>0.14965986394557823</v>
      </c>
      <c r="E22" s="67">
        <f t="shared" si="6"/>
        <v>8.0357142857142863E-2</v>
      </c>
      <c r="F22" s="67">
        <f t="shared" si="6"/>
        <v>0.21800947867298578</v>
      </c>
      <c r="G22" s="67">
        <f t="shared" si="6"/>
        <v>0.22164948453608246</v>
      </c>
      <c r="H22" s="67">
        <f t="shared" ref="H22:M22" si="7">IFERROR(H12/H7,0)</f>
        <v>9.3922651933701654E-2</v>
      </c>
      <c r="I22" s="67">
        <f t="shared" si="7"/>
        <v>7.8341013824884786E-2</v>
      </c>
      <c r="J22" s="67">
        <f t="shared" si="7"/>
        <v>7.6271186440677971E-2</v>
      </c>
      <c r="K22" s="116">
        <f t="shared" si="7"/>
        <v>0.17499999999999999</v>
      </c>
      <c r="L22" s="67">
        <f t="shared" si="7"/>
        <v>8.8235294117647065E-2</v>
      </c>
      <c r="M22" s="176">
        <f t="shared" si="7"/>
        <v>6.8181818181818177E-2</v>
      </c>
      <c r="N22" s="1"/>
    </row>
    <row r="23" spans="1:17" s="8" customFormat="1" ht="11.25" customHeight="1" thickBot="1">
      <c r="A23" s="9" t="s">
        <v>53</v>
      </c>
      <c r="B23" s="67">
        <f t="shared" ref="B23:G23" si="8">IFERROR(B12/(B11+B12),0)</f>
        <v>0.17272727272727273</v>
      </c>
      <c r="C23" s="67">
        <f t="shared" si="8"/>
        <v>0.2236024844720497</v>
      </c>
      <c r="D23" s="67">
        <f t="shared" si="8"/>
        <v>0.30555555555555558</v>
      </c>
      <c r="E23" s="67">
        <f t="shared" si="8"/>
        <v>0.25714285714285712</v>
      </c>
      <c r="F23" s="67">
        <f t="shared" si="8"/>
        <v>0.42592592592592593</v>
      </c>
      <c r="G23" s="67">
        <f t="shared" si="8"/>
        <v>0.42156862745098039</v>
      </c>
      <c r="H23" s="67">
        <f t="shared" ref="H23:M23" si="9">IFERROR(H12/(H11+H12),0)</f>
        <v>0.30909090909090908</v>
      </c>
      <c r="I23" s="67">
        <f t="shared" si="9"/>
        <v>0.27419354838709675</v>
      </c>
      <c r="J23" s="67">
        <f t="shared" si="9"/>
        <v>0.21428571428571427</v>
      </c>
      <c r="K23" s="117">
        <f t="shared" si="9"/>
        <v>0.5</v>
      </c>
      <c r="L23" s="163">
        <f t="shared" si="9"/>
        <v>0.17647058823529413</v>
      </c>
      <c r="M23" s="177">
        <f t="shared" si="9"/>
        <v>0.12</v>
      </c>
      <c r="N23" s="4"/>
    </row>
    <row r="24" spans="1:17" s="8" customFormat="1" ht="11.25" customHeight="1" thickBot="1">
      <c r="A24" s="56" t="s">
        <v>21</v>
      </c>
      <c r="B24" s="50">
        <v>41275</v>
      </c>
      <c r="C24" s="47">
        <v>41306</v>
      </c>
      <c r="D24" s="47">
        <v>41334</v>
      </c>
      <c r="E24" s="47">
        <v>41365</v>
      </c>
      <c r="F24" s="47">
        <v>41395</v>
      </c>
      <c r="G24" s="47">
        <v>41426</v>
      </c>
      <c r="H24" s="47">
        <v>41456</v>
      </c>
      <c r="I24" s="47">
        <v>41487</v>
      </c>
      <c r="J24" s="47">
        <v>41518</v>
      </c>
      <c r="K24" s="47">
        <v>41548</v>
      </c>
      <c r="L24" s="47">
        <v>41579</v>
      </c>
      <c r="M24" s="51">
        <v>41609</v>
      </c>
    </row>
    <row r="25" spans="1:17" s="8" customFormat="1" ht="11.25" customHeight="1">
      <c r="A25" s="18" t="s">
        <v>5</v>
      </c>
      <c r="B25" s="68">
        <f>COUNTIFS(Jan!$B:$B,2071,Jan!$J:$J,18)</f>
        <v>7</v>
      </c>
      <c r="C25" s="68">
        <v>8</v>
      </c>
      <c r="D25" s="68">
        <v>12</v>
      </c>
      <c r="E25" s="68">
        <v>4</v>
      </c>
      <c r="F25" s="68">
        <v>13</v>
      </c>
      <c r="G25" s="68">
        <v>7</v>
      </c>
      <c r="H25" s="68">
        <v>16</v>
      </c>
      <c r="I25" s="68">
        <v>12</v>
      </c>
      <c r="J25" s="68">
        <v>13</v>
      </c>
      <c r="K25" s="68">
        <v>5</v>
      </c>
      <c r="L25" s="68">
        <v>2</v>
      </c>
      <c r="M25" s="68">
        <v>2</v>
      </c>
    </row>
    <row r="26" spans="1:17" s="8" customFormat="1" ht="11.25" customHeight="1">
      <c r="A26" s="46" t="s">
        <v>40</v>
      </c>
      <c r="B26" s="57">
        <f>COUNTIFS(Jan!$B:$B,2071,Jan!$J:$J,41)</f>
        <v>1</v>
      </c>
      <c r="C26" s="57">
        <f>COUNTIFS(Feb!$B:$B,2071,Feb!$J:$J,41)</f>
        <v>0</v>
      </c>
      <c r="D26" s="57">
        <v>1</v>
      </c>
      <c r="E26" s="57">
        <f>COUNTIFS(Apr!$B:$B,2071,Apr!$J:$J,41)</f>
        <v>0</v>
      </c>
      <c r="F26" s="57">
        <v>4</v>
      </c>
      <c r="G26" s="57">
        <v>12</v>
      </c>
      <c r="H26" s="57">
        <f>COUNTIFS(Jul!$B:$B,2071,Jul!$J:$J,41)</f>
        <v>0</v>
      </c>
      <c r="I26" s="57">
        <f>COUNTIFS(Aug!$B:$B,2071,Aug!$J:$J,41)</f>
        <v>0</v>
      </c>
      <c r="J26" s="57">
        <v>3</v>
      </c>
      <c r="K26" s="57">
        <v>7</v>
      </c>
      <c r="L26" s="57">
        <v>6</v>
      </c>
      <c r="M26" s="57">
        <v>0</v>
      </c>
    </row>
    <row r="27" spans="1:17" s="8" customFormat="1" ht="11.25" customHeight="1">
      <c r="A27" s="9" t="s">
        <v>11</v>
      </c>
      <c r="B27" s="179">
        <f>COUNTIFS(Jan!$B:$B,2071,Jan!$J:$J,17)</f>
        <v>18</v>
      </c>
      <c r="C27" s="206">
        <v>24</v>
      </c>
      <c r="D27" s="206">
        <v>11</v>
      </c>
      <c r="E27" s="206">
        <v>11</v>
      </c>
      <c r="F27" s="206">
        <v>14</v>
      </c>
      <c r="G27" s="206">
        <v>10</v>
      </c>
      <c r="H27" s="206">
        <v>19</v>
      </c>
      <c r="I27" s="206">
        <v>20</v>
      </c>
      <c r="J27" s="206">
        <v>22</v>
      </c>
      <c r="K27" s="206">
        <v>6</v>
      </c>
      <c r="L27" s="206">
        <v>4</v>
      </c>
      <c r="M27" s="206">
        <v>10</v>
      </c>
    </row>
    <row r="28" spans="1:17" s="8" customFormat="1" ht="11.25" customHeight="1">
      <c r="A28" s="9" t="s">
        <v>143</v>
      </c>
      <c r="B28" s="59">
        <f>COUNTIFS(Jan!$B:$B,2071,Jan!$F:$F,455)</f>
        <v>1</v>
      </c>
      <c r="C28" s="59">
        <f>COUNTIFS(Feb!$B:$B,2071,Feb!$F:$F,455)</f>
        <v>0</v>
      </c>
      <c r="D28" s="59">
        <f>COUNTIFS(Mar!$B:$B,2071,Mar!$F:$F,455)</f>
        <v>0</v>
      </c>
      <c r="E28" s="59">
        <f>COUNTIFS(Apr!$B:$B,2071,Apr!$F:$F,455)</f>
        <v>0</v>
      </c>
      <c r="F28" s="59">
        <f>COUNTIFS(May!$B:$B,2071,May!$F:$F,455)</f>
        <v>0</v>
      </c>
      <c r="G28" s="59">
        <f>COUNTIFS(Jun!$B:$B,2071,Jun!$F:$F,455)</f>
        <v>0</v>
      </c>
      <c r="H28" s="59">
        <f>COUNTIFS(Jul!$B:$B,2071,Jul!$F:$F,455)</f>
        <v>0</v>
      </c>
      <c r="I28" s="59">
        <f>COUNTIFS(Aug!$B:$B,2071,Aug!$F:$F,455)</f>
        <v>0</v>
      </c>
      <c r="J28" s="59">
        <f>COUNTIFS(Sep!$B:$B,2071,Sep!$F:$F,455)</f>
        <v>0</v>
      </c>
      <c r="K28" s="59">
        <f>COUNTIFS(Oct!$B:$B,2071,Oct!$F:$F,455)</f>
        <v>0</v>
      </c>
      <c r="L28" s="59">
        <f>COUNTIFS(Nov!$B:$B,2071,Nov!$F:$F,455)</f>
        <v>0</v>
      </c>
      <c r="M28" s="59">
        <v>0</v>
      </c>
    </row>
    <row r="29" spans="1:17" s="8" customFormat="1" ht="11.25" customHeight="1">
      <c r="A29" s="9" t="s">
        <v>23</v>
      </c>
      <c r="B29" s="59">
        <f>COUNTIFS(Jan!$B:$B,2071,Jan!$J:$J,31)</f>
        <v>0</v>
      </c>
      <c r="C29" s="59">
        <f>COUNTIFS(Feb!$B:$B,2071,Feb!$J:$J,31)</f>
        <v>0</v>
      </c>
      <c r="D29" s="59">
        <f>COUNTIFS(Mar!$B:$B,2071,Mar!$J:$J,31)</f>
        <v>0</v>
      </c>
      <c r="E29" s="59">
        <f>COUNTIFS(Apr!$B:$B,2071,Apr!$J:$J,31)</f>
        <v>0</v>
      </c>
      <c r="F29" s="59">
        <f>COUNTIFS(May!$B:$B,2071,May!$J:$J,31)</f>
        <v>0</v>
      </c>
      <c r="G29" s="59">
        <f>COUNTIFS(Jun!$B:$B,2071,Jun!$J:$J,31)</f>
        <v>0</v>
      </c>
      <c r="H29" s="59">
        <f>COUNTIFS(Jul!$B:$B,2071,Jul!$J:$J,31)</f>
        <v>0</v>
      </c>
      <c r="I29" s="59">
        <f>COUNTIFS(Aug!$B:$B,2071,Aug!$J:$J,31)</f>
        <v>0</v>
      </c>
      <c r="J29" s="59">
        <f>COUNTIFS(Sep!$B:$B,2071,Sep!$J:$J,31)</f>
        <v>0</v>
      </c>
      <c r="K29" s="59">
        <f>COUNTIFS(Oct!$B:$B,2071,Oct!$J:$J,31)</f>
        <v>0</v>
      </c>
      <c r="L29" s="59">
        <f>COUNTIFS(Nov!$B:$B,2071,Nov!$J:$J,31)</f>
        <v>0</v>
      </c>
      <c r="M29" s="59">
        <v>0</v>
      </c>
    </row>
    <row r="30" spans="1:17" s="8" customFormat="1" ht="11.25" customHeight="1">
      <c r="A30" s="9" t="s">
        <v>37</v>
      </c>
      <c r="B30" s="59">
        <f>COUNTIFS(Jan!$B:$B,2071,Jan!$J:$J,4400)</f>
        <v>4</v>
      </c>
      <c r="C30" s="59">
        <f>COUNTIFS(Feb!$B:$B,2071,Feb!$J:$J,4400)</f>
        <v>0</v>
      </c>
      <c r="D30" s="59">
        <v>2</v>
      </c>
      <c r="E30" s="59">
        <f>COUNTIFS(Apr!$B:$B,2071,Apr!$J:$J,4400)</f>
        <v>0</v>
      </c>
      <c r="F30" s="59">
        <v>4</v>
      </c>
      <c r="G30" s="59">
        <v>2</v>
      </c>
      <c r="H30" s="59">
        <v>4</v>
      </c>
      <c r="I30" s="59">
        <v>6</v>
      </c>
      <c r="J30" s="59">
        <v>4</v>
      </c>
      <c r="K30" s="59">
        <v>2</v>
      </c>
      <c r="L30" s="59">
        <v>2</v>
      </c>
      <c r="M30" s="59">
        <v>1</v>
      </c>
    </row>
    <row r="31" spans="1:17" s="8" customFormat="1" ht="11.25" customHeight="1">
      <c r="A31" s="10" t="s">
        <v>24</v>
      </c>
      <c r="B31" s="59">
        <f>COUNTIFS(Jan!$B:$B,2071,Jan!$J:$J,30)</f>
        <v>0</v>
      </c>
      <c r="C31" s="59">
        <f>COUNTIFS(Feb!$B:$B,2071,Feb!$J:$J,30)</f>
        <v>0</v>
      </c>
      <c r="D31" s="59">
        <f>COUNTIFS(Mar!$B:$B,2071,Mar!$J:$J,30)</f>
        <v>0</v>
      </c>
      <c r="E31" s="59">
        <f>COUNTIFS(Apr!$B:$B,2071,Apr!$J:$J,30)</f>
        <v>0</v>
      </c>
      <c r="F31" s="59">
        <f>COUNTIFS(May!$B:$B,2071,May!$J:$J,30)</f>
        <v>0</v>
      </c>
      <c r="G31" s="59">
        <f>COUNTIFS(Jun!$B:$B,2071,Jun!$J:$J,30)</f>
        <v>0</v>
      </c>
      <c r="H31" s="59">
        <f>COUNTIFS(Jul!$B:$B,2071,Jul!$J:$J,30)</f>
        <v>0</v>
      </c>
      <c r="I31" s="59">
        <f>COUNTIFS(Aug!$B:$B,2071,Aug!$J:$J,30)</f>
        <v>0</v>
      </c>
      <c r="J31" s="59">
        <f>COUNTIFS(Sep!$B:$B,2071,Sep!$J:$J,30)</f>
        <v>0</v>
      </c>
      <c r="K31" s="59">
        <f>COUNTIFS(Oct!$B:$B,2071,Oct!$J:$J,30)</f>
        <v>0</v>
      </c>
      <c r="L31" s="59">
        <f>COUNTIFS(Nov!$B:$B,2071,Nov!$J:$J,30)</f>
        <v>0</v>
      </c>
      <c r="M31" s="59">
        <v>0</v>
      </c>
    </row>
    <row r="32" spans="1:17" s="14" customFormat="1" ht="11.25" customHeight="1" thickBot="1">
      <c r="A32" s="2" t="s">
        <v>140</v>
      </c>
      <c r="B32" s="60">
        <f>SUM(B25:B31)</f>
        <v>31</v>
      </c>
      <c r="C32" s="60">
        <f t="shared" ref="C32:M32" si="10">SUM(C25:C31)</f>
        <v>32</v>
      </c>
      <c r="D32" s="60">
        <f>SUM(D25:D31)</f>
        <v>26</v>
      </c>
      <c r="E32" s="60">
        <f>SUM(E25:E31)</f>
        <v>15</v>
      </c>
      <c r="F32" s="60">
        <f>SUM(F25:F31)</f>
        <v>35</v>
      </c>
      <c r="G32" s="60">
        <f>SUM(G25:G31)</f>
        <v>31</v>
      </c>
      <c r="H32" s="60">
        <f t="shared" si="10"/>
        <v>39</v>
      </c>
      <c r="I32" s="60">
        <f t="shared" si="10"/>
        <v>38</v>
      </c>
      <c r="J32" s="60">
        <f t="shared" si="10"/>
        <v>42</v>
      </c>
      <c r="K32" s="60">
        <f t="shared" si="10"/>
        <v>20</v>
      </c>
      <c r="L32" s="159">
        <f t="shared" si="10"/>
        <v>14</v>
      </c>
      <c r="M32" s="170">
        <f t="shared" si="10"/>
        <v>13</v>
      </c>
    </row>
    <row r="33" spans="1:13" ht="12" customHeight="1" thickBot="1">
      <c r="A33" s="55" t="s">
        <v>136</v>
      </c>
      <c r="B33" s="50">
        <v>41275</v>
      </c>
      <c r="C33" s="47">
        <v>41306</v>
      </c>
      <c r="D33" s="47">
        <v>41334</v>
      </c>
      <c r="E33" s="47">
        <v>41365</v>
      </c>
      <c r="F33" s="47">
        <v>41395</v>
      </c>
      <c r="G33" s="47">
        <v>41426</v>
      </c>
      <c r="H33" s="47">
        <v>41456</v>
      </c>
      <c r="I33" s="47">
        <v>41487</v>
      </c>
      <c r="J33" s="47">
        <v>41518</v>
      </c>
      <c r="K33" s="47">
        <v>41548</v>
      </c>
      <c r="L33" s="47">
        <v>41579</v>
      </c>
      <c r="M33" s="51">
        <v>41609</v>
      </c>
    </row>
    <row r="34" spans="1:13" s="8" customFormat="1" ht="11.25" customHeight="1">
      <c r="A34" s="46" t="s">
        <v>33</v>
      </c>
      <c r="B34" s="57">
        <f>COUNTIFS(Jan!$B:$B,2071,Jan!$J:$J,40)</f>
        <v>0</v>
      </c>
      <c r="C34" s="57">
        <f>COUNTIFS(Feb!$B:$B,2071,Feb!$J:$J,40)</f>
        <v>0</v>
      </c>
      <c r="D34" s="57">
        <f>COUNTIFS(Mar!$B:$B,2071,Mar!$J:$J,40)</f>
        <v>0</v>
      </c>
      <c r="E34" s="57">
        <f>COUNTIFS(Apr!$B:$B,2071,Apr!$J:$J,40)</f>
        <v>0</v>
      </c>
      <c r="F34" s="57">
        <f>COUNTIFS(May!$B:$B,2071,May!$J:$J,40)</f>
        <v>0</v>
      </c>
      <c r="G34" s="57">
        <f>COUNTIFS(Jun!$B:$B,2071,Jun!$J:$J,40)</f>
        <v>0</v>
      </c>
      <c r="H34" s="57">
        <f>COUNTIFS(Jul!$B:$B,2071,Jul!$J:$J,40)</f>
        <v>0</v>
      </c>
      <c r="I34" s="57">
        <f>COUNTIFS(Aug!$B:$B,2071,Aug!$J:$J,40)</f>
        <v>0</v>
      </c>
      <c r="J34" s="57">
        <f>COUNTIFS(Sep!$B:$B,2071,Sep!$J:$J,40)</f>
        <v>0</v>
      </c>
      <c r="K34" s="57">
        <f>COUNTIFS(Oct!$B:$B,2071,Oct!$J:$J,40)</f>
        <v>0</v>
      </c>
      <c r="L34" s="57">
        <f>COUNTIFS(Nov!$B:$B,2071,Nov!$J:$J,40)</f>
        <v>0</v>
      </c>
      <c r="M34" s="57">
        <v>0</v>
      </c>
    </row>
    <row r="35" spans="1:13" s="8" customFormat="1" ht="11.25" customHeight="1">
      <c r="A35" s="10" t="s">
        <v>4</v>
      </c>
      <c r="B35" s="59">
        <f>COUNTIFS(Jan!$B:$B,2071,Jan!$J:$J,15)</f>
        <v>7</v>
      </c>
      <c r="C35" s="59">
        <v>12</v>
      </c>
      <c r="D35" s="59">
        <f>COUNTIFS(Mar!$B:$B,2071,Mar!$J:$J,15)</f>
        <v>0</v>
      </c>
      <c r="E35" s="59">
        <v>4</v>
      </c>
      <c r="F35" s="59">
        <v>6</v>
      </c>
      <c r="G35" s="59">
        <v>5</v>
      </c>
      <c r="H35" s="59">
        <v>10</v>
      </c>
      <c r="I35" s="59">
        <v>12</v>
      </c>
      <c r="J35" s="59">
        <v>13</v>
      </c>
      <c r="K35" s="59">
        <v>2</v>
      </c>
      <c r="L35" s="59">
        <v>3</v>
      </c>
      <c r="M35" s="59">
        <v>3</v>
      </c>
    </row>
    <row r="36" spans="1:13" s="8" customFormat="1" ht="11.25" customHeight="1">
      <c r="A36" s="10" t="s">
        <v>39</v>
      </c>
      <c r="B36" s="59">
        <f>COUNTIFS(Jan!$B:$B,2071,Jan!$J:$J,29)</f>
        <v>4</v>
      </c>
      <c r="C36" s="59">
        <v>2</v>
      </c>
      <c r="D36" s="59">
        <v>5</v>
      </c>
      <c r="E36" s="59">
        <v>2</v>
      </c>
      <c r="F36" s="59">
        <v>5</v>
      </c>
      <c r="G36" s="59">
        <v>5</v>
      </c>
      <c r="H36" s="59">
        <f>COUNTIFS(Jul!$B:$B,2071,Jul!$J:$J,29)</f>
        <v>0</v>
      </c>
      <c r="I36" s="59">
        <v>1</v>
      </c>
      <c r="J36" s="59">
        <v>2</v>
      </c>
      <c r="K36" s="59">
        <v>2</v>
      </c>
      <c r="L36" s="59">
        <v>1</v>
      </c>
      <c r="M36" s="59">
        <v>0</v>
      </c>
    </row>
    <row r="37" spans="1:13" s="8" customFormat="1" ht="11.25" customHeight="1">
      <c r="A37" s="10" t="s">
        <v>3</v>
      </c>
      <c r="B37" s="59">
        <f>COUNTIFS(Jan!$B:$B,2071,Jan!$J:$J,13)</f>
        <v>0</v>
      </c>
      <c r="C37" s="59">
        <f>COUNTIFS(Feb!$B:$B,2071,Feb!$J:$J,13)</f>
        <v>0</v>
      </c>
      <c r="D37" s="59">
        <f>COUNTIFS(Mar!$B:$B,2071,Mar!$J:$J,13)</f>
        <v>0</v>
      </c>
      <c r="E37" s="59">
        <v>1</v>
      </c>
      <c r="F37" s="59">
        <v>1</v>
      </c>
      <c r="G37" s="59">
        <f>COUNTIFS(Jun!$B:$B,2071,Jun!$J:$J,13)</f>
        <v>0</v>
      </c>
      <c r="H37" s="59">
        <f>COUNTIFS(Jul!$B:$B,2071,Jul!$J:$J,13)</f>
        <v>0</v>
      </c>
      <c r="I37" s="59">
        <v>1</v>
      </c>
      <c r="J37" s="59">
        <v>3</v>
      </c>
      <c r="K37" s="59">
        <f>COUNTIFS(Oct!$B:$B,2071,Oct!$J:$J,13)</f>
        <v>0</v>
      </c>
      <c r="L37" s="59">
        <f>COUNTIFS(Nov!$B:$B,2071,Nov!$J:$J,13)</f>
        <v>0</v>
      </c>
      <c r="M37" s="59">
        <v>0</v>
      </c>
    </row>
    <row r="38" spans="1:13" s="8" customFormat="1" ht="11.25" customHeight="1">
      <c r="A38" s="9" t="s">
        <v>218</v>
      </c>
      <c r="B38" s="59">
        <f>COUNTIFS(Jan!$B:$B,2071,Jan!$J:$J,43)</f>
        <v>1</v>
      </c>
      <c r="C38" s="59">
        <v>1</v>
      </c>
      <c r="D38" s="59">
        <v>1</v>
      </c>
      <c r="E38" s="59">
        <f>COUNTIFS(Apr!$B:$B,2071,Apr!$J:$J,43)</f>
        <v>0</v>
      </c>
      <c r="F38" s="59">
        <v>5</v>
      </c>
      <c r="G38" s="59">
        <v>5</v>
      </c>
      <c r="H38" s="59">
        <v>11</v>
      </c>
      <c r="I38" s="59">
        <v>5</v>
      </c>
      <c r="J38" s="59">
        <v>11</v>
      </c>
      <c r="K38" s="59">
        <v>2</v>
      </c>
      <c r="L38" s="59">
        <f>COUNTIFS(Nov!$B:$B,2071,Nov!$J:$J,43)</f>
        <v>0</v>
      </c>
      <c r="M38" s="59">
        <v>5</v>
      </c>
    </row>
    <row r="39" spans="1:13" s="8" customFormat="1" ht="11.25" customHeight="1">
      <c r="A39" s="10" t="s">
        <v>25</v>
      </c>
      <c r="B39" s="59">
        <f>COUNTIFS(Jan!$B:$B,2071,Jan!$J:$J,24)</f>
        <v>10</v>
      </c>
      <c r="C39" s="59">
        <v>6</v>
      </c>
      <c r="D39" s="59">
        <v>7</v>
      </c>
      <c r="E39" s="59">
        <f>COUNTIFS(Apr!$B:$B,2071,Apr!$J:$J,24)</f>
        <v>0</v>
      </c>
      <c r="F39" s="59">
        <v>16</v>
      </c>
      <c r="G39" s="59">
        <v>9</v>
      </c>
      <c r="H39" s="59">
        <v>3</v>
      </c>
      <c r="I39" s="59">
        <v>9</v>
      </c>
      <c r="J39" s="59">
        <v>9</v>
      </c>
      <c r="K39" s="59">
        <v>5</v>
      </c>
      <c r="L39" s="59">
        <f>COUNTIFS(Nov!$B:$B,2071,Nov!$J:$J,24)</f>
        <v>0</v>
      </c>
      <c r="M39" s="59">
        <v>2</v>
      </c>
    </row>
    <row r="40" spans="1:13" s="8" customFormat="1" ht="11.25" customHeight="1">
      <c r="A40" s="10" t="s">
        <v>34</v>
      </c>
      <c r="B40" s="59">
        <f>COUNTIFS(Jan!$B:$B,2071,Jan!$J:$J,9)</f>
        <v>0</v>
      </c>
      <c r="C40" s="59">
        <f>COUNTIFS(Feb!$B:$B,2071,Feb!$J:$J,9)</f>
        <v>0</v>
      </c>
      <c r="D40" s="59">
        <f>COUNTIFS(Mar!$B:$B,2071,Mar!$J:$J,9)</f>
        <v>0</v>
      </c>
      <c r="E40" s="59">
        <f>COUNTIFS(Apr!$B:$B,2071,Apr!$J:$J,9)</f>
        <v>0</v>
      </c>
      <c r="F40" s="59">
        <f>COUNTIFS(May!$B:$B,2071,May!$J:$J,9)</f>
        <v>0</v>
      </c>
      <c r="G40" s="59">
        <f>COUNTIFS(Jun!$B:$B,2071,Jun!$J:$J,9)</f>
        <v>0</v>
      </c>
      <c r="H40" s="59">
        <f>COUNTIFS(Jul!$B:$B,2071,Jul!$J:$J,9)</f>
        <v>0</v>
      </c>
      <c r="I40" s="59">
        <f>COUNTIFS(Aug!$B:$B,2071,Aug!$J:$J,9)</f>
        <v>0</v>
      </c>
      <c r="J40" s="59">
        <f>COUNTIFS(Sep!$B:$B,2071,Sep!$J:$J,9)</f>
        <v>0</v>
      </c>
      <c r="K40" s="59">
        <f>COUNTIFS(Oct!$B:$B,2071,Oct!$J:$J,9)</f>
        <v>0</v>
      </c>
      <c r="L40" s="59">
        <f>COUNTIFS(Nov!$B:$B,2071,Nov!$J:$J,9)</f>
        <v>0</v>
      </c>
      <c r="M40" s="59">
        <v>0</v>
      </c>
    </row>
    <row r="41" spans="1:13" s="8" customFormat="1" ht="11.25" customHeight="1">
      <c r="A41" s="10" t="s">
        <v>31</v>
      </c>
      <c r="B41" s="59">
        <f>COUNTIFS(Jan!$B:$B,2071,Jan!$J:$J,10)</f>
        <v>28</v>
      </c>
      <c r="C41" s="59">
        <v>39</v>
      </c>
      <c r="D41" s="59">
        <v>40</v>
      </c>
      <c r="E41" s="59">
        <v>16</v>
      </c>
      <c r="F41" s="59">
        <v>31</v>
      </c>
      <c r="G41" s="59">
        <v>31</v>
      </c>
      <c r="H41" s="59">
        <v>32</v>
      </c>
      <c r="I41" s="59">
        <v>48</v>
      </c>
      <c r="J41" s="59">
        <v>28</v>
      </c>
      <c r="K41" s="59">
        <v>6</v>
      </c>
      <c r="L41" s="59">
        <v>7</v>
      </c>
      <c r="M41" s="59">
        <v>4</v>
      </c>
    </row>
    <row r="42" spans="1:13" s="8" customFormat="1" ht="11.25" customHeight="1">
      <c r="A42" s="10" t="s">
        <v>144</v>
      </c>
      <c r="B42" s="59">
        <f>COUNTIFS(Jan!$B:$B,2071,Jan!$F:$F,462)</f>
        <v>0</v>
      </c>
      <c r="C42" s="59">
        <f>COUNTIFS(Feb!$B:$B,2071,Feb!$F:$F,462)</f>
        <v>0</v>
      </c>
      <c r="D42" s="59">
        <f>COUNTIFS(Mar!$B:$B,2071,Mar!$F:$F,462)</f>
        <v>0</v>
      </c>
      <c r="E42" s="59">
        <f>COUNTIFS(Apr!$B:$B,2071,Apr!$F:$F,462)</f>
        <v>0</v>
      </c>
      <c r="F42" s="59">
        <f>COUNTIFS(May!$B:$B,2071,May!$F:$F,462)</f>
        <v>0</v>
      </c>
      <c r="G42" s="59">
        <f>COUNTIFS(Jun!$B:$B,2071,Jun!$F:$F,462)</f>
        <v>0</v>
      </c>
      <c r="H42" s="59">
        <f>COUNTIFS(Jul!$B:$B,2071,Jul!$F:$F,462)</f>
        <v>0</v>
      </c>
      <c r="I42" s="59">
        <f>COUNTIFS(Aug!$B:$B,2071,Aug!$F:$F,462)</f>
        <v>0</v>
      </c>
      <c r="J42" s="59">
        <f>COUNTIFS(Sep!$B:$B,2071,Sep!$F:$F,462)</f>
        <v>0</v>
      </c>
      <c r="K42" s="59">
        <f>COUNTIFS(Oct!$B:$B,2071,Oct!$F:$F,462)</f>
        <v>0</v>
      </c>
      <c r="L42" s="59">
        <f>COUNTIFS(Nov!$B:$B,2071,Nov!$F:$F,462)</f>
        <v>0</v>
      </c>
      <c r="M42" s="59">
        <v>0</v>
      </c>
    </row>
    <row r="43" spans="1:13" s="8" customFormat="1" ht="11.25" customHeight="1">
      <c r="A43" s="10" t="s">
        <v>1</v>
      </c>
      <c r="B43" s="59">
        <f>COUNTIFS(Jan!$B:$B,2071,Jan!$J:$J,11)</f>
        <v>2</v>
      </c>
      <c r="C43" s="59">
        <v>3</v>
      </c>
      <c r="D43" s="59">
        <f>COUNTIFS(Mar!$B:$B,2071,Mar!$J:$J,11)</f>
        <v>0</v>
      </c>
      <c r="E43" s="59">
        <v>43</v>
      </c>
      <c r="F43" s="59">
        <v>13</v>
      </c>
      <c r="G43" s="59">
        <v>9</v>
      </c>
      <c r="H43" s="59">
        <v>34</v>
      </c>
      <c r="I43" s="59">
        <v>47</v>
      </c>
      <c r="J43" s="59">
        <v>50</v>
      </c>
      <c r="K43" s="59">
        <v>19</v>
      </c>
      <c r="L43" s="59">
        <v>4</v>
      </c>
      <c r="M43" s="59">
        <v>8</v>
      </c>
    </row>
    <row r="44" spans="1:13" s="8" customFormat="1" ht="11.25" customHeight="1">
      <c r="A44" s="10" t="s">
        <v>26</v>
      </c>
      <c r="B44" s="59">
        <f>COUNTIFS(Jan!$B:$B,2071,Jan!$J:$J,20)</f>
        <v>0</v>
      </c>
      <c r="C44" s="59">
        <v>1</v>
      </c>
      <c r="D44" s="59">
        <f>COUNTIFS(Mar!$B:$B,2071,Mar!$J:$J,20)</f>
        <v>0</v>
      </c>
      <c r="E44" s="59">
        <f>COUNTIFS(Apr!$B:$B,2071,Apr!$J:$J,20)</f>
        <v>0</v>
      </c>
      <c r="F44" s="59">
        <v>1</v>
      </c>
      <c r="G44" s="59">
        <v>1</v>
      </c>
      <c r="H44" s="59">
        <v>1</v>
      </c>
      <c r="I44" s="59">
        <f>COUNTIFS(Aug!$B:$B,2071,Aug!$J:$J,20)</f>
        <v>0</v>
      </c>
      <c r="J44" s="59">
        <v>1</v>
      </c>
      <c r="K44" s="59">
        <f>COUNTIFS(Oct!$B:$B,2071,Oct!$J:$J,20)</f>
        <v>0</v>
      </c>
      <c r="L44" s="59">
        <f>COUNTIFS(Nov!$B:$B,2071,Nov!$J:$J,20)</f>
        <v>0</v>
      </c>
      <c r="M44" s="59">
        <v>0</v>
      </c>
    </row>
    <row r="45" spans="1:13" s="8" customFormat="1" ht="11.25" customHeight="1">
      <c r="A45" s="10" t="s">
        <v>32</v>
      </c>
      <c r="B45" s="59">
        <f>COUNTIFS(Jan!$B:$B,2071,Jan!$J:$J,2)</f>
        <v>24</v>
      </c>
      <c r="C45" s="59">
        <v>22</v>
      </c>
      <c r="D45" s="59">
        <v>15</v>
      </c>
      <c r="E45" s="59">
        <v>6</v>
      </c>
      <c r="F45" s="59">
        <v>16</v>
      </c>
      <c r="G45" s="59">
        <v>23</v>
      </c>
      <c r="H45" s="59">
        <v>25</v>
      </c>
      <c r="I45" s="59">
        <v>21</v>
      </c>
      <c r="J45" s="59">
        <v>19</v>
      </c>
      <c r="K45" s="59">
        <v>12</v>
      </c>
      <c r="L45" s="59">
        <v>1</v>
      </c>
      <c r="M45" s="59">
        <v>9</v>
      </c>
    </row>
    <row r="46" spans="1:13" s="8" customFormat="1" ht="11.25" customHeight="1">
      <c r="A46" s="10" t="s">
        <v>28</v>
      </c>
      <c r="B46" s="59">
        <f>COUNTIFS(Jan!$B:$B,2071,Jan!$J:$J,1700)+COUNTIFS(Jan!$B:$B,2071,Jan!$F:$F,1700)+COUNTIFS(Jan!$B:$B,2071,Jan!$J:$J,19)</f>
        <v>0</v>
      </c>
      <c r="C46" s="59">
        <f>COUNTIFS(Feb!$B:$B,2071,Feb!$J:$J,1700)+COUNTIFS(Feb!$B:$B,2071,Feb!$F:$F,1700)+COUNTIFS(Feb!$B:$B,2071,Feb!$J:$J,19)</f>
        <v>0</v>
      </c>
      <c r="D46" s="59">
        <f>COUNTIFS(Mar!$B:$B,2071,Mar!$J:$J,1700)+COUNTIFS(Mar!$B:$B,2071,Mar!$F:$F,1700)+COUNTIFS(Mar!$B:$B,2071,Mar!$J:$J,19)</f>
        <v>0</v>
      </c>
      <c r="E46" s="59">
        <f>COUNTIFS(Apr!$B:$B,2071,Apr!$J:$J,1700)+COUNTIFS(Apr!$B:$B,2071,Apr!$F:$F,1700)+COUNTIFS(Apr!$B:$B,2071,Apr!$J:$J,19)</f>
        <v>0</v>
      </c>
      <c r="F46" s="59">
        <f>COUNTIFS(May!$B:$B,2071,May!$J:$J,1700)+COUNTIFS(May!$B:$B,2071,May!$F:$F,1700)+COUNTIFS(May!$B:$B,2071,May!$J:$J,19)</f>
        <v>0</v>
      </c>
      <c r="G46" s="59">
        <f>COUNTIFS(Jun!$B:$B,2071,Jun!$J:$J,1700)+COUNTIFS(Jun!$B:$B,2071,Jun!$F:$F,1700)+COUNTIFS(Jun!$B:$B,2071,Jun!$J:$J,19)</f>
        <v>0</v>
      </c>
      <c r="H46" s="59">
        <f>COUNTIFS(Jul!$B:$B,2071,Jul!$J:$J,1700)+COUNTIFS(Jul!$B:$B,2071,Jul!$F:$F,1700)+COUNTIFS(Jul!$B:$B,2071,Jul!$J:$J,19)</f>
        <v>0</v>
      </c>
      <c r="I46" s="59">
        <f>COUNTIFS(Aug!$B:$B,2071,Aug!$J:$J,1700)+COUNTIFS(Aug!$B:$B,2071,Aug!$F:$F,1700)+COUNTIFS(Aug!$B:$B,2071,Aug!$J:$J,19)</f>
        <v>0</v>
      </c>
      <c r="J46" s="59">
        <f>COUNTIFS(Sep!$B:$B,2071,Sep!$J:$J,1700)+COUNTIFS(Sep!$B:$B,2071,Sep!$F:$F,1700)+COUNTIFS(Sep!$B:$B,2071,Sep!$J:$J,19)</f>
        <v>0</v>
      </c>
      <c r="K46" s="59">
        <f>COUNTIFS(Oct!$B:$B,2071,Oct!$J:$J,1700)+COUNTIFS(Oct!$B:$B,2071,Oct!$F:$F,1700)+COUNTIFS(Oct!$B:$B,2071,Oct!$J:$J,19)</f>
        <v>0</v>
      </c>
      <c r="L46" s="59">
        <f>COUNTIFS(Nov!$B:$B,2071,Nov!$J:$J,1700)+COUNTIFS(Nov!$B:$B,2071,Nov!$F:$F,1700)+COUNTIFS(Nov!$B:$B,2071,Nov!$J:$J,19)</f>
        <v>0</v>
      </c>
      <c r="M46" s="59">
        <v>0</v>
      </c>
    </row>
    <row r="47" spans="1:13" s="8" customFormat="1" ht="11.25" customHeight="1">
      <c r="A47" s="10" t="s">
        <v>0</v>
      </c>
      <c r="B47" s="59">
        <f>COUNTIFS(Jan!$B:$B,2071,Jan!$J:$J,3)</f>
        <v>3</v>
      </c>
      <c r="C47" s="59">
        <v>2</v>
      </c>
      <c r="D47" s="59">
        <v>2</v>
      </c>
      <c r="E47" s="59">
        <v>3</v>
      </c>
      <c r="F47" s="59">
        <v>4</v>
      </c>
      <c r="G47" s="59">
        <v>1</v>
      </c>
      <c r="H47" s="59">
        <v>4</v>
      </c>
      <c r="I47" s="59">
        <v>4</v>
      </c>
      <c r="J47" s="59">
        <v>5</v>
      </c>
      <c r="K47" s="59">
        <v>4</v>
      </c>
      <c r="L47" s="59">
        <v>1</v>
      </c>
      <c r="M47" s="59">
        <v>4</v>
      </c>
    </row>
    <row r="48" spans="1:13" s="8" customFormat="1" ht="11.25" customHeight="1">
      <c r="A48" s="10" t="s">
        <v>35</v>
      </c>
      <c r="B48" s="59">
        <f>COUNTIFS(Jan!$B:$B,2071,Jan!$J:$J,7400)</f>
        <v>1</v>
      </c>
      <c r="C48" s="59">
        <f>COUNTIFS(Feb!$B:$B,2071,Feb!$J:$J,7400)</f>
        <v>0</v>
      </c>
      <c r="D48" s="59">
        <f>COUNTIFS(Mar!$B:$B,2071,Mar!$J:$J,7400)</f>
        <v>0</v>
      </c>
      <c r="E48" s="59">
        <f>COUNTIFS(Apr!$B:$B,2071,Apr!$J:$J,7400)</f>
        <v>0</v>
      </c>
      <c r="F48" s="59">
        <f>COUNTIFS(May!$B:$B,2071,May!$J:$J,7400)</f>
        <v>0</v>
      </c>
      <c r="G48" s="59">
        <f>COUNTIFS(Jun!$B:$B,2071,Jun!$J:$J,7400)</f>
        <v>0</v>
      </c>
      <c r="H48" s="59">
        <v>1</v>
      </c>
      <c r="I48" s="59">
        <f>COUNTIFS(Aug!$B:$B,2071,Aug!$J:$J,7400)</f>
        <v>0</v>
      </c>
      <c r="J48" s="59">
        <f>COUNTIFS(Sep!$B:$B,2071,Sep!$J:$J,7400)</f>
        <v>0</v>
      </c>
      <c r="K48" s="59">
        <f>COUNTIFS(Oct!$B:$B,2071,Oct!$J:$J,7400)</f>
        <v>0</v>
      </c>
      <c r="L48" s="59">
        <f>COUNTIFS(Nov!$B:$B,2071,Nov!$J:$J,7400)</f>
        <v>0</v>
      </c>
      <c r="M48" s="59">
        <v>0</v>
      </c>
    </row>
    <row r="49" spans="1:13" s="8" customFormat="1" ht="11.25" customHeight="1">
      <c r="A49" s="10" t="s">
        <v>2</v>
      </c>
      <c r="B49" s="59">
        <f>COUNTIFS(Jan!$B:$B,2071,Jan!$J:$J,14)</f>
        <v>2</v>
      </c>
      <c r="C49" s="59">
        <v>9</v>
      </c>
      <c r="D49" s="59">
        <v>4</v>
      </c>
      <c r="E49" s="59">
        <v>2</v>
      </c>
      <c r="F49" s="59">
        <v>5</v>
      </c>
      <c r="G49" s="59">
        <v>3</v>
      </c>
      <c r="H49" s="59">
        <v>5</v>
      </c>
      <c r="I49" s="59">
        <v>7</v>
      </c>
      <c r="J49" s="59">
        <v>11</v>
      </c>
      <c r="K49" s="59">
        <f>COUNTIFS(Oct!$B:$B,2071,Oct!$J:$J,14)</f>
        <v>0</v>
      </c>
      <c r="L49" s="59">
        <f>COUNTIFS(Nov!$B:$B,2071,Nov!$J:$J,14)</f>
        <v>0</v>
      </c>
      <c r="M49" s="59">
        <v>3</v>
      </c>
    </row>
    <row r="50" spans="1:13" s="8" customFormat="1" ht="11.25" customHeight="1">
      <c r="A50" s="10" t="s">
        <v>142</v>
      </c>
      <c r="B50" s="59">
        <f>COUNTIFS(Jan!$B:$B,2071,Jan!$F:$F,466)</f>
        <v>1</v>
      </c>
      <c r="C50" s="59">
        <f>COUNTIFS(Feb!$B:$B,2071,Feb!$F:$F,466)</f>
        <v>0</v>
      </c>
      <c r="D50" s="59">
        <v>1</v>
      </c>
      <c r="E50" s="59">
        <f>COUNTIFS(Apr!$B:$B,2071,Apr!$F:$F,466)</f>
        <v>0</v>
      </c>
      <c r="F50" s="59">
        <f>COUNTIFS(May!$B:$B,2071,May!$F:$F,466)</f>
        <v>0</v>
      </c>
      <c r="G50" s="59">
        <f>COUNTIFS(Jun!$B:$B,2071,Jun!$F:$F,466)</f>
        <v>0</v>
      </c>
      <c r="H50" s="59">
        <f>COUNTIFS(Jul!$B:$B,2071,Jul!$F:$F,466)</f>
        <v>0</v>
      </c>
      <c r="I50" s="59">
        <f>COUNTIFS(Aug!$B:$B,2071,Aug!$F:$F,466)</f>
        <v>0</v>
      </c>
      <c r="J50" s="59">
        <f>COUNTIFS(Sep!$B:$B,2071,Sep!$F:$F,466)</f>
        <v>0</v>
      </c>
      <c r="K50" s="59">
        <f>COUNTIFS(Oct!$B:$B,2071,Oct!$F:$F,466)</f>
        <v>0</v>
      </c>
      <c r="L50" s="59">
        <f>COUNTIFS(Nov!$B:$B,2071,Nov!$F:$F,466)</f>
        <v>0</v>
      </c>
      <c r="M50" s="59">
        <v>0</v>
      </c>
    </row>
    <row r="51" spans="1:13" s="8" customFormat="1" ht="11.25" customHeight="1">
      <c r="A51" s="10" t="s">
        <v>27</v>
      </c>
      <c r="B51" s="59">
        <f>COUNTIFS(Jan!$B:$B,2071,Jan!$J:$J,25)</f>
        <v>0</v>
      </c>
      <c r="C51" s="59">
        <f>COUNTIFS(Feb!$B:$B,2071,Feb!$J:$J,25)</f>
        <v>0</v>
      </c>
      <c r="D51" s="59">
        <v>0</v>
      </c>
      <c r="E51" s="59">
        <f>COUNTIFS(Apr!$B:$B,2071,Apr!$J:$J,25)</f>
        <v>0</v>
      </c>
      <c r="F51" s="59">
        <f>COUNTIFS(May!$B:$B,2071,May!$J:$J,25)</f>
        <v>0</v>
      </c>
      <c r="G51" s="59">
        <f>COUNTIFS(Jun!$B:$B,2071,Jun!$J:$J,25)</f>
        <v>0</v>
      </c>
      <c r="H51" s="59">
        <f>COUNTIFS(Jul!$B:$B,2071,Jul!$J:$J,25)</f>
        <v>0</v>
      </c>
      <c r="I51" s="59">
        <f>COUNTIFS(Aug!$B:$B,2071,Aug!$J:$J,25)</f>
        <v>0</v>
      </c>
      <c r="J51" s="59">
        <f>COUNTIFS(Sep!$B:$B,2071,Sep!$J:$J,25)</f>
        <v>0</v>
      </c>
      <c r="K51" s="59">
        <f>COUNTIFS(Oct!$B:$B,2071,Oct!$J:$J,25)</f>
        <v>0</v>
      </c>
      <c r="L51" s="59">
        <f>COUNTIFS(Nov!$B:$B,2071,Nov!$J:$J,25)</f>
        <v>0</v>
      </c>
      <c r="M51" s="59">
        <v>0</v>
      </c>
    </row>
    <row r="52" spans="1:13" s="8" customFormat="1" ht="11.25" customHeight="1" thickBot="1">
      <c r="A52" s="11" t="s">
        <v>16</v>
      </c>
      <c r="B52" s="60">
        <f t="shared" ref="B52:G52" si="11">SUM(B34:B51)</f>
        <v>83</v>
      </c>
      <c r="C52" s="60">
        <f t="shared" si="11"/>
        <v>97</v>
      </c>
      <c r="D52" s="60">
        <f t="shared" si="11"/>
        <v>75</v>
      </c>
      <c r="E52" s="60">
        <f t="shared" si="11"/>
        <v>77</v>
      </c>
      <c r="F52" s="60">
        <f t="shared" si="11"/>
        <v>103</v>
      </c>
      <c r="G52" s="60">
        <f t="shared" si="11"/>
        <v>92</v>
      </c>
      <c r="H52" s="60">
        <f t="shared" ref="H52:M52" si="12">SUM(H34:H51)</f>
        <v>126</v>
      </c>
      <c r="I52" s="60">
        <f t="shared" si="12"/>
        <v>155</v>
      </c>
      <c r="J52" s="60">
        <f t="shared" si="12"/>
        <v>152</v>
      </c>
      <c r="K52" s="60">
        <f t="shared" si="12"/>
        <v>52</v>
      </c>
      <c r="L52" s="159">
        <f t="shared" si="12"/>
        <v>17</v>
      </c>
      <c r="M52" s="170">
        <f t="shared" si="12"/>
        <v>38</v>
      </c>
    </row>
    <row r="53" spans="1:13" ht="12" customHeight="1" thickBot="1">
      <c r="A53" s="55" t="s">
        <v>137</v>
      </c>
      <c r="B53" s="50">
        <v>41275</v>
      </c>
      <c r="C53" s="47">
        <v>41306</v>
      </c>
      <c r="D53" s="47">
        <v>41334</v>
      </c>
      <c r="E53" s="47">
        <v>41365</v>
      </c>
      <c r="F53" s="47">
        <v>41395</v>
      </c>
      <c r="G53" s="47">
        <v>41426</v>
      </c>
      <c r="H53" s="47">
        <v>41456</v>
      </c>
      <c r="I53" s="47">
        <v>41487</v>
      </c>
      <c r="J53" s="47">
        <v>41518</v>
      </c>
      <c r="K53" s="47">
        <v>41548</v>
      </c>
      <c r="L53" s="47">
        <v>41579</v>
      </c>
      <c r="M53" s="51">
        <v>41609</v>
      </c>
    </row>
    <row r="54" spans="1:13" s="8" customFormat="1" ht="11.25" customHeight="1">
      <c r="A54" s="10" t="s">
        <v>30</v>
      </c>
      <c r="B54" s="57">
        <f>COUNTIFS(Jan!$B:$B,2071,Jan!$J:$J,7)</f>
        <v>5</v>
      </c>
      <c r="C54" s="57">
        <v>6</v>
      </c>
      <c r="D54" s="57">
        <v>2</v>
      </c>
      <c r="E54" s="57">
        <v>2</v>
      </c>
      <c r="F54" s="57">
        <v>7</v>
      </c>
      <c r="G54" s="57">
        <v>12</v>
      </c>
      <c r="H54" s="57">
        <v>8</v>
      </c>
      <c r="I54" s="57">
        <v>8</v>
      </c>
      <c r="J54" s="57">
        <v>8</v>
      </c>
      <c r="K54" s="57">
        <v>2</v>
      </c>
      <c r="L54" s="57">
        <v>3</v>
      </c>
      <c r="M54" s="57">
        <v>7</v>
      </c>
    </row>
    <row r="55" spans="1:13" s="8" customFormat="1" ht="11.25" customHeight="1">
      <c r="A55" s="10" t="s">
        <v>29</v>
      </c>
      <c r="B55" s="59">
        <f>COUNTIFS(Jan!$B:$B,2071,Jan!$J:$J,8)</f>
        <v>0</v>
      </c>
      <c r="C55" s="59">
        <f>COUNTIFS(Feb!$B:$B,2071,Feb!$J:$J,8)</f>
        <v>0</v>
      </c>
      <c r="D55" s="59">
        <f>COUNTIFS(Mar!$B:$B,2071,Mar!$J:$J,8)</f>
        <v>0</v>
      </c>
      <c r="E55" s="59">
        <f>COUNTIFS(Apr!$B:$B,2071,Apr!$J:$J,8)</f>
        <v>0</v>
      </c>
      <c r="F55" s="59">
        <f>COUNTIFS(May!$B:$B,2071,May!$J:$J,8)</f>
        <v>0</v>
      </c>
      <c r="G55" s="59">
        <f>COUNTIFS(Jun!$B:$B,2071,Jun!$J:$J,8)</f>
        <v>0</v>
      </c>
      <c r="H55" s="59">
        <f>COUNTIFS(Jul!$B:$B,2071,Jul!$J:$J,8)</f>
        <v>0</v>
      </c>
      <c r="I55" s="59">
        <v>1</v>
      </c>
      <c r="J55" s="59">
        <f>COUNTIFS(Sep!$B:$B,2071,Sep!$J:$J,8)</f>
        <v>0</v>
      </c>
      <c r="K55" s="59">
        <f>COUNTIFS(Oct!$B:$B,2071,Oct!$J:$J,8)</f>
        <v>0</v>
      </c>
      <c r="L55" s="59">
        <f>COUNTIFS(Nov!$B:$B,2071,Nov!$J:$J,8)</f>
        <v>0</v>
      </c>
      <c r="M55" s="59">
        <v>0</v>
      </c>
    </row>
    <row r="56" spans="1:13" s="8" customFormat="1" ht="11.25" customHeight="1">
      <c r="A56" s="10" t="s">
        <v>7</v>
      </c>
      <c r="B56" s="59">
        <f>COUNTIFS(Jan!$B:$B,2071,Jan!$J:$J,12)</f>
        <v>75</v>
      </c>
      <c r="C56" s="59">
        <v>112</v>
      </c>
      <c r="D56" s="59">
        <v>41</v>
      </c>
      <c r="E56" s="59">
        <v>23</v>
      </c>
      <c r="F56" s="59">
        <v>47</v>
      </c>
      <c r="G56" s="59">
        <v>44</v>
      </c>
      <c r="H56" s="59">
        <v>30</v>
      </c>
      <c r="I56" s="59">
        <v>34</v>
      </c>
      <c r="J56" s="59">
        <v>58</v>
      </c>
      <c r="K56" s="59">
        <v>12</v>
      </c>
      <c r="L56" s="59">
        <v>10</v>
      </c>
      <c r="M56" s="59">
        <v>28</v>
      </c>
    </row>
    <row r="57" spans="1:13" s="8" customFormat="1" ht="11.25" customHeight="1">
      <c r="A57" s="10" t="s">
        <v>10</v>
      </c>
      <c r="B57" s="59">
        <f>COUNTIFS(Jan!$B:$B,2071,Jan!$J:$J,5100)</f>
        <v>0</v>
      </c>
      <c r="C57" s="59">
        <f>COUNTIFS(Feb!$B:$B,2071,Feb!$J:$J,5100)</f>
        <v>0</v>
      </c>
      <c r="D57" s="59">
        <f>COUNTIFS(Mar!$B:$B,2071,Mar!$J:$J,5100)</f>
        <v>0</v>
      </c>
      <c r="E57" s="59">
        <f>COUNTIFS(Apr!$B:$B,2071,Apr!$J:$J,5100)</f>
        <v>0</v>
      </c>
      <c r="F57" s="59">
        <f>COUNTIFS(May!$B:$B,2071,May!$J:$J,5100)</f>
        <v>0</v>
      </c>
      <c r="G57" s="59">
        <f>COUNTIFS(Jun!$B:$B,2071,Jun!$J:$J,5100)</f>
        <v>0</v>
      </c>
      <c r="H57" s="59">
        <f>COUNTIFS(Jul!$B:$B,2071,Jul!$J:$J,5100)</f>
        <v>0</v>
      </c>
      <c r="I57" s="59">
        <f>COUNTIFS(Aug!$B:$B,2071,Aug!$J:$J,5100)</f>
        <v>0</v>
      </c>
      <c r="J57" s="59">
        <f>COUNTIFS(Sep!$B:$B,2071,Sep!$J:$J,5100)</f>
        <v>0</v>
      </c>
      <c r="K57" s="59">
        <f>COUNTIFS(Oct!$B:$B,2071,Oct!$J:$J,5100)</f>
        <v>0</v>
      </c>
      <c r="L57" s="59">
        <f>COUNTIFS(Nov!$B:$B,2071,Nov!$J:$J,5100)</f>
        <v>0</v>
      </c>
      <c r="M57" s="59">
        <v>0</v>
      </c>
    </row>
    <row r="58" spans="1:13" s="8" customFormat="1" ht="11.25" customHeight="1">
      <c r="A58" s="10" t="s">
        <v>36</v>
      </c>
      <c r="B58" s="59">
        <f>COUNTIFS(Jan!$B:$B,2071,Jan!$J:$J,6200)</f>
        <v>1</v>
      </c>
      <c r="C58" s="59">
        <f>COUNTIFS(Feb!$B:$B,2071,Feb!$J:$J,6200)</f>
        <v>0</v>
      </c>
      <c r="D58" s="59">
        <f>COUNTIFS(Mar!$B:$B,2071,Mar!$J:$J,6200)</f>
        <v>0</v>
      </c>
      <c r="E58" s="59">
        <f>COUNTIFS(Apr!$B:$B,2071,Apr!$J:$J,6200)</f>
        <v>0</v>
      </c>
      <c r="F58" s="59">
        <f>COUNTIFS(May!$B:$B,2071,May!$J:$J,6200)</f>
        <v>0</v>
      </c>
      <c r="G58" s="59">
        <f>COUNTIFS(Jun!$B:$B,2071,Jun!$J:$J,6200)</f>
        <v>0</v>
      </c>
      <c r="H58" s="59">
        <f>COUNTIFS(Jul!$B:$B,2071,Jul!$J:$J,6200)</f>
        <v>0</v>
      </c>
      <c r="I58" s="59">
        <f>COUNTIFS(Aug!$B:$B,2071,Aug!$J:$J,6200)</f>
        <v>0</v>
      </c>
      <c r="J58" s="59">
        <f>COUNTIFS(Sep!$B:$B,2071,Sep!$J:$J,6200)</f>
        <v>0</v>
      </c>
      <c r="K58" s="59">
        <f>COUNTIFS(Oct!$B:$B,2071,Oct!$J:$J,6200)</f>
        <v>0</v>
      </c>
      <c r="L58" s="59">
        <v>1</v>
      </c>
      <c r="M58" s="59">
        <v>5</v>
      </c>
    </row>
    <row r="59" spans="1:13" s="8" customFormat="1" ht="11.25" customHeight="1">
      <c r="A59" s="10" t="s">
        <v>145</v>
      </c>
      <c r="B59" s="59">
        <f>COUNTIFS(Jan!$B:$B,2071,Jan!$J:$J,28)</f>
        <v>0</v>
      </c>
      <c r="C59" s="59">
        <f>COUNTIFS(Feb!$B:$B,2071,Feb!$J:$J,28)</f>
        <v>0</v>
      </c>
      <c r="D59" s="59">
        <f>COUNTIFS(Mar!$B:$B,2071,Mar!$J:$J,28)</f>
        <v>0</v>
      </c>
      <c r="E59" s="59">
        <f>COUNTIFS(Apr!$B:$B,2071,Apr!$J:$J,28)</f>
        <v>0</v>
      </c>
      <c r="F59" s="59">
        <f>COUNTIFS(May!$B:$B,2071,May!$J:$J,28)</f>
        <v>0</v>
      </c>
      <c r="G59" s="59">
        <f>COUNTIFS(Jun!$B:$B,2071,Jun!$J:$J,28)</f>
        <v>0</v>
      </c>
      <c r="H59" s="59">
        <f>COUNTIFS(Jul!$B:$B,2071,Jul!$J:$J,28)</f>
        <v>0</v>
      </c>
      <c r="I59" s="59">
        <f>COUNTIFS(Aug!$B:$B,2071,Aug!$J:$J,28)</f>
        <v>0</v>
      </c>
      <c r="J59" s="59">
        <f>COUNTIFS(Sep!$B:$B,2071,Sep!$J:$J,28)</f>
        <v>0</v>
      </c>
      <c r="K59" s="59">
        <f>COUNTIFS(Oct!$B:$B,2071,Oct!$J:$J,28)</f>
        <v>0</v>
      </c>
      <c r="L59" s="59">
        <f>COUNTIFS(Nov!$B:$B,2071,Nov!$J:$J,28)</f>
        <v>0</v>
      </c>
      <c r="M59" s="59">
        <v>0</v>
      </c>
    </row>
    <row r="60" spans="1:13" s="8" customFormat="1" ht="11.25" customHeight="1">
      <c r="A60" s="10" t="s">
        <v>38</v>
      </c>
      <c r="B60" s="59">
        <f>COUNTIFS(Jan!$B:$B,2071,Jan!$J:$J,6100)</f>
        <v>0</v>
      </c>
      <c r="C60" s="59">
        <f>COUNTIFS(Feb!$B:$B,2071,Feb!$J:$J,6100)</f>
        <v>0</v>
      </c>
      <c r="D60" s="59">
        <v>1</v>
      </c>
      <c r="E60" s="59">
        <f>COUNTIFS(Apr!$B:$B,2071,Apr!$J:$J,6100)</f>
        <v>0</v>
      </c>
      <c r="F60" s="59">
        <v>1</v>
      </c>
      <c r="G60" s="59">
        <f>COUNTIFS(Jun!$B:$B,2071,Jun!$J:$J,6100)</f>
        <v>0</v>
      </c>
      <c r="H60" s="59">
        <f>COUNTIFS(Jul!$B:$B,2071,Jul!$J:$J,6100)</f>
        <v>0</v>
      </c>
      <c r="I60" s="59">
        <f>COUNTIFS(Aug!$B:$B,2071,Aug!$J:$J,6100)</f>
        <v>0</v>
      </c>
      <c r="J60" s="59">
        <f>COUNTIFS(Sep!$B:$B,2071,Sep!$J:$J,6100)</f>
        <v>0</v>
      </c>
      <c r="K60" s="59">
        <f>COUNTIFS(Oct!$B:$B,2071,Oct!$J:$J,6100)</f>
        <v>0</v>
      </c>
      <c r="L60" s="59">
        <f>COUNTIFS(Nov!$B:$B,2071,Nov!$J:$J,6100)</f>
        <v>0</v>
      </c>
      <c r="M60" s="59">
        <v>2</v>
      </c>
    </row>
    <row r="61" spans="1:13" s="8" customFormat="1" ht="11.25" customHeight="1">
      <c r="A61" s="10" t="s">
        <v>9</v>
      </c>
      <c r="B61" s="59">
        <f>COUNTIFS(Jan!$B:$B,2071,Jan!$J:$J,6)</f>
        <v>0</v>
      </c>
      <c r="C61" s="59">
        <f>COUNTIFS(Feb!$B:$B,2071,Feb!$J:$J,6)</f>
        <v>0</v>
      </c>
      <c r="D61" s="59">
        <f>COUNTIFS(Mar!$B:$B,2071,Mar!$J:$J,6)</f>
        <v>0</v>
      </c>
      <c r="E61" s="59">
        <f>COUNTIFS(Apr!$B:$B,2071,Apr!$J:$J,6)</f>
        <v>0</v>
      </c>
      <c r="F61" s="59">
        <f>COUNTIFS(May!$B:$B,2071,May!$J:$J,6)</f>
        <v>0</v>
      </c>
      <c r="G61" s="59">
        <f>COUNTIFS(Jun!$B:$B,2071,Jun!$J:$J,6)</f>
        <v>0</v>
      </c>
      <c r="H61" s="59">
        <f>COUNTIFS(Jul!$B:$B,2071,Jul!$J:$J,6)</f>
        <v>0</v>
      </c>
      <c r="I61" s="59">
        <f>COUNTIFS(Aug!$B:$B,2071,Aug!$J:$J,6)</f>
        <v>0</v>
      </c>
      <c r="J61" s="59">
        <f>COUNTIFS(Sep!$B:$B,2071,Sep!$J:$J,6)</f>
        <v>0</v>
      </c>
      <c r="K61" s="59">
        <f>COUNTIFS(Oct!$B:$B,2071,Oct!$J:$J,6)</f>
        <v>0</v>
      </c>
      <c r="L61" s="59">
        <f>COUNTIFS(Nov!$B:$B,2071,Nov!$J:$J,6)</f>
        <v>0</v>
      </c>
      <c r="M61" s="59">
        <v>0</v>
      </c>
    </row>
    <row r="62" spans="1:13" s="8" customFormat="1" ht="11.25" customHeight="1">
      <c r="A62" s="10" t="s">
        <v>8</v>
      </c>
      <c r="B62" s="59">
        <f>COUNTIFS(Jan!$B:$B,2071,Jan!$J:$J,4)</f>
        <v>0</v>
      </c>
      <c r="C62" s="59">
        <f>COUNTIFS(Feb!$B:$B,2071,Feb!$J:$J,4)</f>
        <v>0</v>
      </c>
      <c r="D62" s="59">
        <f>COUNTIFS(Mar!$B:$B,2071,Mar!$J:$J,4)</f>
        <v>0</v>
      </c>
      <c r="E62" s="59">
        <f>COUNTIFS(Apr!$B:$B,2071,Apr!$J:$J,4)</f>
        <v>0</v>
      </c>
      <c r="F62" s="59">
        <f>COUNTIFS(May!$B:$B,2071,May!$J:$J,4)</f>
        <v>0</v>
      </c>
      <c r="G62" s="59">
        <f>COUNTIFS(Jun!$B:$B,2071,Jun!$J:$J,4)</f>
        <v>0</v>
      </c>
      <c r="H62" s="59">
        <f>COUNTIFS(Jul!$B:$B,2071,Jul!$J:$J,4)</f>
        <v>0</v>
      </c>
      <c r="I62" s="59">
        <f>COUNTIFS(Aug!$B:$B,2071,Aug!$J:$J,4)</f>
        <v>0</v>
      </c>
      <c r="J62" s="59">
        <f>COUNTIFS(Sep!$B:$B,2071,Sep!$J:$J,4)</f>
        <v>0</v>
      </c>
      <c r="K62" s="59">
        <f>COUNTIFS(Oct!$B:$B,2071,Oct!$J:$J,4)</f>
        <v>0</v>
      </c>
      <c r="L62" s="59">
        <f>COUNTIFS(Nov!$B:$B,2071,Nov!$J:$J,4)</f>
        <v>0</v>
      </c>
      <c r="M62" s="59">
        <v>0</v>
      </c>
    </row>
    <row r="63" spans="1:13" s="8" customFormat="1" ht="11.25" customHeight="1">
      <c r="A63" s="10" t="s">
        <v>6</v>
      </c>
      <c r="B63" s="59">
        <f>COUNTIFS(Jan!$B:$B,2071,Jan!$J:$J,5)</f>
        <v>0</v>
      </c>
      <c r="C63" s="59">
        <f>COUNTIFS(Feb!$B:$B,2071,Feb!$J:$J,5)</f>
        <v>0</v>
      </c>
      <c r="D63" s="59">
        <f>COUNTIFS(Mar!$B:$B,2071,Mar!$J:$J,5)</f>
        <v>0</v>
      </c>
      <c r="E63" s="59">
        <f>COUNTIFS(Apr!$B:$B,2071,Apr!$J:$J,5)</f>
        <v>0</v>
      </c>
      <c r="F63" s="59">
        <f>COUNTIFS(May!$B:$B,2071,May!$J:$J,5)</f>
        <v>0</v>
      </c>
      <c r="G63" s="59">
        <f>COUNTIFS(Jun!$B:$B,2071,Jun!$J:$J,5)</f>
        <v>0</v>
      </c>
      <c r="H63" s="59">
        <f>COUNTIFS(Jul!$B:$B,2071,Jul!$J:$J,5)</f>
        <v>0</v>
      </c>
      <c r="I63" s="59">
        <f>COUNTIFS(Aug!$B:$B,2071,Aug!$J:$J,5)</f>
        <v>0</v>
      </c>
      <c r="J63" s="59">
        <f>COUNTIFS(Sep!$B:$B,2071,Sep!$J:$J,5)</f>
        <v>0</v>
      </c>
      <c r="K63" s="59">
        <f>COUNTIFS(Oct!$B:$B,2071,Oct!$J:$J,5)</f>
        <v>0</v>
      </c>
      <c r="L63" s="59">
        <f>COUNTIFS(Nov!$B:$B,2071,Nov!$J:$J,5)</f>
        <v>0</v>
      </c>
      <c r="M63" s="59">
        <v>1</v>
      </c>
    </row>
    <row r="64" spans="1:13" s="8" customFormat="1" ht="11.25" customHeight="1">
      <c r="A64" s="52" t="s">
        <v>141</v>
      </c>
      <c r="B64" s="69">
        <f>COUNTIFS(Jan!$B:$B,2071,Jan!$F:$F,456)</f>
        <v>10</v>
      </c>
      <c r="C64" s="69">
        <v>7</v>
      </c>
      <c r="D64" s="69">
        <v>6</v>
      </c>
      <c r="E64" s="69">
        <v>1</v>
      </c>
      <c r="F64" s="69">
        <v>7</v>
      </c>
      <c r="G64" s="69">
        <v>3</v>
      </c>
      <c r="H64" s="69">
        <f>COUNTIFS(Jul!$B:$B,2071,Jul!$F:$F,456)</f>
        <v>0</v>
      </c>
      <c r="I64" s="69">
        <v>2</v>
      </c>
      <c r="J64" s="69">
        <f>COUNTIFS(Sep!$B:$B,2071,Sep!$F:$F,456)</f>
        <v>0</v>
      </c>
      <c r="K64" s="69">
        <f>COUNTIFS(Oct!$B:$B,2071,Oct!$F:$F,456)</f>
        <v>0</v>
      </c>
      <c r="L64" s="69">
        <f>COUNTIFS(Nov!$B:$B,2071,Nov!$F:$F,456)</f>
        <v>0</v>
      </c>
      <c r="M64" s="69">
        <v>1</v>
      </c>
    </row>
    <row r="65" spans="1:13" s="8" customFormat="1" ht="11.25" customHeight="1" thickBot="1">
      <c r="A65" s="12" t="s">
        <v>16</v>
      </c>
      <c r="B65" s="70">
        <f>SUM(B54:B64)</f>
        <v>91</v>
      </c>
      <c r="C65" s="70">
        <f t="shared" ref="C65:M65" si="13">SUM(C54:C64)</f>
        <v>125</v>
      </c>
      <c r="D65" s="70">
        <f>SUM(D54:D64)</f>
        <v>50</v>
      </c>
      <c r="E65" s="70">
        <f>SUM(E54:E64)</f>
        <v>26</v>
      </c>
      <c r="F65" s="70">
        <f>SUM(F54:F64)</f>
        <v>62</v>
      </c>
      <c r="G65" s="70">
        <f>SUM(G54:G64)</f>
        <v>59</v>
      </c>
      <c r="H65" s="70">
        <f t="shared" si="13"/>
        <v>38</v>
      </c>
      <c r="I65" s="70">
        <f t="shared" si="13"/>
        <v>45</v>
      </c>
      <c r="J65" s="70">
        <f t="shared" si="13"/>
        <v>66</v>
      </c>
      <c r="K65" s="70">
        <f t="shared" si="13"/>
        <v>14</v>
      </c>
      <c r="L65" s="165">
        <f t="shared" si="13"/>
        <v>14</v>
      </c>
      <c r="M65" s="170">
        <f t="shared" si="13"/>
        <v>44</v>
      </c>
    </row>
    <row r="66" spans="1:13" s="8" customFormat="1" ht="15.75" customHeight="1">
      <c r="A66" s="6"/>
      <c r="B66" s="7"/>
      <c r="C66" s="7"/>
      <c r="D66" s="7"/>
      <c r="E66" s="7"/>
      <c r="F66" s="7"/>
      <c r="G66" s="7"/>
      <c r="H66" s="7"/>
      <c r="I66" s="7"/>
      <c r="J66" s="7"/>
      <c r="K66" s="7"/>
      <c r="L66" s="7"/>
      <c r="M66" s="7"/>
    </row>
    <row r="67" spans="1:13" ht="12" customHeight="1">
      <c r="A67" s="6"/>
      <c r="B67" s="7"/>
      <c r="C67" s="7"/>
      <c r="D67" s="7"/>
      <c r="E67" s="7"/>
      <c r="F67" s="7"/>
      <c r="G67" s="7"/>
      <c r="H67" s="7"/>
      <c r="I67" s="7"/>
      <c r="J67" s="7"/>
      <c r="K67" s="7"/>
      <c r="L67" s="7"/>
      <c r="M67" s="7"/>
    </row>
  </sheetData>
  <phoneticPr fontId="0" type="noConversion"/>
  <printOptions horizontalCentered="1" verticalCentered="1"/>
  <pageMargins left="0.14000000000000001" right="0.16" top="0.25" bottom="0.5" header="0.5" footer="0.25"/>
  <pageSetup scale="95" firstPageNumber="3" orientation="portrait" useFirstPageNumber="1" r:id="rId1"/>
  <headerFooter alignWithMargins="0">
    <oddFooter>&amp;R16 of 51</oddFooter>
  </headerFooter>
  <ignoredErrors>
    <ignoredError sqref="M32 M52 M65" formulaRange="1"/>
  </ignoredError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67"/>
  <sheetViews>
    <sheetView view="pageBreakPreview" topLeftCell="A19" zoomScale="90" zoomScaleNormal="100" zoomScaleSheetLayoutView="90" workbookViewId="0">
      <selection activeCell="M47" sqref="M47"/>
    </sheetView>
  </sheetViews>
  <sheetFormatPr defaultRowHeight="12.75"/>
  <cols>
    <col min="1" max="1" width="22.85546875" style="1" customWidth="1"/>
    <col min="2" max="13" width="7.140625" style="1" customWidth="1"/>
    <col min="14" max="14" width="4.42578125" style="1" customWidth="1"/>
    <col min="15" max="16384" width="9.140625" style="1"/>
  </cols>
  <sheetData>
    <row r="1" spans="1:21" ht="18" customHeight="1">
      <c r="A1" s="130"/>
      <c r="B1" s="131"/>
      <c r="C1" s="131"/>
      <c r="D1" s="131"/>
      <c r="E1" s="131"/>
      <c r="F1" s="131"/>
      <c r="G1" s="131"/>
      <c r="H1" s="130"/>
      <c r="I1" s="131"/>
      <c r="J1" s="131"/>
      <c r="K1" s="131"/>
      <c r="L1" s="130"/>
      <c r="M1" s="143" t="s">
        <v>22</v>
      </c>
    </row>
    <row r="2" spans="1:21" ht="18" customHeight="1">
      <c r="A2" s="130"/>
      <c r="B2" s="135"/>
      <c r="C2" s="135"/>
      <c r="D2" s="135"/>
      <c r="E2" s="135"/>
      <c r="F2" s="135"/>
      <c r="G2" s="135"/>
      <c r="H2" s="130"/>
      <c r="I2" s="135"/>
      <c r="J2" s="135"/>
      <c r="K2" s="135"/>
      <c r="L2" s="130"/>
      <c r="M2" s="155" t="s">
        <v>13</v>
      </c>
    </row>
    <row r="3" spans="1:21" s="5" customFormat="1" ht="18" customHeight="1">
      <c r="A3" s="133"/>
      <c r="B3" s="133"/>
      <c r="C3" s="133"/>
      <c r="D3" s="133"/>
      <c r="E3" s="133"/>
      <c r="F3" s="133"/>
      <c r="G3" s="133"/>
      <c r="H3" s="133"/>
      <c r="I3" s="133"/>
      <c r="J3" s="136"/>
      <c r="K3" s="136"/>
      <c r="L3" s="133"/>
      <c r="M3" s="155" t="s">
        <v>58</v>
      </c>
      <c r="N3" s="134"/>
      <c r="O3" s="134"/>
      <c r="P3" s="134"/>
      <c r="Q3" s="134"/>
      <c r="R3" s="134"/>
      <c r="S3" s="134"/>
      <c r="T3" s="134"/>
      <c r="U3" s="134"/>
    </row>
    <row r="4" spans="1:21" s="8" customFormat="1" ht="6.75" customHeight="1" thickBot="1">
      <c r="A4" s="38"/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</row>
    <row r="5" spans="1:21" s="8" customFormat="1" ht="11.25" customHeight="1" thickBot="1">
      <c r="A5" s="53" t="s">
        <v>19</v>
      </c>
      <c r="B5" s="50">
        <v>41275</v>
      </c>
      <c r="C5" s="47">
        <v>41306</v>
      </c>
      <c r="D5" s="47">
        <v>41334</v>
      </c>
      <c r="E5" s="47">
        <v>41365</v>
      </c>
      <c r="F5" s="47">
        <v>41395</v>
      </c>
      <c r="G5" s="47">
        <v>41426</v>
      </c>
      <c r="H5" s="47">
        <v>41456</v>
      </c>
      <c r="I5" s="47">
        <v>41487</v>
      </c>
      <c r="J5" s="47">
        <v>41518</v>
      </c>
      <c r="K5" s="47">
        <v>41548</v>
      </c>
      <c r="L5" s="47">
        <v>41579</v>
      </c>
      <c r="M5" s="51">
        <v>41609</v>
      </c>
    </row>
    <row r="6" spans="1:21" s="8" customFormat="1" ht="11.25" customHeight="1">
      <c r="A6" s="41" t="s">
        <v>129</v>
      </c>
      <c r="B6" s="57">
        <f t="shared" ref="B6:M6" si="0">B32</f>
        <v>47</v>
      </c>
      <c r="C6" s="57">
        <f t="shared" si="0"/>
        <v>11</v>
      </c>
      <c r="D6" s="57">
        <f t="shared" si="0"/>
        <v>5</v>
      </c>
      <c r="E6" s="57">
        <f t="shared" si="0"/>
        <v>9</v>
      </c>
      <c r="F6" s="57">
        <f t="shared" si="0"/>
        <v>5</v>
      </c>
      <c r="G6" s="57">
        <f t="shared" si="0"/>
        <v>15</v>
      </c>
      <c r="H6" s="57">
        <f t="shared" si="0"/>
        <v>14</v>
      </c>
      <c r="I6" s="57">
        <f t="shared" si="0"/>
        <v>15</v>
      </c>
      <c r="J6" s="57">
        <f t="shared" si="0"/>
        <v>11</v>
      </c>
      <c r="K6" s="57">
        <f t="shared" si="0"/>
        <v>8</v>
      </c>
      <c r="L6" s="156">
        <f t="shared" si="0"/>
        <v>9</v>
      </c>
      <c r="M6" s="168">
        <f t="shared" si="0"/>
        <v>17</v>
      </c>
    </row>
    <row r="7" spans="1:21" s="8" customFormat="1" ht="11.25" customHeight="1">
      <c r="A7" s="42" t="s">
        <v>18</v>
      </c>
      <c r="B7" s="57">
        <f t="shared" ref="B7:M7" si="1">SUM(B10:B12)</f>
        <v>114</v>
      </c>
      <c r="C7" s="57">
        <f t="shared" si="1"/>
        <v>139</v>
      </c>
      <c r="D7" s="57">
        <f t="shared" si="1"/>
        <v>160</v>
      </c>
      <c r="E7" s="57">
        <f t="shared" si="1"/>
        <v>124</v>
      </c>
      <c r="F7" s="57">
        <f t="shared" si="1"/>
        <v>155</v>
      </c>
      <c r="G7" s="57">
        <f t="shared" si="1"/>
        <v>182</v>
      </c>
      <c r="H7" s="57">
        <f t="shared" si="1"/>
        <v>215</v>
      </c>
      <c r="I7" s="57">
        <f t="shared" si="1"/>
        <v>201</v>
      </c>
      <c r="J7" s="57">
        <f t="shared" si="1"/>
        <v>196</v>
      </c>
      <c r="K7" s="57">
        <f t="shared" si="1"/>
        <v>105</v>
      </c>
      <c r="L7" s="156">
        <f t="shared" si="1"/>
        <v>123</v>
      </c>
      <c r="M7" s="171">
        <f t="shared" si="1"/>
        <v>231</v>
      </c>
    </row>
    <row r="8" spans="1:21" s="8" customFormat="1" ht="11.25" customHeight="1" thickBot="1">
      <c r="A8" s="43" t="s">
        <v>14</v>
      </c>
      <c r="B8" s="58">
        <f t="shared" ref="B8:M8" si="2">SUM(B6:B7)</f>
        <v>161</v>
      </c>
      <c r="C8" s="58">
        <f t="shared" si="2"/>
        <v>150</v>
      </c>
      <c r="D8" s="58">
        <f t="shared" si="2"/>
        <v>165</v>
      </c>
      <c r="E8" s="58">
        <f t="shared" si="2"/>
        <v>133</v>
      </c>
      <c r="F8" s="58">
        <f t="shared" si="2"/>
        <v>160</v>
      </c>
      <c r="G8" s="58">
        <f t="shared" si="2"/>
        <v>197</v>
      </c>
      <c r="H8" s="58">
        <f t="shared" si="2"/>
        <v>229</v>
      </c>
      <c r="I8" s="58">
        <f t="shared" si="2"/>
        <v>216</v>
      </c>
      <c r="J8" s="58">
        <f t="shared" si="2"/>
        <v>207</v>
      </c>
      <c r="K8" s="58">
        <f t="shared" si="2"/>
        <v>113</v>
      </c>
      <c r="L8" s="157">
        <f t="shared" si="2"/>
        <v>132</v>
      </c>
      <c r="M8" s="172">
        <f t="shared" si="2"/>
        <v>248</v>
      </c>
    </row>
    <row r="9" spans="1:21" s="8" customFormat="1" ht="11.25" customHeight="1" thickBot="1">
      <c r="A9" s="54" t="s">
        <v>18</v>
      </c>
      <c r="B9" s="50">
        <v>41275</v>
      </c>
      <c r="C9" s="47">
        <v>41306</v>
      </c>
      <c r="D9" s="47">
        <v>41334</v>
      </c>
      <c r="E9" s="47">
        <v>41365</v>
      </c>
      <c r="F9" s="47">
        <v>41395</v>
      </c>
      <c r="G9" s="47">
        <v>41426</v>
      </c>
      <c r="H9" s="47">
        <v>41456</v>
      </c>
      <c r="I9" s="47">
        <v>41487</v>
      </c>
      <c r="J9" s="47">
        <v>41518</v>
      </c>
      <c r="K9" s="47">
        <v>41548</v>
      </c>
      <c r="L9" s="47">
        <v>41579</v>
      </c>
      <c r="M9" s="51">
        <v>41609</v>
      </c>
    </row>
    <row r="10" spans="1:21" s="8" customFormat="1" ht="11.25" customHeight="1">
      <c r="A10" s="9" t="s">
        <v>128</v>
      </c>
      <c r="B10" s="57">
        <f t="shared" ref="B10:M10" si="3">B52</f>
        <v>48</v>
      </c>
      <c r="C10" s="57">
        <f t="shared" si="3"/>
        <v>71</v>
      </c>
      <c r="D10" s="57">
        <f t="shared" si="3"/>
        <v>64</v>
      </c>
      <c r="E10" s="57">
        <f t="shared" si="3"/>
        <v>50</v>
      </c>
      <c r="F10" s="57">
        <f t="shared" si="3"/>
        <v>79</v>
      </c>
      <c r="G10" s="59">
        <f t="shared" si="3"/>
        <v>84</v>
      </c>
      <c r="H10" s="59">
        <f t="shared" si="3"/>
        <v>120</v>
      </c>
      <c r="I10" s="59">
        <f t="shared" si="3"/>
        <v>112</v>
      </c>
      <c r="J10" s="59">
        <f t="shared" si="3"/>
        <v>92</v>
      </c>
      <c r="K10" s="59">
        <f t="shared" si="3"/>
        <v>39</v>
      </c>
      <c r="L10" s="158">
        <f t="shared" si="3"/>
        <v>59</v>
      </c>
      <c r="M10" s="168">
        <f t="shared" si="3"/>
        <v>113</v>
      </c>
    </row>
    <row r="11" spans="1:21" s="8" customFormat="1" ht="11.25" customHeight="1">
      <c r="A11" s="9" t="s">
        <v>127</v>
      </c>
      <c r="B11" s="59">
        <f t="shared" ref="B11:M11" si="4">B65</f>
        <v>9</v>
      </c>
      <c r="C11" s="59">
        <f t="shared" si="4"/>
        <v>14</v>
      </c>
      <c r="D11" s="59">
        <f t="shared" si="4"/>
        <v>21</v>
      </c>
      <c r="E11" s="59">
        <f t="shared" si="4"/>
        <v>19</v>
      </c>
      <c r="F11" s="59">
        <f t="shared" si="4"/>
        <v>16</v>
      </c>
      <c r="G11" s="59">
        <f t="shared" si="4"/>
        <v>12</v>
      </c>
      <c r="H11" s="59">
        <f t="shared" si="4"/>
        <v>22</v>
      </c>
      <c r="I11" s="59">
        <f t="shared" si="4"/>
        <v>17</v>
      </c>
      <c r="J11" s="59">
        <f t="shared" si="4"/>
        <v>18</v>
      </c>
      <c r="K11" s="59">
        <f t="shared" si="4"/>
        <v>8</v>
      </c>
      <c r="L11" s="158">
        <f t="shared" si="4"/>
        <v>11</v>
      </c>
      <c r="M11" s="169">
        <f t="shared" si="4"/>
        <v>14</v>
      </c>
    </row>
    <row r="12" spans="1:21" s="8" customFormat="1" ht="11.25" customHeight="1" thickBot="1">
      <c r="A12" s="2" t="s">
        <v>12</v>
      </c>
      <c r="B12" s="60">
        <f>COUNTIFS(Jan!$B:$B,2074,Jan!$F:$F,800)</f>
        <v>57</v>
      </c>
      <c r="C12" s="60">
        <v>54</v>
      </c>
      <c r="D12" s="60">
        <v>75</v>
      </c>
      <c r="E12" s="60">
        <v>55</v>
      </c>
      <c r="F12" s="60">
        <v>60</v>
      </c>
      <c r="G12" s="60">
        <v>86</v>
      </c>
      <c r="H12" s="60">
        <v>73</v>
      </c>
      <c r="I12" s="60">
        <v>72</v>
      </c>
      <c r="J12" s="60">
        <v>86</v>
      </c>
      <c r="K12" s="60">
        <v>58</v>
      </c>
      <c r="L12" s="60">
        <v>53</v>
      </c>
      <c r="M12" s="60">
        <v>104</v>
      </c>
    </row>
    <row r="13" spans="1:21" s="8" customFormat="1" ht="5.0999999999999996" customHeight="1" thickBot="1">
      <c r="A13" s="3"/>
      <c r="B13" s="17"/>
      <c r="C13" s="17"/>
      <c r="D13" s="17"/>
      <c r="E13" s="17"/>
      <c r="F13" s="17"/>
      <c r="G13" s="17"/>
      <c r="H13" s="17"/>
      <c r="I13" s="17"/>
      <c r="J13" s="17"/>
      <c r="K13" s="17"/>
      <c r="L13" s="17"/>
      <c r="M13" s="147"/>
    </row>
    <row r="14" spans="1:21" s="16" customFormat="1" ht="11.25" customHeight="1">
      <c r="A14" s="44" t="s">
        <v>131</v>
      </c>
      <c r="B14" s="120">
        <v>15666</v>
      </c>
      <c r="C14" s="120">
        <v>17409</v>
      </c>
      <c r="D14" s="120">
        <v>15876</v>
      </c>
      <c r="E14" s="120">
        <v>13741</v>
      </c>
      <c r="F14" s="120">
        <v>18797</v>
      </c>
      <c r="G14" s="120">
        <v>17420</v>
      </c>
      <c r="H14" s="119">
        <v>21009</v>
      </c>
      <c r="I14" s="61">
        <v>13776</v>
      </c>
      <c r="J14" s="61">
        <v>18908</v>
      </c>
      <c r="K14" s="118">
        <v>16662</v>
      </c>
      <c r="L14" s="160">
        <v>18775</v>
      </c>
      <c r="M14" s="173">
        <v>15405</v>
      </c>
      <c r="O14" s="22"/>
      <c r="P14" s="22"/>
      <c r="Q14" s="22"/>
    </row>
    <row r="15" spans="1:21" s="8" customFormat="1" ht="11.25" customHeight="1">
      <c r="A15" s="45" t="s">
        <v>132</v>
      </c>
      <c r="B15" s="62">
        <f>IFERROR((SUMIFS(Jan!$N:$N,Jan!$J:$J,1,Jan!$B:$B,2074)+SUMIFS(Jan!$N:$N,Jan!$D:$D,"&gt;1",Jan!$B:$B,2074))/(COUNTIFS(Jan!$J:$J,1,Jan!$B:$B,2074)+COUNTIFS(Jan!$D:$D,"&gt;1",Jan!$B:$B,2074)),"")</f>
        <v>24.107692307692307</v>
      </c>
      <c r="C15" s="62">
        <v>24.82</v>
      </c>
      <c r="D15" s="62">
        <v>24.58</v>
      </c>
      <c r="E15" s="62">
        <v>22.5</v>
      </c>
      <c r="F15" s="62">
        <v>24.26</v>
      </c>
      <c r="G15" s="62">
        <v>25.23</v>
      </c>
      <c r="H15" s="62">
        <v>23.62</v>
      </c>
      <c r="I15" s="62">
        <v>24.28</v>
      </c>
      <c r="J15" s="62">
        <v>24.22</v>
      </c>
      <c r="K15" s="62">
        <v>23.55</v>
      </c>
      <c r="L15" s="62">
        <v>23.53</v>
      </c>
      <c r="M15" s="62">
        <v>25.33</v>
      </c>
      <c r="N15" s="15"/>
      <c r="O15" s="1"/>
      <c r="P15" s="1"/>
      <c r="Q15" s="1"/>
    </row>
    <row r="16" spans="1:21" s="8" customFormat="1" ht="11.25" customHeight="1">
      <c r="A16" s="45" t="s">
        <v>133</v>
      </c>
      <c r="B16" s="62">
        <f>IFERROR(AVERAGEIFS(Jan!$N:$N,Jan!$F:$F,800,Jan!$B:$B,2074),"")</f>
        <v>24.05263157894737</v>
      </c>
      <c r="C16" s="62">
        <v>25.18</v>
      </c>
      <c r="D16" s="62">
        <v>24.31</v>
      </c>
      <c r="E16" s="62">
        <v>22.8</v>
      </c>
      <c r="F16" s="62">
        <v>23.6</v>
      </c>
      <c r="G16" s="62">
        <v>24.15</v>
      </c>
      <c r="H16" s="62">
        <v>23.57</v>
      </c>
      <c r="I16" s="62">
        <v>23.89</v>
      </c>
      <c r="J16" s="62">
        <v>24.55</v>
      </c>
      <c r="K16" s="62">
        <v>23.92</v>
      </c>
      <c r="L16" s="62">
        <v>24.04</v>
      </c>
      <c r="M16" s="62">
        <v>25.28</v>
      </c>
      <c r="O16" s="1"/>
      <c r="P16" s="1"/>
      <c r="Q16" s="1"/>
    </row>
    <row r="17" spans="1:17" s="8" customFormat="1" ht="11.25" customHeight="1">
      <c r="A17" s="45" t="s">
        <v>134</v>
      </c>
      <c r="B17" s="63">
        <f>IFERROR((SUMIFS(Jan!$M:$M,Jan!$J:$J,1,Jan!$B:$B,2074)+SUMIFS(Jan!$M:$M,Jan!$D:$D,"&gt;1",Jan!$B:$B,2074))/(COUNTIFS(Jan!$J:$J,1,Jan!$B:$B,2074)+COUNTIFS(Jan!$D:$D,"&gt;1",Jan!$B:$B,2074)),"")</f>
        <v>0.64153846153846139</v>
      </c>
      <c r="C17" s="63">
        <v>0.68</v>
      </c>
      <c r="D17" s="63">
        <v>0.9</v>
      </c>
      <c r="E17" s="63">
        <v>0.85</v>
      </c>
      <c r="F17" s="63">
        <v>0.63</v>
      </c>
      <c r="G17" s="63">
        <v>0.86</v>
      </c>
      <c r="H17" s="63">
        <v>0.91</v>
      </c>
      <c r="I17" s="63">
        <v>0.97</v>
      </c>
      <c r="J17" s="63">
        <v>0.95799999999999996</v>
      </c>
      <c r="K17" s="63">
        <v>0.96</v>
      </c>
      <c r="L17" s="63">
        <v>0.68</v>
      </c>
      <c r="M17" s="63">
        <v>0.7</v>
      </c>
      <c r="O17" s="1"/>
      <c r="P17" s="1"/>
      <c r="Q17" s="1"/>
    </row>
    <row r="18" spans="1:17" s="8" customFormat="1" ht="11.25" customHeight="1" thickBot="1">
      <c r="A18" s="43" t="s">
        <v>135</v>
      </c>
      <c r="B18" s="64">
        <f>IFERROR(AVERAGEIFS(Jan!$M:$M,Jan!$F:$F,800,Jan!$B:$B,2074),"")</f>
        <v>0.67192982456140349</v>
      </c>
      <c r="C18" s="64">
        <v>0.64</v>
      </c>
      <c r="D18" s="64">
        <v>0.68</v>
      </c>
      <c r="E18" s="64">
        <v>0.8</v>
      </c>
      <c r="F18" s="64">
        <v>0.64</v>
      </c>
      <c r="G18" s="64">
        <v>0.61</v>
      </c>
      <c r="H18" s="64">
        <v>1.0900000000000001</v>
      </c>
      <c r="I18" s="64">
        <v>1.38</v>
      </c>
      <c r="J18" s="64">
        <v>0.7</v>
      </c>
      <c r="K18" s="64">
        <v>0.69</v>
      </c>
      <c r="L18" s="64">
        <v>0.6</v>
      </c>
      <c r="M18" s="64">
        <v>0.61</v>
      </c>
    </row>
    <row r="19" spans="1:17" s="8" customFormat="1" ht="5.0999999999999996" customHeight="1" thickBot="1">
      <c r="A19" s="3"/>
      <c r="B19" s="17"/>
      <c r="C19" s="17"/>
      <c r="D19" s="17"/>
      <c r="E19" s="17"/>
      <c r="F19" s="17"/>
      <c r="G19" s="17"/>
      <c r="H19" s="17"/>
      <c r="I19" s="17"/>
      <c r="J19" s="17"/>
      <c r="K19" s="17"/>
      <c r="L19" s="17"/>
      <c r="M19" s="147"/>
    </row>
    <row r="20" spans="1:17" s="8" customFormat="1" ht="11.25" customHeight="1">
      <c r="A20" s="42" t="s">
        <v>52</v>
      </c>
      <c r="B20" s="65">
        <v>31</v>
      </c>
      <c r="C20" s="65">
        <v>28</v>
      </c>
      <c r="D20" s="65">
        <v>31</v>
      </c>
      <c r="E20" s="65">
        <v>30</v>
      </c>
      <c r="F20" s="65">
        <v>31</v>
      </c>
      <c r="G20" s="65">
        <v>30</v>
      </c>
      <c r="H20" s="65">
        <v>31</v>
      </c>
      <c r="I20" s="65">
        <v>31</v>
      </c>
      <c r="J20" s="65">
        <v>30</v>
      </c>
      <c r="K20" s="65">
        <v>31</v>
      </c>
      <c r="L20" s="161">
        <v>30</v>
      </c>
      <c r="M20" s="174">
        <v>31</v>
      </c>
    </row>
    <row r="21" spans="1:17" s="8" customFormat="1" ht="11.25" customHeight="1">
      <c r="A21" s="9" t="s">
        <v>15</v>
      </c>
      <c r="B21" s="66">
        <f>B12/B20</f>
        <v>1.8387096774193548</v>
      </c>
      <c r="C21" s="66">
        <f t="shared" ref="C21:M21" si="5">C12/C20</f>
        <v>1.9285714285714286</v>
      </c>
      <c r="D21" s="66">
        <f>D12/D20</f>
        <v>2.4193548387096775</v>
      </c>
      <c r="E21" s="66">
        <f>E12/E20</f>
        <v>1.8333333333333333</v>
      </c>
      <c r="F21" s="66">
        <f>F12/F20</f>
        <v>1.935483870967742</v>
      </c>
      <c r="G21" s="66">
        <f>G12/G20</f>
        <v>2.8666666666666667</v>
      </c>
      <c r="H21" s="66">
        <f t="shared" si="5"/>
        <v>2.3548387096774195</v>
      </c>
      <c r="I21" s="66">
        <f t="shared" si="5"/>
        <v>2.3225806451612905</v>
      </c>
      <c r="J21" s="66">
        <f t="shared" si="5"/>
        <v>2.8666666666666667</v>
      </c>
      <c r="K21" s="66">
        <f t="shared" si="5"/>
        <v>1.8709677419354838</v>
      </c>
      <c r="L21" s="162">
        <f t="shared" si="5"/>
        <v>1.7666666666666666</v>
      </c>
      <c r="M21" s="175">
        <f t="shared" si="5"/>
        <v>3.3548387096774195</v>
      </c>
    </row>
    <row r="22" spans="1:17" s="8" customFormat="1" ht="11.25" customHeight="1">
      <c r="A22" s="9" t="s">
        <v>130</v>
      </c>
      <c r="B22" s="67">
        <f t="shared" ref="B22:G22" si="6">IFERROR(B12/B7,0)</f>
        <v>0.5</v>
      </c>
      <c r="C22" s="67">
        <f t="shared" si="6"/>
        <v>0.38848920863309355</v>
      </c>
      <c r="D22" s="67">
        <f t="shared" si="6"/>
        <v>0.46875</v>
      </c>
      <c r="E22" s="67">
        <f t="shared" si="6"/>
        <v>0.44354838709677419</v>
      </c>
      <c r="F22" s="67">
        <f t="shared" si="6"/>
        <v>0.38709677419354838</v>
      </c>
      <c r="G22" s="67">
        <f t="shared" si="6"/>
        <v>0.47252747252747251</v>
      </c>
      <c r="H22" s="67">
        <f t="shared" ref="H22:M22" si="7">IFERROR(H12/H7,0)</f>
        <v>0.33953488372093021</v>
      </c>
      <c r="I22" s="67">
        <f t="shared" si="7"/>
        <v>0.35820895522388058</v>
      </c>
      <c r="J22" s="67">
        <f t="shared" si="7"/>
        <v>0.43877551020408162</v>
      </c>
      <c r="K22" s="116">
        <f t="shared" si="7"/>
        <v>0.55238095238095242</v>
      </c>
      <c r="L22" s="67">
        <f t="shared" si="7"/>
        <v>0.43089430894308944</v>
      </c>
      <c r="M22" s="176">
        <f t="shared" si="7"/>
        <v>0.45021645021645024</v>
      </c>
      <c r="N22" s="1"/>
    </row>
    <row r="23" spans="1:17" s="8" customFormat="1" ht="11.25" customHeight="1" thickBot="1">
      <c r="A23" s="9" t="s">
        <v>53</v>
      </c>
      <c r="B23" s="67">
        <f t="shared" ref="B23:G23" si="8">IFERROR(B12/(B11+B12),0)</f>
        <v>0.86363636363636365</v>
      </c>
      <c r="C23" s="67">
        <f t="shared" si="8"/>
        <v>0.79411764705882348</v>
      </c>
      <c r="D23" s="67">
        <f t="shared" si="8"/>
        <v>0.78125</v>
      </c>
      <c r="E23" s="67">
        <f t="shared" si="8"/>
        <v>0.7432432432432432</v>
      </c>
      <c r="F23" s="67">
        <f t="shared" si="8"/>
        <v>0.78947368421052633</v>
      </c>
      <c r="G23" s="67">
        <f t="shared" si="8"/>
        <v>0.87755102040816324</v>
      </c>
      <c r="H23" s="67">
        <f t="shared" ref="H23:M23" si="9">IFERROR(H12/(H11+H12),0)</f>
        <v>0.76842105263157889</v>
      </c>
      <c r="I23" s="67">
        <f t="shared" si="9"/>
        <v>0.8089887640449438</v>
      </c>
      <c r="J23" s="67">
        <f t="shared" si="9"/>
        <v>0.82692307692307687</v>
      </c>
      <c r="K23" s="117">
        <f t="shared" si="9"/>
        <v>0.87878787878787878</v>
      </c>
      <c r="L23" s="163">
        <f t="shared" si="9"/>
        <v>0.828125</v>
      </c>
      <c r="M23" s="177">
        <f t="shared" si="9"/>
        <v>0.88135593220338981</v>
      </c>
      <c r="N23" s="4"/>
    </row>
    <row r="24" spans="1:17" s="8" customFormat="1" ht="11.25" customHeight="1" thickBot="1">
      <c r="A24" s="56" t="s">
        <v>21</v>
      </c>
      <c r="B24" s="50">
        <v>41275</v>
      </c>
      <c r="C24" s="47">
        <v>41306</v>
      </c>
      <c r="D24" s="47">
        <v>41334</v>
      </c>
      <c r="E24" s="47">
        <v>41365</v>
      </c>
      <c r="F24" s="47">
        <v>41395</v>
      </c>
      <c r="G24" s="47">
        <v>41426</v>
      </c>
      <c r="H24" s="47">
        <v>41456</v>
      </c>
      <c r="I24" s="47">
        <v>41487</v>
      </c>
      <c r="J24" s="47">
        <v>41518</v>
      </c>
      <c r="K24" s="47">
        <v>41548</v>
      </c>
      <c r="L24" s="47">
        <v>41579</v>
      </c>
      <c r="M24" s="51">
        <v>41609</v>
      </c>
    </row>
    <row r="25" spans="1:17" s="8" customFormat="1" ht="11.25" customHeight="1">
      <c r="A25" s="18" t="s">
        <v>5</v>
      </c>
      <c r="B25" s="68">
        <f>COUNTIFS(Jan!$B:$B,2074,Jan!$J:$J,18)</f>
        <v>5</v>
      </c>
      <c r="C25" s="68">
        <v>2</v>
      </c>
      <c r="D25" s="68">
        <v>3</v>
      </c>
      <c r="E25" s="68">
        <v>1</v>
      </c>
      <c r="F25" s="68">
        <v>1</v>
      </c>
      <c r="G25" s="68">
        <v>1</v>
      </c>
      <c r="H25" s="68">
        <v>2</v>
      </c>
      <c r="I25" s="68">
        <v>2</v>
      </c>
      <c r="J25" s="68">
        <v>3</v>
      </c>
      <c r="K25" s="68">
        <v>1</v>
      </c>
      <c r="L25" s="68">
        <v>1</v>
      </c>
      <c r="M25" s="68">
        <v>1</v>
      </c>
    </row>
    <row r="26" spans="1:17" s="8" customFormat="1" ht="11.25" customHeight="1">
      <c r="A26" s="46" t="s">
        <v>40</v>
      </c>
      <c r="B26" s="57">
        <f>COUNTIFS(Jan!$B:$B,2074,Jan!$J:$J,41)</f>
        <v>0</v>
      </c>
      <c r="C26" s="57">
        <f>COUNTIFS(Feb!$B:$B,2074,Feb!$J:$J,41)</f>
        <v>0</v>
      </c>
      <c r="D26" s="57">
        <f>COUNTIFS(Mar!$B:$B,2074,Mar!$J:$J,41)</f>
        <v>0</v>
      </c>
      <c r="E26" s="57">
        <f>COUNTIFS(Apr!$B:$B,2074,Apr!$J:$J,41)</f>
        <v>0</v>
      </c>
      <c r="F26" s="57">
        <f>COUNTIFS(May!$B:$B,2074,May!$J:$J,41)</f>
        <v>0</v>
      </c>
      <c r="G26" s="57">
        <f>COUNTIFS(Jun!$B:$B,2074,Jun!$J:$J,41)</f>
        <v>0</v>
      </c>
      <c r="H26" s="57">
        <f>COUNTIFS(Jul!$B:$B,2074,Jul!$J:$J,41)</f>
        <v>0</v>
      </c>
      <c r="I26" s="57">
        <f>COUNTIFS(Aug!$B:$B,2074,Aug!$J:$J,41)</f>
        <v>0</v>
      </c>
      <c r="J26" s="57">
        <f>COUNTIFS(Sep!$B:$B,2074,Sep!$J:$J,41)</f>
        <v>0</v>
      </c>
      <c r="K26" s="57">
        <f>COUNTIFS(Oct!$B:$B,2074,Oct!$J:$J,41)</f>
        <v>0</v>
      </c>
      <c r="L26" s="57">
        <f>COUNTIFS(Nov!$B:$B,2074,Nov!$J:$J,41)</f>
        <v>0</v>
      </c>
      <c r="M26" s="57">
        <v>0</v>
      </c>
    </row>
    <row r="27" spans="1:17" s="8" customFormat="1" ht="11.25" customHeight="1">
      <c r="A27" s="9" t="s">
        <v>11</v>
      </c>
      <c r="B27" s="179">
        <f>COUNTIFS(Jan!$B:$B,2074,Jan!$J:$J,17)</f>
        <v>35</v>
      </c>
      <c r="C27" s="206">
        <v>6</v>
      </c>
      <c r="D27" s="206">
        <v>1</v>
      </c>
      <c r="E27" s="206">
        <v>6</v>
      </c>
      <c r="F27" s="206">
        <v>2</v>
      </c>
      <c r="G27" s="206">
        <v>8</v>
      </c>
      <c r="H27" s="208">
        <v>4</v>
      </c>
      <c r="I27" s="208">
        <v>6</v>
      </c>
      <c r="J27" s="208">
        <v>5</v>
      </c>
      <c r="K27" s="208">
        <v>3</v>
      </c>
      <c r="L27" s="208">
        <v>2</v>
      </c>
      <c r="M27" s="208">
        <v>6</v>
      </c>
    </row>
    <row r="28" spans="1:17" s="8" customFormat="1" ht="11.25" customHeight="1">
      <c r="A28" s="9" t="s">
        <v>143</v>
      </c>
      <c r="B28" s="59">
        <f>COUNTIFS(Jan!$B:$B,2074,Jan!$F:$F,455)</f>
        <v>0</v>
      </c>
      <c r="C28" s="59">
        <f>COUNTIFS(Feb!$B:$B,2074,Feb!$F:$F,455)</f>
        <v>0</v>
      </c>
      <c r="D28" s="59">
        <v>0</v>
      </c>
      <c r="E28" s="59">
        <f>COUNTIFS(Apr!$B:$B,2074,Apr!$F:$F,455)</f>
        <v>0</v>
      </c>
      <c r="F28" s="59">
        <f>COUNTIFS(May!$B:$B,2074,May!$F:$F,455)</f>
        <v>0</v>
      </c>
      <c r="G28" s="59">
        <f>COUNTIFS(Jun!$B:$B,2074,Jun!$F:$F,455)</f>
        <v>0</v>
      </c>
      <c r="H28" s="59">
        <f>COUNTIFS(Jul!$B:$B,2074,Jul!$F:$F,455)</f>
        <v>0</v>
      </c>
      <c r="I28" s="59">
        <f>COUNTIFS(Aug!$B:$B,2074,Aug!$F:$F,455)</f>
        <v>0</v>
      </c>
      <c r="J28" s="59">
        <f>COUNTIFS(Sep!$B:$B,2074,Sep!$F:$F,455)</f>
        <v>0</v>
      </c>
      <c r="K28" s="59">
        <f>COUNTIFS(Oct!$B:$B,2074,Oct!$F:$F,455)</f>
        <v>0</v>
      </c>
      <c r="L28" s="59">
        <f>COUNTIFS(Nov!$B:$B,2074,Nov!$F:$F,455)</f>
        <v>0</v>
      </c>
      <c r="M28" s="59">
        <v>0</v>
      </c>
    </row>
    <row r="29" spans="1:17" s="8" customFormat="1" ht="11.25" customHeight="1">
      <c r="A29" s="9" t="s">
        <v>23</v>
      </c>
      <c r="B29" s="59">
        <f>COUNTIFS(Jan!$B:$B,2074,Jan!$J:$J,31)</f>
        <v>0</v>
      </c>
      <c r="C29" s="59">
        <f>COUNTIFS(Feb!$B:$B,2074,Feb!$J:$J,31)</f>
        <v>0</v>
      </c>
      <c r="D29" s="59">
        <f>COUNTIFS(Mar!$B:$B,2074,Mar!$J:$J,31)</f>
        <v>0</v>
      </c>
      <c r="E29" s="59">
        <f>COUNTIFS(Apr!$B:$B,2074,Apr!$J:$J,31)</f>
        <v>0</v>
      </c>
      <c r="F29" s="59">
        <f>COUNTIFS(May!$B:$B,2074,May!$J:$J,31)</f>
        <v>0</v>
      </c>
      <c r="G29" s="59">
        <f>COUNTIFS(Jun!$B:$B,2074,Jun!$J:$J,31)</f>
        <v>0</v>
      </c>
      <c r="H29" s="59">
        <f>COUNTIFS(Jul!$B:$B,2074,Jul!$J:$J,31)</f>
        <v>0</v>
      </c>
      <c r="I29" s="59">
        <v>0</v>
      </c>
      <c r="J29" s="59">
        <f>COUNTIFS(Sep!$B:$B,2074,Sep!$J:$J,31)</f>
        <v>0</v>
      </c>
      <c r="K29" s="59">
        <f>COUNTIFS(Oct!$B:$B,2074,Oct!$J:$J,31)</f>
        <v>0</v>
      </c>
      <c r="L29" s="59">
        <f>COUNTIFS(Nov!$B:$B,2074,Nov!$J:$J,31)</f>
        <v>0</v>
      </c>
      <c r="M29" s="59">
        <v>0</v>
      </c>
    </row>
    <row r="30" spans="1:17" s="8" customFormat="1" ht="11.25" customHeight="1">
      <c r="A30" s="9" t="s">
        <v>37</v>
      </c>
      <c r="B30" s="59">
        <f>COUNTIFS(Jan!$B:$B,2074,Jan!$J:$J,4400)</f>
        <v>7</v>
      </c>
      <c r="C30" s="59">
        <v>3</v>
      </c>
      <c r="D30" s="59">
        <v>1</v>
      </c>
      <c r="E30" s="59">
        <v>2</v>
      </c>
      <c r="F30" s="59">
        <v>2</v>
      </c>
      <c r="G30" s="59">
        <v>6</v>
      </c>
      <c r="H30" s="59">
        <v>8</v>
      </c>
      <c r="I30" s="59">
        <v>7</v>
      </c>
      <c r="J30" s="59">
        <v>3</v>
      </c>
      <c r="K30" s="59">
        <v>4</v>
      </c>
      <c r="L30" s="59">
        <v>6</v>
      </c>
      <c r="M30" s="59">
        <v>10</v>
      </c>
    </row>
    <row r="31" spans="1:17" s="8" customFormat="1" ht="11.25" customHeight="1">
      <c r="A31" s="10" t="s">
        <v>24</v>
      </c>
      <c r="B31" s="59">
        <f>COUNTIFS(Jan!$B:$B,2074,Jan!$J:$J,30)</f>
        <v>0</v>
      </c>
      <c r="C31" s="59">
        <f>COUNTIFS(Feb!$B:$B,2074,Feb!$J:$J,30)</f>
        <v>0</v>
      </c>
      <c r="D31" s="59">
        <f>COUNTIFS(Mar!$B:$B,2074,Mar!$J:$J,30)</f>
        <v>0</v>
      </c>
      <c r="E31" s="59">
        <f>COUNTIFS(Apr!$B:$B,2074,Apr!$J:$J,30)</f>
        <v>0</v>
      </c>
      <c r="F31" s="59">
        <f>COUNTIFS(May!$B:$B,2074,May!$J:$J,30)</f>
        <v>0</v>
      </c>
      <c r="G31" s="59">
        <f>COUNTIFS(Jun!$B:$B,2074,Jun!$J:$J,30)</f>
        <v>0</v>
      </c>
      <c r="H31" s="59">
        <f>COUNTIFS(Jul!$B:$B,2074,Jul!$J:$J,30)</f>
        <v>0</v>
      </c>
      <c r="I31" s="59">
        <f>COUNTIFS(Aug!$B:$B,2074,Aug!$J:$J,30)</f>
        <v>0</v>
      </c>
      <c r="J31" s="59">
        <f>COUNTIFS(Sep!$B:$B,2074,Sep!$J:$J,30)</f>
        <v>0</v>
      </c>
      <c r="K31" s="59">
        <f>COUNTIFS(Oct!$B:$B,2074,Oct!$J:$J,30)</f>
        <v>0</v>
      </c>
      <c r="L31" s="59">
        <f>COUNTIFS(Nov!$B:$B,2074,Nov!$J:$J,30)</f>
        <v>0</v>
      </c>
      <c r="M31" s="59">
        <v>0</v>
      </c>
    </row>
    <row r="32" spans="1:17" s="14" customFormat="1" ht="11.25" customHeight="1" thickBot="1">
      <c r="A32" s="2" t="s">
        <v>140</v>
      </c>
      <c r="B32" s="60">
        <f>SUM(B25:B31)</f>
        <v>47</v>
      </c>
      <c r="C32" s="60">
        <f t="shared" ref="C32:M32" si="10">SUM(C25:C31)</f>
        <v>11</v>
      </c>
      <c r="D32" s="60">
        <f>SUM(D25:D31)</f>
        <v>5</v>
      </c>
      <c r="E32" s="60">
        <f>SUM(E25:E31)</f>
        <v>9</v>
      </c>
      <c r="F32" s="60">
        <f>SUM(F25:F31)</f>
        <v>5</v>
      </c>
      <c r="G32" s="60">
        <f>SUM(G25:G31)</f>
        <v>15</v>
      </c>
      <c r="H32" s="60">
        <f t="shared" si="10"/>
        <v>14</v>
      </c>
      <c r="I32" s="60">
        <f t="shared" si="10"/>
        <v>15</v>
      </c>
      <c r="J32" s="60">
        <f t="shared" si="10"/>
        <v>11</v>
      </c>
      <c r="K32" s="60">
        <f t="shared" si="10"/>
        <v>8</v>
      </c>
      <c r="L32" s="159">
        <f t="shared" si="10"/>
        <v>9</v>
      </c>
      <c r="M32" s="170">
        <f t="shared" si="10"/>
        <v>17</v>
      </c>
    </row>
    <row r="33" spans="1:13" ht="12" customHeight="1" thickBot="1">
      <c r="A33" s="55" t="s">
        <v>136</v>
      </c>
      <c r="B33" s="50">
        <v>41275</v>
      </c>
      <c r="C33" s="47">
        <v>41306</v>
      </c>
      <c r="D33" s="47">
        <v>41334</v>
      </c>
      <c r="E33" s="47">
        <v>41365</v>
      </c>
      <c r="F33" s="47">
        <v>41395</v>
      </c>
      <c r="G33" s="47">
        <v>41426</v>
      </c>
      <c r="H33" s="47">
        <v>41456</v>
      </c>
      <c r="I33" s="47">
        <v>41487</v>
      </c>
      <c r="J33" s="47">
        <v>41518</v>
      </c>
      <c r="K33" s="47">
        <v>41548</v>
      </c>
      <c r="L33" s="47">
        <v>41579</v>
      </c>
      <c r="M33" s="51">
        <v>41609</v>
      </c>
    </row>
    <row r="34" spans="1:13" s="8" customFormat="1" ht="11.25" customHeight="1">
      <c r="A34" s="46" t="s">
        <v>33</v>
      </c>
      <c r="B34" s="57">
        <f>COUNTIFS(Jan!$B:$B,2074,Jan!$J:$J,40)</f>
        <v>0</v>
      </c>
      <c r="C34" s="57">
        <f>COUNTIFS(Feb!$B:$B,2074,Feb!$J:$J,40)</f>
        <v>0</v>
      </c>
      <c r="D34" s="57">
        <f>COUNTIFS(Mar!$B:$B,2074,Mar!$J:$J,40)</f>
        <v>0</v>
      </c>
      <c r="E34" s="57">
        <f>COUNTIFS(Apr!$B:$B,2074,Apr!$J:$J,40)</f>
        <v>0</v>
      </c>
      <c r="F34" s="57">
        <f>COUNTIFS(May!$B:$B,2074,May!$J:$J,40)</f>
        <v>0</v>
      </c>
      <c r="G34" s="57">
        <f>COUNTIFS(Jun!$B:$B,2074,Jun!$J:$J,40)</f>
        <v>0</v>
      </c>
      <c r="H34" s="57">
        <f>COUNTIFS(Jul!$B:$B,2074,Jul!$J:$J,40)</f>
        <v>0</v>
      </c>
      <c r="I34" s="57">
        <f>COUNTIFS(Aug!$B:$B,2074,Aug!$J:$J,40)</f>
        <v>0</v>
      </c>
      <c r="J34" s="57">
        <f>COUNTIFS(Sep!$B:$B,2074,Sep!$J:$J,40)</f>
        <v>0</v>
      </c>
      <c r="K34" s="57">
        <f>COUNTIFS(Oct!$B:$B,2074,Oct!$J:$J,40)</f>
        <v>0</v>
      </c>
      <c r="L34" s="57">
        <f>COUNTIFS(Nov!$B:$B,2074,Nov!$J:$J,40)</f>
        <v>0</v>
      </c>
      <c r="M34" s="57">
        <v>0</v>
      </c>
    </row>
    <row r="35" spans="1:13" s="8" customFormat="1" ht="11.25" customHeight="1">
      <c r="A35" s="10" t="s">
        <v>4</v>
      </c>
      <c r="B35" s="59">
        <f>COUNTIFS(Jan!$B:$B,2074,Jan!$J:$J,15)</f>
        <v>0</v>
      </c>
      <c r="C35" s="59">
        <v>3</v>
      </c>
      <c r="D35" s="59">
        <v>1</v>
      </c>
      <c r="E35" s="59">
        <v>3</v>
      </c>
      <c r="F35" s="59">
        <v>2</v>
      </c>
      <c r="G35" s="59">
        <f>COUNTIFS(Jun!$B:$B,2074,Jun!$J:$J,15)</f>
        <v>0</v>
      </c>
      <c r="H35" s="59">
        <v>3</v>
      </c>
      <c r="I35" s="59">
        <v>4</v>
      </c>
      <c r="J35" s="59">
        <v>6</v>
      </c>
      <c r="K35" s="59">
        <v>3</v>
      </c>
      <c r="L35" s="59">
        <v>1</v>
      </c>
      <c r="M35" s="59">
        <v>7</v>
      </c>
    </row>
    <row r="36" spans="1:13" s="8" customFormat="1" ht="11.25" customHeight="1">
      <c r="A36" s="10" t="s">
        <v>39</v>
      </c>
      <c r="B36" s="59">
        <f>COUNTIFS(Jan!$B:$B,2074,Jan!$J:$J,29)</f>
        <v>5</v>
      </c>
      <c r="C36" s="59">
        <v>13</v>
      </c>
      <c r="D36" s="59">
        <v>12</v>
      </c>
      <c r="E36" s="59">
        <v>6</v>
      </c>
      <c r="F36" s="59">
        <v>15</v>
      </c>
      <c r="G36" s="59">
        <v>12</v>
      </c>
      <c r="H36" s="59">
        <v>7</v>
      </c>
      <c r="I36" s="59">
        <v>11</v>
      </c>
      <c r="J36" s="59">
        <v>9</v>
      </c>
      <c r="K36" s="59">
        <v>2</v>
      </c>
      <c r="L36" s="59">
        <v>4</v>
      </c>
      <c r="M36" s="59">
        <v>6</v>
      </c>
    </row>
    <row r="37" spans="1:13" s="8" customFormat="1" ht="11.25" customHeight="1">
      <c r="A37" s="10" t="s">
        <v>3</v>
      </c>
      <c r="B37" s="59">
        <f>COUNTIFS(Jan!$B:$B,2074,Jan!$J:$J,13)</f>
        <v>2</v>
      </c>
      <c r="C37" s="59">
        <v>6</v>
      </c>
      <c r="D37" s="59">
        <v>2</v>
      </c>
      <c r="E37" s="59">
        <v>3</v>
      </c>
      <c r="F37" s="59">
        <v>1</v>
      </c>
      <c r="G37" s="59">
        <v>1</v>
      </c>
      <c r="H37" s="59">
        <v>4</v>
      </c>
      <c r="I37" s="59">
        <v>3</v>
      </c>
      <c r="J37" s="59">
        <v>3</v>
      </c>
      <c r="K37" s="59">
        <v>4</v>
      </c>
      <c r="L37" s="59">
        <v>1</v>
      </c>
      <c r="M37" s="59">
        <v>4</v>
      </c>
    </row>
    <row r="38" spans="1:13" s="8" customFormat="1" ht="11.25" customHeight="1">
      <c r="A38" s="9" t="s">
        <v>218</v>
      </c>
      <c r="B38" s="59">
        <f>COUNTIFS(Jan!$B:$B,2074,Jan!$J:$J,43)</f>
        <v>3</v>
      </c>
      <c r="C38" s="59">
        <v>2</v>
      </c>
      <c r="D38" s="59">
        <v>3</v>
      </c>
      <c r="E38" s="59">
        <v>1</v>
      </c>
      <c r="F38" s="59">
        <v>1</v>
      </c>
      <c r="G38" s="59">
        <v>6</v>
      </c>
      <c r="H38" s="59">
        <v>3</v>
      </c>
      <c r="I38" s="59">
        <v>4</v>
      </c>
      <c r="J38" s="59">
        <v>3</v>
      </c>
      <c r="K38" s="59">
        <v>2</v>
      </c>
      <c r="L38" s="59">
        <v>5</v>
      </c>
      <c r="M38" s="59">
        <v>3</v>
      </c>
    </row>
    <row r="39" spans="1:13" s="8" customFormat="1" ht="11.25" customHeight="1">
      <c r="A39" s="10" t="s">
        <v>25</v>
      </c>
      <c r="B39" s="59">
        <f>COUNTIFS(Jan!$B:$B,2074,Jan!$J:$J,24)</f>
        <v>9</v>
      </c>
      <c r="C39" s="59">
        <v>12</v>
      </c>
      <c r="D39" s="59">
        <v>12</v>
      </c>
      <c r="E39" s="59">
        <v>14</v>
      </c>
      <c r="F39" s="59">
        <v>23</v>
      </c>
      <c r="G39" s="59">
        <v>19</v>
      </c>
      <c r="H39" s="59">
        <v>18</v>
      </c>
      <c r="I39" s="59">
        <v>21</v>
      </c>
      <c r="J39" s="59">
        <v>23</v>
      </c>
      <c r="K39" s="59">
        <v>10</v>
      </c>
      <c r="L39" s="59">
        <v>12</v>
      </c>
      <c r="M39" s="59">
        <v>24</v>
      </c>
    </row>
    <row r="40" spans="1:13" s="8" customFormat="1" ht="11.25" customHeight="1">
      <c r="A40" s="10" t="s">
        <v>34</v>
      </c>
      <c r="B40" s="59">
        <f>COUNTIFS(Jan!$B:$B,2074,Jan!$J:$J,9)</f>
        <v>0</v>
      </c>
      <c r="C40" s="59">
        <f>COUNTIFS(Feb!$B:$B,2074,Feb!$J:$J,9)</f>
        <v>0</v>
      </c>
      <c r="D40" s="59">
        <f>COUNTIFS(Mar!$B:$B,2074,Mar!$J:$J,9)</f>
        <v>0</v>
      </c>
      <c r="E40" s="59">
        <v>1</v>
      </c>
      <c r="F40" s="59">
        <f>COUNTIFS(May!$B:$B,2074,May!$J:$J,9)</f>
        <v>0</v>
      </c>
      <c r="G40" s="59">
        <v>1</v>
      </c>
      <c r="H40" s="59">
        <f>COUNTIFS(Jul!$B:$B,2074,Jul!$J:$J,9)</f>
        <v>0</v>
      </c>
      <c r="I40" s="59">
        <f>COUNTIFS(Aug!$B:$B,2074,Aug!$J:$J,9)</f>
        <v>0</v>
      </c>
      <c r="J40" s="59">
        <f>COUNTIFS(Sep!$B:$B,2074,Sep!$J:$J,9)</f>
        <v>0</v>
      </c>
      <c r="K40" s="59">
        <f>COUNTIFS(Oct!$B:$B,2074,Oct!$J:$J,9)</f>
        <v>0</v>
      </c>
      <c r="L40" s="59">
        <f>COUNTIFS(Nov!$B:$B,2074,Nov!$J:$J,9)</f>
        <v>0</v>
      </c>
      <c r="M40" s="59">
        <v>0</v>
      </c>
    </row>
    <row r="41" spans="1:13" s="8" customFormat="1" ht="11.25" customHeight="1">
      <c r="A41" s="10" t="s">
        <v>31</v>
      </c>
      <c r="B41" s="59">
        <f>COUNTIFS(Jan!$B:$B,2074,Jan!$J:$J,10)</f>
        <v>1</v>
      </c>
      <c r="C41" s="59">
        <v>1</v>
      </c>
      <c r="D41" s="59">
        <v>14</v>
      </c>
      <c r="E41" s="59">
        <v>4</v>
      </c>
      <c r="F41" s="59">
        <v>10</v>
      </c>
      <c r="G41" s="59">
        <v>15</v>
      </c>
      <c r="H41" s="59">
        <v>24</v>
      </c>
      <c r="I41" s="59">
        <v>18</v>
      </c>
      <c r="J41" s="59">
        <v>6</v>
      </c>
      <c r="K41" s="59">
        <v>1</v>
      </c>
      <c r="L41" s="59">
        <f>COUNTIFS(Nov!$B:$B,2074,Nov!$J:$J,10)</f>
        <v>0</v>
      </c>
      <c r="M41" s="59">
        <v>2</v>
      </c>
    </row>
    <row r="42" spans="1:13" s="8" customFormat="1" ht="11.25" customHeight="1">
      <c r="A42" s="10" t="s">
        <v>144</v>
      </c>
      <c r="B42" s="59">
        <f>COUNTIFS(Jan!$B:$B,2074,Jan!$F:$F,462)</f>
        <v>0</v>
      </c>
      <c r="C42" s="59">
        <f>COUNTIFS(Feb!$B:$B,2074,Feb!$F:$F,462)</f>
        <v>0</v>
      </c>
      <c r="D42" s="59">
        <f>COUNTIFS(Mar!$B:$B,2074,Mar!$F:$F,462)</f>
        <v>0</v>
      </c>
      <c r="E42" s="59">
        <f>COUNTIFS(Apr!$B:$B,2074,Apr!$F:$F,462)</f>
        <v>0</v>
      </c>
      <c r="F42" s="59">
        <f>COUNTIFS(May!$B:$B,2074,May!$F:$F,462)</f>
        <v>0</v>
      </c>
      <c r="G42" s="59">
        <f>COUNTIFS(Jun!$B:$B,2074,Jun!$F:$F,462)</f>
        <v>0</v>
      </c>
      <c r="H42" s="59">
        <v>1</v>
      </c>
      <c r="I42" s="59">
        <f>COUNTIFS(Aug!$B:$B,2074,Aug!$F:$F,462)</f>
        <v>0</v>
      </c>
      <c r="J42" s="59">
        <f>COUNTIFS(Sep!$B:$B,2074,Sep!$F:$F,462)</f>
        <v>0</v>
      </c>
      <c r="K42" s="59">
        <f>COUNTIFS(Oct!$B:$B,2074,Oct!$F:$F,462)</f>
        <v>0</v>
      </c>
      <c r="L42" s="59">
        <f>COUNTIFS(Nov!$B:$B,2074,Nov!$F:$F,462)</f>
        <v>0</v>
      </c>
      <c r="M42" s="59">
        <v>0</v>
      </c>
    </row>
    <row r="43" spans="1:13" s="8" customFormat="1" ht="11.25" customHeight="1">
      <c r="A43" s="10" t="s">
        <v>1</v>
      </c>
      <c r="B43" s="59">
        <f>COUNTIFS(Jan!$B:$B,2074,Jan!$J:$J,11)</f>
        <v>7</v>
      </c>
      <c r="C43" s="59">
        <v>8</v>
      </c>
      <c r="D43" s="59">
        <v>3</v>
      </c>
      <c r="E43" s="59">
        <v>1</v>
      </c>
      <c r="F43" s="59">
        <v>8</v>
      </c>
      <c r="G43" s="59">
        <v>6</v>
      </c>
      <c r="H43" s="59">
        <v>7</v>
      </c>
      <c r="I43" s="59">
        <v>5</v>
      </c>
      <c r="J43" s="59">
        <v>17</v>
      </c>
      <c r="K43" s="59">
        <v>7</v>
      </c>
      <c r="L43" s="59">
        <v>5</v>
      </c>
      <c r="M43" s="59">
        <v>15</v>
      </c>
    </row>
    <row r="44" spans="1:13" s="8" customFormat="1" ht="11.25" customHeight="1">
      <c r="A44" s="10" t="s">
        <v>26</v>
      </c>
      <c r="B44" s="59">
        <f>COUNTIFS(Jan!$B:$B,2074,Jan!$J:$J,20)</f>
        <v>0</v>
      </c>
      <c r="C44" s="59">
        <f>COUNTIFS(Feb!$B:$B,2074,Feb!$J:$J,20)</f>
        <v>0</v>
      </c>
      <c r="D44" s="59">
        <f>COUNTIFS(Mar!$B:$B,2074,Mar!$J:$J,20)</f>
        <v>0</v>
      </c>
      <c r="E44" s="59">
        <f>COUNTIFS(Apr!$B:$B,2074,Apr!$J:$J,20)</f>
        <v>0</v>
      </c>
      <c r="F44" s="59">
        <f>COUNTIFS(May!$B:$B,2074,May!$J:$J,20)</f>
        <v>0</v>
      </c>
      <c r="G44" s="59">
        <f>COUNTIFS(Jun!$B:$B,2074,Jun!$J:$J,20)</f>
        <v>0</v>
      </c>
      <c r="H44" s="59">
        <f>COUNTIFS(Jul!$B:$B,2074,Jul!$J:$J,20)</f>
        <v>0</v>
      </c>
      <c r="I44" s="59">
        <f>COUNTIFS(Aug!$B:$B,2074,Aug!$J:$J,20)</f>
        <v>0</v>
      </c>
      <c r="J44" s="59">
        <f>COUNTIFS(Sep!$B:$B,2074,Sep!$J:$J,20)</f>
        <v>0</v>
      </c>
      <c r="K44" s="59">
        <f>COUNTIFS(Oct!$B:$B,2074,Oct!$J:$J,20)</f>
        <v>0</v>
      </c>
      <c r="L44" s="59">
        <v>2</v>
      </c>
      <c r="M44" s="59">
        <v>1</v>
      </c>
    </row>
    <row r="45" spans="1:13" s="8" customFormat="1" ht="11.25" customHeight="1">
      <c r="A45" s="10" t="s">
        <v>32</v>
      </c>
      <c r="B45" s="59">
        <f>COUNTIFS(Jan!$B:$B,2074,Jan!$J:$J,2)</f>
        <v>14</v>
      </c>
      <c r="C45" s="59">
        <v>25</v>
      </c>
      <c r="D45" s="59">
        <v>10</v>
      </c>
      <c r="E45" s="59">
        <v>9</v>
      </c>
      <c r="F45" s="59">
        <v>13</v>
      </c>
      <c r="G45" s="59">
        <v>21</v>
      </c>
      <c r="H45" s="59">
        <v>36</v>
      </c>
      <c r="I45" s="59">
        <v>31</v>
      </c>
      <c r="J45" s="59">
        <v>19</v>
      </c>
      <c r="K45" s="59">
        <v>8</v>
      </c>
      <c r="L45" s="59">
        <v>21</v>
      </c>
      <c r="M45" s="59">
        <v>37</v>
      </c>
    </row>
    <row r="46" spans="1:13" s="8" customFormat="1" ht="11.25" customHeight="1">
      <c r="A46" s="10" t="s">
        <v>28</v>
      </c>
      <c r="B46" s="59">
        <f>COUNTIFS(Jan!$B:$B,2074,Jan!$J:$J,1700)+COUNTIFS(Jan!$B:$B,2074,Jan!$F:$F,1700)+COUNTIFS(Jan!$B:$B,2074,Jan!$J:$J,19)</f>
        <v>0</v>
      </c>
      <c r="C46" s="59">
        <f>COUNTIFS(Feb!$B:$B,2074,Feb!$J:$J,1700)+COUNTIFS(Feb!$B:$B,2074,Feb!$F:$F,1700)+COUNTIFS(Feb!$B:$B,2074,Feb!$J:$J,19)</f>
        <v>0</v>
      </c>
      <c r="D46" s="59">
        <f>COUNTIFS(Mar!$B:$B,2074,Mar!$J:$J,1700)+COUNTIFS(Mar!$B:$B,2074,Mar!$F:$F,1700)+COUNTIFS(Mar!$B:$B,2074,Mar!$J:$J,19)</f>
        <v>0</v>
      </c>
      <c r="E46" s="59">
        <f>COUNTIFS(Apr!$B:$B,2074,Apr!$J:$J,1700)+COUNTIFS(Apr!$B:$B,2074,Apr!$F:$F,1700)+COUNTIFS(Apr!$B:$B,2074,Apr!$J:$J,19)</f>
        <v>0</v>
      </c>
      <c r="F46" s="59">
        <f>COUNTIFS(May!$B:$B,2074,May!$J:$J,1700)+COUNTIFS(May!$B:$B,2074,May!$F:$F,1700)+COUNTIFS(May!$B:$B,2074,May!$J:$J,19)</f>
        <v>0</v>
      </c>
      <c r="G46" s="59">
        <f>COUNTIFS(Jun!$B:$B,2074,Jun!$J:$J,1700)+COUNTIFS(Jun!$B:$B,2074,Jun!$F:$F,1700)+COUNTIFS(Jun!$B:$B,2074,Jun!$J:$J,19)</f>
        <v>0</v>
      </c>
      <c r="H46" s="59">
        <f>COUNTIFS(Jul!$B:$B,2074,Jul!$J:$J,1700)+COUNTIFS(Jul!$B:$B,2074,Jul!$F:$F,1700)+COUNTIFS(Jul!$B:$B,2074,Jul!$J:$J,19)</f>
        <v>0</v>
      </c>
      <c r="I46" s="59">
        <v>1</v>
      </c>
      <c r="J46" s="59">
        <f>COUNTIFS(Sep!$B:$B,2074,Sep!$J:$J,1700)+COUNTIFS(Sep!$B:$B,2074,Sep!$F:$F,1700)+COUNTIFS(Sep!$B:$B,2074,Sep!$J:$J,19)</f>
        <v>0</v>
      </c>
      <c r="K46" s="59">
        <f>COUNTIFS(Oct!$B:$B,2074,Oct!$J:$J,1700)+COUNTIFS(Oct!$B:$B,2074,Oct!$F:$F,1700)+COUNTIFS(Oct!$B:$B,2074,Oct!$J:$J,19)</f>
        <v>0</v>
      </c>
      <c r="L46" s="59">
        <f>COUNTIFS(Nov!$B:$B,2074,Nov!$J:$J,1700)+COUNTIFS(Nov!$B:$B,2074,Nov!$F:$F,1700)+COUNTIFS(Nov!$B:$B,2074,Nov!$J:$J,19)</f>
        <v>0</v>
      </c>
      <c r="M46" s="59">
        <v>5</v>
      </c>
    </row>
    <row r="47" spans="1:13" s="8" customFormat="1" ht="11.25" customHeight="1">
      <c r="A47" s="10" t="s">
        <v>0</v>
      </c>
      <c r="B47" s="59">
        <f>COUNTIFS(Jan!$B:$B,2074,Jan!$J:$J,3)</f>
        <v>4</v>
      </c>
      <c r="C47" s="59">
        <v>1</v>
      </c>
      <c r="D47" s="59">
        <v>3</v>
      </c>
      <c r="E47" s="59">
        <v>3</v>
      </c>
      <c r="F47" s="59">
        <v>5</v>
      </c>
      <c r="G47" s="59">
        <f>COUNTIFS(Jun!$B:$B,2074,Jun!$J:$J,3)</f>
        <v>0</v>
      </c>
      <c r="H47" s="59">
        <v>12</v>
      </c>
      <c r="I47" s="59">
        <v>9</v>
      </c>
      <c r="J47" s="59">
        <v>4</v>
      </c>
      <c r="K47" s="59">
        <f>COUNTIFS(Oct!$B:$B,2074,Oct!$J:$J,3)</f>
        <v>0</v>
      </c>
      <c r="L47" s="59">
        <v>6</v>
      </c>
      <c r="M47" s="59">
        <v>8</v>
      </c>
    </row>
    <row r="48" spans="1:13" s="8" customFormat="1" ht="11.25" customHeight="1">
      <c r="A48" s="10" t="s">
        <v>35</v>
      </c>
      <c r="B48" s="59">
        <f>COUNTIFS(Jan!$B:$B,2074,Jan!$J:$J,7400)</f>
        <v>0</v>
      </c>
      <c r="C48" s="59">
        <f>COUNTIFS(Feb!$B:$B,2074,Feb!$J:$J,7400)</f>
        <v>0</v>
      </c>
      <c r="D48" s="59">
        <f>COUNTIFS(Mar!$B:$B,2074,Mar!$J:$J,7400)</f>
        <v>0</v>
      </c>
      <c r="E48" s="59">
        <v>2</v>
      </c>
      <c r="F48" s="59">
        <f>COUNTIFS(May!$B:$B,2074,May!$J:$J,7400)</f>
        <v>0</v>
      </c>
      <c r="G48" s="59">
        <f>COUNTIFS(Jun!$B:$B,2074,Jun!$J:$J,7400)</f>
        <v>0</v>
      </c>
      <c r="H48" s="59">
        <f>COUNTIFS(Jul!$B:$B,2074,Jul!$J:$J,7400)</f>
        <v>0</v>
      </c>
      <c r="I48" s="59">
        <f>COUNTIFS(Aug!$B:$B,2074,Aug!$J:$J,7400)</f>
        <v>0</v>
      </c>
      <c r="J48" s="59">
        <f>COUNTIFS(Sep!$B:$B,2074,Sep!$J:$J,7400)</f>
        <v>0</v>
      </c>
      <c r="K48" s="59">
        <f>COUNTIFS(Oct!$B:$B,2074,Oct!$J:$J,7400)</f>
        <v>0</v>
      </c>
      <c r="L48" s="59">
        <f>COUNTIFS(Nov!$B:$B,2074,Nov!$J:$J,7400)</f>
        <v>0</v>
      </c>
      <c r="M48" s="59">
        <v>0</v>
      </c>
    </row>
    <row r="49" spans="1:13" s="8" customFormat="1" ht="11.25" customHeight="1">
      <c r="A49" s="10" t="s">
        <v>2</v>
      </c>
      <c r="B49" s="59">
        <f>COUNTIFS(Jan!$B:$B,2074,Jan!$J:$J,14)</f>
        <v>2</v>
      </c>
      <c r="C49" s="59">
        <f>COUNTIFS(Feb!$B:$B,2074,Feb!$J:$J,14)</f>
        <v>0</v>
      </c>
      <c r="D49" s="59">
        <v>3</v>
      </c>
      <c r="E49" s="59">
        <v>3</v>
      </c>
      <c r="F49" s="59">
        <v>1</v>
      </c>
      <c r="G49" s="59">
        <v>3</v>
      </c>
      <c r="H49" s="59">
        <v>5</v>
      </c>
      <c r="I49" s="59">
        <v>5</v>
      </c>
      <c r="J49" s="59">
        <v>1</v>
      </c>
      <c r="K49" s="59">
        <v>1</v>
      </c>
      <c r="L49" s="59">
        <v>2</v>
      </c>
      <c r="M49" s="59">
        <v>1</v>
      </c>
    </row>
    <row r="50" spans="1:13" s="8" customFormat="1" ht="11.25" customHeight="1">
      <c r="A50" s="10" t="s">
        <v>142</v>
      </c>
      <c r="B50" s="59">
        <f>COUNTIFS(Jan!$B:$B,2074,Jan!$F:$F,466)</f>
        <v>1</v>
      </c>
      <c r="C50" s="59">
        <f>COUNTIFS(Feb!$B:$B,2074,Feb!$F:$F,466)</f>
        <v>0</v>
      </c>
      <c r="D50" s="59">
        <v>1</v>
      </c>
      <c r="E50" s="59">
        <f>COUNTIFS(Apr!$B:$B,2074,Apr!$F:$F,466)</f>
        <v>0</v>
      </c>
      <c r="F50" s="59">
        <f>COUNTIFS(May!$B:$B,2074,May!$F:$F,466)</f>
        <v>0</v>
      </c>
      <c r="G50" s="59">
        <f>COUNTIFS(Jun!$B:$B,2074,Jun!$F:$F,466)</f>
        <v>0</v>
      </c>
      <c r="H50" s="59">
        <f>COUNTIFS(Jul!$B:$B,2074,Jul!$F:$F,466)</f>
        <v>0</v>
      </c>
      <c r="I50" s="59">
        <f>COUNTIFS(Aug!$B:$B,2074,Aug!$F:$F,466)</f>
        <v>0</v>
      </c>
      <c r="J50" s="59">
        <f>COUNTIFS(Sep!$B:$B,2074,Sep!$F:$F,466)</f>
        <v>0</v>
      </c>
      <c r="K50" s="59">
        <v>1</v>
      </c>
      <c r="L50" s="59">
        <f>COUNTIFS(Nov!$B:$B,2074,Nov!$F:$F,466)</f>
        <v>0</v>
      </c>
      <c r="M50" s="59">
        <v>0</v>
      </c>
    </row>
    <row r="51" spans="1:13" s="8" customFormat="1" ht="11.25" customHeight="1">
      <c r="A51" s="10" t="s">
        <v>27</v>
      </c>
      <c r="B51" s="59">
        <f>COUNTIFS(Jan!$B:$B,2074,Jan!$J:$J,25)</f>
        <v>0</v>
      </c>
      <c r="C51" s="59">
        <f>COUNTIFS(Feb!$B:$B,2074,Feb!$J:$J,25)</f>
        <v>0</v>
      </c>
      <c r="D51" s="59">
        <f>COUNTIFS(Mar!$B:$B,2074,Mar!$J:$J,25)</f>
        <v>0</v>
      </c>
      <c r="E51" s="59">
        <f>COUNTIFS(Apr!$B:$B,2074,Apr!$J:$J,25)</f>
        <v>0</v>
      </c>
      <c r="F51" s="59">
        <f>COUNTIFS(May!$B:$B,2074,May!$J:$J,25)</f>
        <v>0</v>
      </c>
      <c r="G51" s="59">
        <f>COUNTIFS(Jun!$B:$B,2074,Jun!$J:$J,25)</f>
        <v>0</v>
      </c>
      <c r="H51" s="59">
        <f>COUNTIFS(Jul!$B:$B,2074,Jul!$J:$J,25)</f>
        <v>0</v>
      </c>
      <c r="I51" s="59">
        <f>COUNTIFS(Aug!$B:$B,2074,Aug!$J:$J,25)</f>
        <v>0</v>
      </c>
      <c r="J51" s="59">
        <v>1</v>
      </c>
      <c r="K51" s="59">
        <f>COUNTIFS(Oct!$B:$B,2074,Oct!$J:$J,25)</f>
        <v>0</v>
      </c>
      <c r="L51" s="59">
        <f>COUNTIFS(Nov!$B:$B,2074,Nov!$J:$J,25)</f>
        <v>0</v>
      </c>
      <c r="M51" s="59">
        <v>0</v>
      </c>
    </row>
    <row r="52" spans="1:13" s="8" customFormat="1" ht="11.25" customHeight="1" thickBot="1">
      <c r="A52" s="11" t="s">
        <v>16</v>
      </c>
      <c r="B52" s="60">
        <f t="shared" ref="B52:G52" si="11">SUM(B34:B51)</f>
        <v>48</v>
      </c>
      <c r="C52" s="60">
        <f t="shared" si="11"/>
        <v>71</v>
      </c>
      <c r="D52" s="60">
        <f t="shared" si="11"/>
        <v>64</v>
      </c>
      <c r="E52" s="60">
        <f t="shared" si="11"/>
        <v>50</v>
      </c>
      <c r="F52" s="60">
        <f t="shared" si="11"/>
        <v>79</v>
      </c>
      <c r="G52" s="60">
        <f t="shared" si="11"/>
        <v>84</v>
      </c>
      <c r="H52" s="60">
        <f t="shared" ref="H52:M52" si="12">SUM(H34:H51)</f>
        <v>120</v>
      </c>
      <c r="I52" s="60">
        <f t="shared" si="12"/>
        <v>112</v>
      </c>
      <c r="J52" s="60">
        <f t="shared" si="12"/>
        <v>92</v>
      </c>
      <c r="K52" s="60">
        <f t="shared" si="12"/>
        <v>39</v>
      </c>
      <c r="L52" s="159">
        <f t="shared" si="12"/>
        <v>59</v>
      </c>
      <c r="M52" s="170">
        <f t="shared" si="12"/>
        <v>113</v>
      </c>
    </row>
    <row r="53" spans="1:13" ht="12" customHeight="1" thickBot="1">
      <c r="A53" s="55" t="s">
        <v>137</v>
      </c>
      <c r="B53" s="50">
        <v>41275</v>
      </c>
      <c r="C53" s="47">
        <v>41306</v>
      </c>
      <c r="D53" s="47">
        <v>41334</v>
      </c>
      <c r="E53" s="47">
        <v>41365</v>
      </c>
      <c r="F53" s="47">
        <v>41395</v>
      </c>
      <c r="G53" s="47">
        <v>41426</v>
      </c>
      <c r="H53" s="47">
        <v>41456</v>
      </c>
      <c r="I53" s="47">
        <v>41487</v>
      </c>
      <c r="J53" s="47">
        <v>41518</v>
      </c>
      <c r="K53" s="47">
        <v>41548</v>
      </c>
      <c r="L53" s="47">
        <v>41579</v>
      </c>
      <c r="M53" s="51">
        <v>41609</v>
      </c>
    </row>
    <row r="54" spans="1:13" s="8" customFormat="1" ht="11.25" customHeight="1">
      <c r="A54" s="10" t="s">
        <v>30</v>
      </c>
      <c r="B54" s="57">
        <f>COUNTIFS(Jan!$B:$B,2074,Jan!$J:$J,7)</f>
        <v>0</v>
      </c>
      <c r="C54" s="57">
        <v>4</v>
      </c>
      <c r="D54" s="57">
        <v>5</v>
      </c>
      <c r="E54" s="57">
        <v>3</v>
      </c>
      <c r="F54" s="57">
        <v>6</v>
      </c>
      <c r="G54" s="57">
        <v>2</v>
      </c>
      <c r="H54" s="57">
        <v>9</v>
      </c>
      <c r="I54" s="57">
        <v>3</v>
      </c>
      <c r="J54" s="57">
        <v>9</v>
      </c>
      <c r="K54" s="57">
        <v>1</v>
      </c>
      <c r="L54" s="57">
        <v>6</v>
      </c>
      <c r="M54" s="57">
        <v>4</v>
      </c>
    </row>
    <row r="55" spans="1:13" s="8" customFormat="1" ht="11.25" customHeight="1">
      <c r="A55" s="10" t="s">
        <v>29</v>
      </c>
      <c r="B55" s="59">
        <f>COUNTIFS(Jan!$B:$B,2074,Jan!$J:$J,8)</f>
        <v>0</v>
      </c>
      <c r="C55" s="59">
        <f>COUNTIFS(Feb!$B:$B,2074,Feb!$J:$J,8)</f>
        <v>0</v>
      </c>
      <c r="D55" s="59">
        <f>COUNTIFS(Mar!$B:$B,2074,Mar!$J:$J,8)</f>
        <v>0</v>
      </c>
      <c r="E55" s="59">
        <f>COUNTIFS(Apr!$B:$B,2074,Apr!$J:$J,8)</f>
        <v>0</v>
      </c>
      <c r="F55" s="59">
        <f>COUNTIFS(May!$B:$B,2074,May!$J:$J,8)</f>
        <v>0</v>
      </c>
      <c r="G55" s="59">
        <f>COUNTIFS(Jun!$B:$B,2074,Jun!$J:$J,8)</f>
        <v>0</v>
      </c>
      <c r="H55" s="59">
        <f>COUNTIFS(Jul!$B:$B,2074,Jul!$J:$J,8)</f>
        <v>0</v>
      </c>
      <c r="I55" s="59">
        <f>COUNTIFS(Aug!$B:$B,2074,Aug!$J:$J,8)</f>
        <v>0</v>
      </c>
      <c r="J55" s="59">
        <f>COUNTIFS(Sep!$B:$B,2074,Sep!$J:$J,8)</f>
        <v>0</v>
      </c>
      <c r="K55" s="59">
        <f>COUNTIFS(Oct!$B:$B,2074,Oct!$J:$J,8)</f>
        <v>0</v>
      </c>
      <c r="L55" s="59">
        <f>COUNTIFS(Nov!$B:$B,2074,Nov!$J:$J,8)</f>
        <v>0</v>
      </c>
      <c r="M55" s="59">
        <v>0</v>
      </c>
    </row>
    <row r="56" spans="1:13" s="8" customFormat="1" ht="11.25" customHeight="1">
      <c r="A56" s="10" t="s">
        <v>7</v>
      </c>
      <c r="B56" s="59">
        <f>COUNTIFS(Jan!$B:$B,2074,Jan!$J:$J,12)</f>
        <v>2</v>
      </c>
      <c r="C56" s="59">
        <v>2</v>
      </c>
      <c r="D56" s="59">
        <v>3</v>
      </c>
      <c r="E56" s="59">
        <v>6</v>
      </c>
      <c r="F56" s="59">
        <v>1</v>
      </c>
      <c r="G56" s="59">
        <v>6</v>
      </c>
      <c r="H56" s="59">
        <v>10</v>
      </c>
      <c r="I56" s="59">
        <v>9</v>
      </c>
      <c r="J56" s="59">
        <v>9</v>
      </c>
      <c r="K56" s="59">
        <v>4</v>
      </c>
      <c r="L56" s="59">
        <v>2</v>
      </c>
      <c r="M56" s="59">
        <v>3</v>
      </c>
    </row>
    <row r="57" spans="1:13" s="8" customFormat="1" ht="11.25" customHeight="1">
      <c r="A57" s="10" t="s">
        <v>10</v>
      </c>
      <c r="B57" s="59">
        <f>COUNTIFS(Jan!$B:$B,2074,Jan!$J:$J,5100)</f>
        <v>0</v>
      </c>
      <c r="C57" s="59">
        <f>COUNTIFS(Feb!$B:$B,2074,Feb!$J:$J,5100)</f>
        <v>0</v>
      </c>
      <c r="D57" s="59">
        <f>COUNTIFS(Mar!$B:$B,2074,Mar!$J:$J,5100)</f>
        <v>0</v>
      </c>
      <c r="E57" s="59">
        <f>COUNTIFS(Apr!$B:$B,2074,Apr!$J:$J,5100)</f>
        <v>0</v>
      </c>
      <c r="F57" s="59">
        <f>COUNTIFS(May!$B:$B,2074,May!$J:$J,5100)</f>
        <v>0</v>
      </c>
      <c r="G57" s="59">
        <f>COUNTIFS(Jun!$B:$B,2074,Jun!$J:$J,5100)</f>
        <v>0</v>
      </c>
      <c r="H57" s="59">
        <f>COUNTIFS(Jul!$B:$B,2074,Jul!$J:$J,5100)</f>
        <v>0</v>
      </c>
      <c r="I57" s="59">
        <f>COUNTIFS(Aug!$B:$B,2074,Aug!$J:$J,5100)</f>
        <v>0</v>
      </c>
      <c r="J57" s="59">
        <f>COUNTIFS(Sep!$B:$B,2074,Sep!$J:$J,5100)</f>
        <v>0</v>
      </c>
      <c r="K57" s="59">
        <f>COUNTIFS(Oct!$B:$B,2074,Oct!$J:$J,5100)</f>
        <v>0</v>
      </c>
      <c r="L57" s="59">
        <f>COUNTIFS(Nov!$B:$B,2074,Nov!$J:$J,5100)</f>
        <v>0</v>
      </c>
      <c r="M57" s="59">
        <v>0</v>
      </c>
    </row>
    <row r="58" spans="1:13" s="8" customFormat="1" ht="11.25" customHeight="1">
      <c r="A58" s="10" t="s">
        <v>36</v>
      </c>
      <c r="B58" s="59">
        <f>COUNTIFS(Jan!$B:$B,2074,Jan!$J:$J,6200)</f>
        <v>0</v>
      </c>
      <c r="C58" s="59">
        <f>COUNTIFS(Feb!$B:$B,2074,Feb!$J:$J,6200)</f>
        <v>0</v>
      </c>
      <c r="D58" s="59">
        <f>COUNTIFS(Mar!$B:$B,2074,Mar!$J:$J,6200)</f>
        <v>0</v>
      </c>
      <c r="E58" s="59">
        <f>COUNTIFS(Apr!$B:$B,2074,Apr!$J:$J,6200)</f>
        <v>0</v>
      </c>
      <c r="F58" s="59">
        <f>COUNTIFS(May!$B:$B,2074,May!$J:$J,6200)</f>
        <v>0</v>
      </c>
      <c r="G58" s="59">
        <f>COUNTIFS(Jun!$B:$B,2074,Jun!$J:$J,6200)</f>
        <v>0</v>
      </c>
      <c r="H58" s="59">
        <f>COUNTIFS(Jul!$B:$B,2074,Jul!$J:$J,6200)</f>
        <v>0</v>
      </c>
      <c r="I58" s="59">
        <f>COUNTIFS(Aug!$B:$B,2074,Aug!$J:$J,6200)</f>
        <v>0</v>
      </c>
      <c r="J58" s="59">
        <f>COUNTIFS(Sep!$B:$B,2074,Sep!$J:$J,6200)</f>
        <v>0</v>
      </c>
      <c r="K58" s="59">
        <f>COUNTIFS(Oct!$B:$B,2074,Oct!$J:$J,6200)</f>
        <v>0</v>
      </c>
      <c r="L58" s="59">
        <f>COUNTIFS(Nov!$B:$B,2074,Nov!$J:$J,6200)</f>
        <v>0</v>
      </c>
      <c r="M58" s="59">
        <v>0</v>
      </c>
    </row>
    <row r="59" spans="1:13" s="8" customFormat="1" ht="11.25" customHeight="1">
      <c r="A59" s="10" t="s">
        <v>145</v>
      </c>
      <c r="B59" s="59">
        <f>COUNTIFS(Jan!$B:$B,2074,Jan!$J:$J,28)</f>
        <v>0</v>
      </c>
      <c r="C59" s="59">
        <f>COUNTIFS(Feb!$B:$B,2074,Feb!$J:$J,28)</f>
        <v>0</v>
      </c>
      <c r="D59" s="59">
        <f>COUNTIFS(Mar!$B:$B,2074,Mar!$J:$J,28)</f>
        <v>0</v>
      </c>
      <c r="E59" s="59">
        <f>COUNTIFS(Apr!$B:$B,2074,Apr!$J:$J,28)</f>
        <v>0</v>
      </c>
      <c r="F59" s="59">
        <f>COUNTIFS(May!$B:$B,2074,May!$J:$J,28)</f>
        <v>0</v>
      </c>
      <c r="G59" s="59">
        <f>COUNTIFS(Jun!$B:$B,2074,Jun!$J:$J,28)</f>
        <v>0</v>
      </c>
      <c r="H59" s="59">
        <f>COUNTIFS(Jul!$B:$B,2074,Jul!$J:$J,28)</f>
        <v>0</v>
      </c>
      <c r="I59" s="59">
        <v>0</v>
      </c>
      <c r="J59" s="59">
        <f>COUNTIFS(Sep!$B:$B,2074,Sep!$J:$J,28)</f>
        <v>0</v>
      </c>
      <c r="K59" s="59">
        <f>COUNTIFS(Oct!$B:$B,2074,Oct!$J:$J,28)</f>
        <v>0</v>
      </c>
      <c r="L59" s="59">
        <f>COUNTIFS(Nov!$B:$B,2074,Nov!$J:$J,28)</f>
        <v>0</v>
      </c>
      <c r="M59" s="59">
        <v>0</v>
      </c>
    </row>
    <row r="60" spans="1:13" s="8" customFormat="1" ht="11.25" customHeight="1">
      <c r="A60" s="10" t="s">
        <v>38</v>
      </c>
      <c r="B60" s="59">
        <f>COUNTIFS(Jan!$B:$B,2074,Jan!$J:$J,6100)</f>
        <v>0</v>
      </c>
      <c r="C60" s="59">
        <f>COUNTIFS(Feb!$B:$B,2074,Feb!$J:$J,6100)</f>
        <v>0</v>
      </c>
      <c r="D60" s="59">
        <f>COUNTIFS(Mar!$B:$B,2074,Mar!$J:$J,6100)</f>
        <v>0</v>
      </c>
      <c r="E60" s="59">
        <f>COUNTIFS(Apr!$B:$B,2074,Apr!$J:$J,6100)</f>
        <v>0</v>
      </c>
      <c r="F60" s="59">
        <v>1</v>
      </c>
      <c r="G60" s="59">
        <f>COUNTIFS(Jun!$B:$B,2074,Jun!$J:$J,6100)</f>
        <v>0</v>
      </c>
      <c r="H60" s="59">
        <f>COUNTIFS(Jul!$B:$B,2074,Jul!$J:$J,6100)</f>
        <v>0</v>
      </c>
      <c r="I60" s="59">
        <v>2</v>
      </c>
      <c r="J60" s="59">
        <f>COUNTIFS(Sep!$B:$B,2074,Sep!$J:$J,6100)</f>
        <v>0</v>
      </c>
      <c r="K60" s="59">
        <v>1</v>
      </c>
      <c r="L60" s="59">
        <f>COUNTIFS(Nov!$B:$B,2074,Nov!$J:$J,6100)</f>
        <v>0</v>
      </c>
      <c r="M60" s="59">
        <v>2</v>
      </c>
    </row>
    <row r="61" spans="1:13" s="8" customFormat="1" ht="11.25" customHeight="1">
      <c r="A61" s="10" t="s">
        <v>9</v>
      </c>
      <c r="B61" s="59">
        <f>COUNTIFS(Jan!$B:$B,2074,Jan!$J:$J,6)</f>
        <v>0</v>
      </c>
      <c r="C61" s="59">
        <f>COUNTIFS(Feb!$B:$B,2074,Feb!$J:$J,6)</f>
        <v>0</v>
      </c>
      <c r="D61" s="59">
        <f>COUNTIFS(Mar!$B:$B,2074,Mar!$J:$J,6)</f>
        <v>0</v>
      </c>
      <c r="E61" s="59">
        <f>COUNTIFS(Apr!$B:$B,2074,Apr!$J:$J,6)</f>
        <v>0</v>
      </c>
      <c r="F61" s="59">
        <f>COUNTIFS(May!$B:$B,2074,May!$J:$J,6)</f>
        <v>0</v>
      </c>
      <c r="G61" s="59">
        <f>COUNTIFS(Jun!$B:$B,2074,Jun!$J:$J,6)</f>
        <v>0</v>
      </c>
      <c r="H61" s="59">
        <f>COUNTIFS(Jul!$B:$B,2074,Jul!$J:$J,6)</f>
        <v>0</v>
      </c>
      <c r="I61" s="59">
        <f>COUNTIFS(Aug!$B:$B,2074,Aug!$J:$J,6)</f>
        <v>0</v>
      </c>
      <c r="J61" s="59">
        <f>COUNTIFS(Sep!$B:$B,2074,Sep!$J:$J,6)</f>
        <v>0</v>
      </c>
      <c r="K61" s="59">
        <f>COUNTIFS(Oct!$B:$B,2074,Oct!$J:$J,6)</f>
        <v>0</v>
      </c>
      <c r="L61" s="59">
        <f>COUNTIFS(Nov!$B:$B,2074,Nov!$J:$J,6)</f>
        <v>0</v>
      </c>
      <c r="M61" s="59">
        <v>0</v>
      </c>
    </row>
    <row r="62" spans="1:13" s="8" customFormat="1" ht="11.25" customHeight="1">
      <c r="A62" s="10" t="s">
        <v>8</v>
      </c>
      <c r="B62" s="59">
        <f>COUNTIFS(Jan!$B:$B,2074,Jan!$J:$J,4)</f>
        <v>0</v>
      </c>
      <c r="C62" s="59">
        <f>COUNTIFS(Feb!$B:$B,2074,Feb!$J:$J,4)</f>
        <v>0</v>
      </c>
      <c r="D62" s="59">
        <f>COUNTIFS(Mar!$B:$B,2074,Mar!$J:$J,4)</f>
        <v>0</v>
      </c>
      <c r="E62" s="59">
        <f>COUNTIFS(Apr!$B:$B,2074,Apr!$J:$J,4)</f>
        <v>0</v>
      </c>
      <c r="F62" s="59">
        <f>COUNTIFS(May!$B:$B,2074,May!$J:$J,4)</f>
        <v>0</v>
      </c>
      <c r="G62" s="59">
        <f>COUNTIFS(Jun!$B:$B,2074,Jun!$J:$J,4)</f>
        <v>0</v>
      </c>
      <c r="H62" s="59">
        <f>COUNTIFS(Jul!$B:$B,2074,Jul!$J:$J,4)</f>
        <v>0</v>
      </c>
      <c r="I62" s="59">
        <f>COUNTIFS(Aug!$B:$B,2074,Aug!$J:$J,4)</f>
        <v>0</v>
      </c>
      <c r="J62" s="59">
        <f>COUNTIFS(Sep!$B:$B,2074,Sep!$J:$J,4)</f>
        <v>0</v>
      </c>
      <c r="K62" s="59">
        <f>COUNTIFS(Oct!$B:$B,2074,Oct!$J:$J,4)</f>
        <v>0</v>
      </c>
      <c r="L62" s="59">
        <f>COUNTIFS(Nov!$B:$B,2074,Nov!$J:$J,4)</f>
        <v>0</v>
      </c>
      <c r="M62" s="59">
        <v>0</v>
      </c>
    </row>
    <row r="63" spans="1:13" s="8" customFormat="1" ht="11.25" customHeight="1">
      <c r="A63" s="10" t="s">
        <v>6</v>
      </c>
      <c r="B63" s="59">
        <f>COUNTIFS(Jan!$B:$B,2074,Jan!$J:$J,5)</f>
        <v>0</v>
      </c>
      <c r="C63" s="59">
        <f>COUNTIFS(Feb!$B:$B,2074,Feb!$J:$J,5)</f>
        <v>0</v>
      </c>
      <c r="D63" s="59">
        <f>COUNTIFS(Mar!$B:$B,2074,Mar!$J:$J,5)</f>
        <v>0</v>
      </c>
      <c r="E63" s="59">
        <f>COUNTIFS(Apr!$B:$B,2074,Apr!$J:$J,5)</f>
        <v>0</v>
      </c>
      <c r="F63" s="59">
        <f>COUNTIFS(May!$B:$B,2074,May!$J:$J,5)</f>
        <v>0</v>
      </c>
      <c r="G63" s="59">
        <f>COUNTIFS(Jun!$B:$B,2074,Jun!$J:$J,5)</f>
        <v>0</v>
      </c>
      <c r="H63" s="59">
        <f>COUNTIFS(Jul!$B:$B,2074,Jul!$J:$J,5)</f>
        <v>0</v>
      </c>
      <c r="I63" s="59">
        <f>COUNTIFS(Aug!$B:$B,2074,Aug!$J:$J,5)</f>
        <v>0</v>
      </c>
      <c r="J63" s="59">
        <f>COUNTIFS(Sep!$B:$B,2074,Sep!$J:$J,5)</f>
        <v>0</v>
      </c>
      <c r="K63" s="59">
        <f>COUNTIFS(Oct!$B:$B,2074,Oct!$J:$J,5)</f>
        <v>0</v>
      </c>
      <c r="L63" s="59">
        <f>COUNTIFS(Nov!$B:$B,2074,Nov!$J:$J,5)</f>
        <v>0</v>
      </c>
      <c r="M63" s="59">
        <v>0</v>
      </c>
    </row>
    <row r="64" spans="1:13" s="8" customFormat="1" ht="11.25" customHeight="1">
      <c r="A64" s="52" t="s">
        <v>141</v>
      </c>
      <c r="B64" s="69">
        <f>COUNTIFS(Jan!$B:$B,2074,Jan!$F:$F,456)</f>
        <v>7</v>
      </c>
      <c r="C64" s="69">
        <v>8</v>
      </c>
      <c r="D64" s="69">
        <v>13</v>
      </c>
      <c r="E64" s="69">
        <v>10</v>
      </c>
      <c r="F64" s="69">
        <v>8</v>
      </c>
      <c r="G64" s="69">
        <v>4</v>
      </c>
      <c r="H64" s="69">
        <v>3</v>
      </c>
      <c r="I64" s="69">
        <v>3</v>
      </c>
      <c r="J64" s="69">
        <f>COUNTIFS(Sep!$B:$B,2074,Sep!$F:$F,456)</f>
        <v>0</v>
      </c>
      <c r="K64" s="69">
        <v>2</v>
      </c>
      <c r="L64" s="69">
        <v>3</v>
      </c>
      <c r="M64" s="69">
        <v>5</v>
      </c>
    </row>
    <row r="65" spans="1:13" s="8" customFormat="1" ht="11.25" customHeight="1" thickBot="1">
      <c r="A65" s="12" t="s">
        <v>16</v>
      </c>
      <c r="B65" s="70">
        <f>SUM(B54:B64)</f>
        <v>9</v>
      </c>
      <c r="C65" s="70">
        <f t="shared" ref="C65:M65" si="13">SUM(C54:C64)</f>
        <v>14</v>
      </c>
      <c r="D65" s="70">
        <f>SUM(D54:D64)</f>
        <v>21</v>
      </c>
      <c r="E65" s="70">
        <f>SUM(E54:E64)</f>
        <v>19</v>
      </c>
      <c r="F65" s="70">
        <f>SUM(F54:F64)</f>
        <v>16</v>
      </c>
      <c r="G65" s="70">
        <f>SUM(G54:G64)</f>
        <v>12</v>
      </c>
      <c r="H65" s="70">
        <f t="shared" si="13"/>
        <v>22</v>
      </c>
      <c r="I65" s="70">
        <f t="shared" si="13"/>
        <v>17</v>
      </c>
      <c r="J65" s="70">
        <f t="shared" si="13"/>
        <v>18</v>
      </c>
      <c r="K65" s="70">
        <f t="shared" si="13"/>
        <v>8</v>
      </c>
      <c r="L65" s="165">
        <f t="shared" si="13"/>
        <v>11</v>
      </c>
      <c r="M65" s="170">
        <f t="shared" si="13"/>
        <v>14</v>
      </c>
    </row>
    <row r="66" spans="1:13" s="8" customFormat="1" ht="15.75" customHeight="1">
      <c r="A66" s="6"/>
      <c r="B66" s="7"/>
      <c r="C66" s="7"/>
      <c r="D66" s="7"/>
      <c r="E66" s="7"/>
      <c r="F66" s="7"/>
      <c r="G66" s="7"/>
      <c r="H66" s="7"/>
      <c r="I66" s="7"/>
      <c r="J66" s="7"/>
      <c r="K66" s="7"/>
      <c r="L66" s="7"/>
      <c r="M66" s="7"/>
    </row>
    <row r="67" spans="1:13" ht="12" customHeight="1">
      <c r="A67" s="6"/>
      <c r="B67" s="7"/>
      <c r="C67" s="7"/>
      <c r="D67" s="7"/>
      <c r="E67" s="7"/>
      <c r="F67" s="7"/>
      <c r="G67" s="7"/>
      <c r="H67" s="7"/>
      <c r="I67" s="7"/>
      <c r="J67" s="7"/>
      <c r="K67" s="7"/>
      <c r="L67" s="7"/>
      <c r="M67" s="7"/>
    </row>
  </sheetData>
  <phoneticPr fontId="0" type="noConversion"/>
  <printOptions horizontalCentered="1" verticalCentered="1"/>
  <pageMargins left="0.14000000000000001" right="0.16" top="0.25" bottom="0.5" header="0.5" footer="0.25"/>
  <pageSetup scale="95" firstPageNumber="3" orientation="portrait" useFirstPageNumber="1" r:id="rId1"/>
  <headerFooter alignWithMargins="0">
    <oddFooter>&amp;R17 of 51</oddFooter>
  </headerFooter>
  <ignoredErrors>
    <ignoredError sqref="M32 M52 M65" formulaRange="1"/>
  </ignoredError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67"/>
  <sheetViews>
    <sheetView view="pageBreakPreview" topLeftCell="A19" zoomScale="90" zoomScaleNormal="100" zoomScaleSheetLayoutView="90" workbookViewId="0">
      <selection activeCell="M47" sqref="M47"/>
    </sheetView>
  </sheetViews>
  <sheetFormatPr defaultRowHeight="12.75"/>
  <cols>
    <col min="1" max="1" width="22.85546875" style="1" customWidth="1"/>
    <col min="2" max="13" width="7.140625" style="1" customWidth="1"/>
    <col min="14" max="14" width="4.42578125" style="1" customWidth="1"/>
    <col min="15" max="16384" width="9.140625" style="1"/>
  </cols>
  <sheetData>
    <row r="1" spans="1:21" ht="18" customHeight="1">
      <c r="A1" s="130"/>
      <c r="B1" s="131"/>
      <c r="C1" s="131"/>
      <c r="D1" s="131"/>
      <c r="E1" s="131"/>
      <c r="F1" s="131"/>
      <c r="G1" s="130"/>
      <c r="H1" s="130"/>
      <c r="I1" s="131"/>
      <c r="J1" s="131"/>
      <c r="K1" s="131"/>
      <c r="L1" s="130"/>
      <c r="M1" s="143" t="s">
        <v>22</v>
      </c>
    </row>
    <row r="2" spans="1:21" ht="18" customHeight="1">
      <c r="A2" s="130"/>
      <c r="B2" s="135"/>
      <c r="C2" s="135"/>
      <c r="D2" s="135"/>
      <c r="E2" s="135"/>
      <c r="F2" s="135"/>
      <c r="G2" s="130"/>
      <c r="H2" s="130"/>
      <c r="I2" s="135"/>
      <c r="J2" s="135"/>
      <c r="K2" s="135"/>
      <c r="L2" s="130"/>
      <c r="M2" s="155" t="s">
        <v>13</v>
      </c>
    </row>
    <row r="3" spans="1:21" s="5" customFormat="1" ht="18" customHeight="1">
      <c r="A3" s="133"/>
      <c r="B3" s="133"/>
      <c r="C3" s="133"/>
      <c r="D3" s="133"/>
      <c r="E3" s="133"/>
      <c r="F3" s="133"/>
      <c r="G3" s="133"/>
      <c r="H3" s="133"/>
      <c r="I3" s="133"/>
      <c r="J3" s="136"/>
      <c r="K3" s="136"/>
      <c r="L3" s="133"/>
      <c r="M3" s="155" t="s">
        <v>59</v>
      </c>
      <c r="N3" s="134"/>
      <c r="O3" s="134"/>
      <c r="P3" s="134"/>
      <c r="Q3" s="134"/>
      <c r="R3" s="134"/>
      <c r="S3" s="134"/>
      <c r="T3" s="134"/>
      <c r="U3" s="134"/>
    </row>
    <row r="4" spans="1:21" s="8" customFormat="1" ht="6.75" customHeight="1" thickBot="1">
      <c r="A4" s="38"/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</row>
    <row r="5" spans="1:21" s="8" customFormat="1" ht="11.25" customHeight="1" thickBot="1">
      <c r="A5" s="53" t="s">
        <v>19</v>
      </c>
      <c r="B5" s="50">
        <v>41275</v>
      </c>
      <c r="C5" s="47">
        <v>41306</v>
      </c>
      <c r="D5" s="47">
        <v>41334</v>
      </c>
      <c r="E5" s="47">
        <v>41365</v>
      </c>
      <c r="F5" s="47">
        <v>41395</v>
      </c>
      <c r="G5" s="47">
        <v>41426</v>
      </c>
      <c r="H5" s="47">
        <v>41456</v>
      </c>
      <c r="I5" s="47">
        <v>41487</v>
      </c>
      <c r="J5" s="47">
        <v>41518</v>
      </c>
      <c r="K5" s="47">
        <v>41548</v>
      </c>
      <c r="L5" s="47">
        <v>41579</v>
      </c>
      <c r="M5" s="51">
        <v>41609</v>
      </c>
    </row>
    <row r="6" spans="1:21" s="8" customFormat="1" ht="11.25" customHeight="1">
      <c r="A6" s="41" t="s">
        <v>129</v>
      </c>
      <c r="B6" s="57">
        <f t="shared" ref="B6:M6" si="0">B32</f>
        <v>39</v>
      </c>
      <c r="C6" s="57">
        <f t="shared" si="0"/>
        <v>28</v>
      </c>
      <c r="D6" s="57">
        <f t="shared" si="0"/>
        <v>19</v>
      </c>
      <c r="E6" s="57">
        <f t="shared" si="0"/>
        <v>17</v>
      </c>
      <c r="F6" s="57">
        <f t="shared" si="0"/>
        <v>19</v>
      </c>
      <c r="G6" s="57">
        <f t="shared" si="0"/>
        <v>38</v>
      </c>
      <c r="H6" s="57">
        <f t="shared" si="0"/>
        <v>39</v>
      </c>
      <c r="I6" s="57">
        <f t="shared" si="0"/>
        <v>40</v>
      </c>
      <c r="J6" s="57">
        <f t="shared" si="0"/>
        <v>26</v>
      </c>
      <c r="K6" s="57">
        <f t="shared" si="0"/>
        <v>12</v>
      </c>
      <c r="L6" s="156">
        <f t="shared" si="0"/>
        <v>52</v>
      </c>
      <c r="M6" s="168">
        <f t="shared" si="0"/>
        <v>58</v>
      </c>
    </row>
    <row r="7" spans="1:21" s="8" customFormat="1" ht="11.25" customHeight="1">
      <c r="A7" s="42" t="s">
        <v>18</v>
      </c>
      <c r="B7" s="57">
        <f t="shared" ref="B7:M7" si="1">SUM(B10:B12)</f>
        <v>155</v>
      </c>
      <c r="C7" s="57">
        <f t="shared" si="1"/>
        <v>118</v>
      </c>
      <c r="D7" s="57">
        <f t="shared" si="1"/>
        <v>184</v>
      </c>
      <c r="E7" s="57">
        <f t="shared" si="1"/>
        <v>196</v>
      </c>
      <c r="F7" s="57">
        <f t="shared" si="1"/>
        <v>236</v>
      </c>
      <c r="G7" s="57">
        <f t="shared" si="1"/>
        <v>227</v>
      </c>
      <c r="H7" s="57">
        <f t="shared" si="1"/>
        <v>270</v>
      </c>
      <c r="I7" s="57">
        <f t="shared" si="1"/>
        <v>321</v>
      </c>
      <c r="J7" s="57">
        <f t="shared" si="1"/>
        <v>265</v>
      </c>
      <c r="K7" s="57">
        <f t="shared" si="1"/>
        <v>148</v>
      </c>
      <c r="L7" s="156">
        <f t="shared" si="1"/>
        <v>165</v>
      </c>
      <c r="M7" s="171">
        <f t="shared" si="1"/>
        <v>269</v>
      </c>
    </row>
    <row r="8" spans="1:21" s="8" customFormat="1" ht="11.25" customHeight="1" thickBot="1">
      <c r="A8" s="43" t="s">
        <v>14</v>
      </c>
      <c r="B8" s="58">
        <f t="shared" ref="B8:M8" si="2">SUM(B6:B7)</f>
        <v>194</v>
      </c>
      <c r="C8" s="58">
        <f t="shared" si="2"/>
        <v>146</v>
      </c>
      <c r="D8" s="58">
        <f t="shared" si="2"/>
        <v>203</v>
      </c>
      <c r="E8" s="58">
        <f t="shared" si="2"/>
        <v>213</v>
      </c>
      <c r="F8" s="58">
        <f t="shared" si="2"/>
        <v>255</v>
      </c>
      <c r="G8" s="58">
        <f t="shared" si="2"/>
        <v>265</v>
      </c>
      <c r="H8" s="58">
        <f t="shared" si="2"/>
        <v>309</v>
      </c>
      <c r="I8" s="58">
        <f t="shared" si="2"/>
        <v>361</v>
      </c>
      <c r="J8" s="58">
        <f t="shared" si="2"/>
        <v>291</v>
      </c>
      <c r="K8" s="58">
        <f t="shared" si="2"/>
        <v>160</v>
      </c>
      <c r="L8" s="157">
        <f t="shared" si="2"/>
        <v>217</v>
      </c>
      <c r="M8" s="172">
        <f t="shared" si="2"/>
        <v>327</v>
      </c>
    </row>
    <row r="9" spans="1:21" s="8" customFormat="1" ht="11.25" customHeight="1" thickBot="1">
      <c r="A9" s="54" t="s">
        <v>18</v>
      </c>
      <c r="B9" s="50">
        <v>41275</v>
      </c>
      <c r="C9" s="47">
        <v>41306</v>
      </c>
      <c r="D9" s="47">
        <v>41334</v>
      </c>
      <c r="E9" s="47">
        <v>41365</v>
      </c>
      <c r="F9" s="47">
        <v>41395</v>
      </c>
      <c r="G9" s="47">
        <v>41426</v>
      </c>
      <c r="H9" s="47">
        <v>41456</v>
      </c>
      <c r="I9" s="47">
        <v>41487</v>
      </c>
      <c r="J9" s="47">
        <v>41518</v>
      </c>
      <c r="K9" s="47">
        <v>41548</v>
      </c>
      <c r="L9" s="47">
        <v>41579</v>
      </c>
      <c r="M9" s="51">
        <v>41609</v>
      </c>
    </row>
    <row r="10" spans="1:21" s="8" customFormat="1" ht="11.25" customHeight="1">
      <c r="A10" s="9" t="s">
        <v>128</v>
      </c>
      <c r="B10" s="57">
        <f t="shared" ref="B10:M10" si="3">B52</f>
        <v>75</v>
      </c>
      <c r="C10" s="57">
        <f t="shared" si="3"/>
        <v>57</v>
      </c>
      <c r="D10" s="57">
        <f t="shared" si="3"/>
        <v>73</v>
      </c>
      <c r="E10" s="57">
        <f t="shared" si="3"/>
        <v>91</v>
      </c>
      <c r="F10" s="57">
        <f t="shared" si="3"/>
        <v>119</v>
      </c>
      <c r="G10" s="59">
        <f t="shared" si="3"/>
        <v>113</v>
      </c>
      <c r="H10" s="59">
        <f t="shared" si="3"/>
        <v>146</v>
      </c>
      <c r="I10" s="59">
        <f t="shared" si="3"/>
        <v>165</v>
      </c>
      <c r="J10" s="59">
        <f t="shared" si="3"/>
        <v>131</v>
      </c>
      <c r="K10" s="59">
        <f t="shared" si="3"/>
        <v>68</v>
      </c>
      <c r="L10" s="158">
        <f t="shared" si="3"/>
        <v>62</v>
      </c>
      <c r="M10" s="168">
        <f t="shared" si="3"/>
        <v>71</v>
      </c>
    </row>
    <row r="11" spans="1:21" s="8" customFormat="1" ht="11.25" customHeight="1">
      <c r="A11" s="9" t="s">
        <v>127</v>
      </c>
      <c r="B11" s="59">
        <f t="shared" ref="B11:M11" si="4">B65</f>
        <v>7</v>
      </c>
      <c r="C11" s="59">
        <f t="shared" si="4"/>
        <v>4</v>
      </c>
      <c r="D11" s="59">
        <f t="shared" si="4"/>
        <v>12</v>
      </c>
      <c r="E11" s="59">
        <f t="shared" si="4"/>
        <v>9</v>
      </c>
      <c r="F11" s="59">
        <f t="shared" si="4"/>
        <v>5</v>
      </c>
      <c r="G11" s="59">
        <f t="shared" si="4"/>
        <v>8</v>
      </c>
      <c r="H11" s="59">
        <f t="shared" si="4"/>
        <v>11</v>
      </c>
      <c r="I11" s="59">
        <f t="shared" si="4"/>
        <v>6</v>
      </c>
      <c r="J11" s="59">
        <f t="shared" si="4"/>
        <v>5</v>
      </c>
      <c r="K11" s="59">
        <f t="shared" si="4"/>
        <v>25</v>
      </c>
      <c r="L11" s="158">
        <f t="shared" si="4"/>
        <v>81</v>
      </c>
      <c r="M11" s="169">
        <f t="shared" si="4"/>
        <v>159</v>
      </c>
    </row>
    <row r="12" spans="1:21" s="8" customFormat="1" ht="11.25" customHeight="1" thickBot="1">
      <c r="A12" s="2" t="s">
        <v>12</v>
      </c>
      <c r="B12" s="60">
        <f>COUNTIFS(Jan!$B:$B,2081,Jan!$F:$F,800)</f>
        <v>73</v>
      </c>
      <c r="C12" s="60">
        <v>57</v>
      </c>
      <c r="D12" s="60">
        <v>99</v>
      </c>
      <c r="E12" s="60">
        <v>96</v>
      </c>
      <c r="F12" s="60">
        <v>112</v>
      </c>
      <c r="G12" s="60">
        <v>106</v>
      </c>
      <c r="H12" s="60">
        <v>113</v>
      </c>
      <c r="I12" s="60">
        <v>150</v>
      </c>
      <c r="J12" s="60">
        <v>129</v>
      </c>
      <c r="K12" s="60">
        <v>55</v>
      </c>
      <c r="L12" s="60">
        <v>22</v>
      </c>
      <c r="M12" s="60">
        <v>39</v>
      </c>
    </row>
    <row r="13" spans="1:21" s="8" customFormat="1" ht="5.0999999999999996" customHeight="1" thickBot="1">
      <c r="A13" s="3"/>
      <c r="B13" s="17"/>
      <c r="C13" s="17"/>
      <c r="D13" s="17"/>
      <c r="E13" s="17"/>
      <c r="F13" s="17"/>
      <c r="G13" s="17"/>
      <c r="H13" s="17"/>
      <c r="I13" s="17"/>
      <c r="J13" s="17"/>
      <c r="K13" s="17"/>
      <c r="L13" s="17"/>
      <c r="M13" s="147"/>
    </row>
    <row r="14" spans="1:21" s="16" customFormat="1" ht="11.25" customHeight="1">
      <c r="A14" s="44" t="s">
        <v>131</v>
      </c>
      <c r="B14" s="120">
        <v>5543</v>
      </c>
      <c r="C14" s="120">
        <v>6673</v>
      </c>
      <c r="D14" s="120">
        <v>5901</v>
      </c>
      <c r="E14" s="120">
        <v>5736</v>
      </c>
      <c r="F14" s="120">
        <v>7213</v>
      </c>
      <c r="G14" s="120">
        <v>7597</v>
      </c>
      <c r="H14" s="119">
        <v>6796</v>
      </c>
      <c r="I14" s="61">
        <v>6882</v>
      </c>
      <c r="J14" s="61">
        <v>7076</v>
      </c>
      <c r="K14" s="118">
        <v>7332</v>
      </c>
      <c r="L14" s="160">
        <v>6490</v>
      </c>
      <c r="M14" s="173">
        <v>7173</v>
      </c>
      <c r="O14" s="22"/>
      <c r="P14" s="22"/>
      <c r="Q14" s="22"/>
    </row>
    <row r="15" spans="1:21" s="8" customFormat="1" ht="11.25" customHeight="1">
      <c r="A15" s="45" t="s">
        <v>132</v>
      </c>
      <c r="B15" s="62">
        <f>IFERROR((SUMIFS(Jan!$N:$N,Jan!$J:$J,1,Jan!$B:$B,2081)+SUMIFS(Jan!$N:$N,Jan!$D:$D,"&gt;1",Jan!$B:$B,2081))/(COUNTIFS(Jan!$J:$J,1,Jan!$B:$B,2081)+COUNTIFS(Jan!$D:$D,"&gt;1",Jan!$B:$B,2081)),"")</f>
        <v>35.883116883116884</v>
      </c>
      <c r="C15" s="62">
        <v>31.75</v>
      </c>
      <c r="D15" s="62">
        <v>35.42</v>
      </c>
      <c r="E15" s="62">
        <v>33.909999999999997</v>
      </c>
      <c r="F15" s="62">
        <v>34.78</v>
      </c>
      <c r="G15" s="62">
        <v>32.85</v>
      </c>
      <c r="H15" s="62">
        <v>33.770000000000003</v>
      </c>
      <c r="I15" s="62">
        <v>34.03</v>
      </c>
      <c r="J15" s="62">
        <v>34.6</v>
      </c>
      <c r="K15" s="62">
        <v>34.92</v>
      </c>
      <c r="L15" s="62">
        <v>31.96</v>
      </c>
      <c r="M15" s="62">
        <v>31.35</v>
      </c>
      <c r="N15" s="15"/>
      <c r="O15" s="1"/>
      <c r="P15" s="1"/>
      <c r="Q15" s="1"/>
    </row>
    <row r="16" spans="1:21" s="8" customFormat="1" ht="11.25" customHeight="1">
      <c r="A16" s="45" t="s">
        <v>133</v>
      </c>
      <c r="B16" s="62">
        <f>IFERROR(AVERAGEIFS(Jan!$N:$N,Jan!$F:$F,800,Jan!$B:$B,2081),"")</f>
        <v>35.767123287671232</v>
      </c>
      <c r="C16" s="62">
        <v>33.22</v>
      </c>
      <c r="D16" s="62">
        <v>36.42</v>
      </c>
      <c r="E16" s="62">
        <v>35.18</v>
      </c>
      <c r="F16" s="62">
        <v>35.130000000000003</v>
      </c>
      <c r="G16" s="62">
        <v>35.270000000000003</v>
      </c>
      <c r="H16" s="62">
        <v>34.58</v>
      </c>
      <c r="I16" s="62">
        <v>36.130000000000003</v>
      </c>
      <c r="J16" s="62">
        <v>35.42</v>
      </c>
      <c r="K16" s="62">
        <v>36.590000000000003</v>
      </c>
      <c r="L16" s="62">
        <v>35.22</v>
      </c>
      <c r="M16" s="62">
        <v>33.799999999999997</v>
      </c>
      <c r="O16" s="1"/>
      <c r="P16" s="1"/>
      <c r="Q16" s="1"/>
    </row>
    <row r="17" spans="1:17" s="8" customFormat="1" ht="11.25" customHeight="1">
      <c r="A17" s="45" t="s">
        <v>134</v>
      </c>
      <c r="B17" s="63">
        <f>IFERROR((SUMIFS(Jan!$M:$M,Jan!$J:$J,1,Jan!$B:$B,2081)+SUMIFS(Jan!$M:$M,Jan!$D:$D,"&gt;1",Jan!$B:$B,2081))/(COUNTIFS(Jan!$J:$J,1,Jan!$B:$B,2081)+COUNTIFS(Jan!$D:$D,"&gt;1",Jan!$B:$B,2081)),"")</f>
        <v>2.2402597402597415</v>
      </c>
      <c r="C17" s="63">
        <v>3.87</v>
      </c>
      <c r="D17" s="63">
        <v>1.35</v>
      </c>
      <c r="E17" s="63">
        <v>1.73</v>
      </c>
      <c r="F17" s="63">
        <v>1.19</v>
      </c>
      <c r="G17" s="63">
        <v>1.87</v>
      </c>
      <c r="H17" s="63">
        <v>1.68</v>
      </c>
      <c r="I17" s="63">
        <v>1.61</v>
      </c>
      <c r="J17" s="63">
        <v>1.96</v>
      </c>
      <c r="K17" s="63">
        <v>1.27</v>
      </c>
      <c r="L17" s="63">
        <v>2.5299999999999998</v>
      </c>
      <c r="M17" s="63">
        <v>2.12</v>
      </c>
      <c r="O17" s="1"/>
      <c r="P17" s="1"/>
      <c r="Q17" s="1"/>
    </row>
    <row r="18" spans="1:17" s="8" customFormat="1" ht="11.25" customHeight="1" thickBot="1">
      <c r="A18" s="43" t="s">
        <v>135</v>
      </c>
      <c r="B18" s="64">
        <f>IFERROR(AVERAGEIFS(Jan!$M:$M,Jan!$F:$F,800,Jan!$B:$B,2081),"")</f>
        <v>2.3356164383561655</v>
      </c>
      <c r="C18" s="64">
        <v>3.62</v>
      </c>
      <c r="D18" s="64">
        <v>1.1399999999999999</v>
      </c>
      <c r="E18" s="64">
        <v>1.53</v>
      </c>
      <c r="F18" s="64">
        <v>1.41</v>
      </c>
      <c r="G18" s="64">
        <v>1.06</v>
      </c>
      <c r="H18" s="64">
        <v>1.56</v>
      </c>
      <c r="I18" s="64">
        <v>1.27</v>
      </c>
      <c r="J18" s="64">
        <v>1.79</v>
      </c>
      <c r="K18" s="64">
        <v>1.02</v>
      </c>
      <c r="L18" s="64">
        <v>1.82</v>
      </c>
      <c r="M18" s="64">
        <v>1.24</v>
      </c>
    </row>
    <row r="19" spans="1:17" s="8" customFormat="1" ht="5.0999999999999996" customHeight="1" thickBot="1">
      <c r="A19" s="3"/>
      <c r="B19" s="17"/>
      <c r="C19" s="17"/>
      <c r="D19" s="17"/>
      <c r="E19" s="17"/>
      <c r="F19" s="17"/>
      <c r="G19" s="17"/>
      <c r="H19" s="17"/>
      <c r="I19" s="17"/>
      <c r="J19" s="17"/>
      <c r="K19" s="17"/>
      <c r="L19" s="17"/>
      <c r="M19" s="147"/>
    </row>
    <row r="20" spans="1:17" s="8" customFormat="1" ht="11.25" customHeight="1">
      <c r="A20" s="42" t="s">
        <v>52</v>
      </c>
      <c r="B20" s="65">
        <v>31</v>
      </c>
      <c r="C20" s="65">
        <v>28</v>
      </c>
      <c r="D20" s="65">
        <v>31</v>
      </c>
      <c r="E20" s="65">
        <v>30</v>
      </c>
      <c r="F20" s="65">
        <v>31</v>
      </c>
      <c r="G20" s="65">
        <v>30</v>
      </c>
      <c r="H20" s="65">
        <v>31</v>
      </c>
      <c r="I20" s="65">
        <v>31</v>
      </c>
      <c r="J20" s="65">
        <v>30</v>
      </c>
      <c r="K20" s="65">
        <v>31</v>
      </c>
      <c r="L20" s="161">
        <v>30</v>
      </c>
      <c r="M20" s="174">
        <v>31</v>
      </c>
    </row>
    <row r="21" spans="1:17" s="8" customFormat="1" ht="11.25" customHeight="1">
      <c r="A21" s="9" t="s">
        <v>15</v>
      </c>
      <c r="B21" s="66">
        <f>B12/B20</f>
        <v>2.3548387096774195</v>
      </c>
      <c r="C21" s="66">
        <f t="shared" ref="C21:M21" si="5">C12/C20</f>
        <v>2.0357142857142856</v>
      </c>
      <c r="D21" s="66">
        <f>D12/D20</f>
        <v>3.193548387096774</v>
      </c>
      <c r="E21" s="66">
        <f>E12/E20</f>
        <v>3.2</v>
      </c>
      <c r="F21" s="66">
        <f>F12/F20</f>
        <v>3.6129032258064515</v>
      </c>
      <c r="G21" s="66">
        <f>G12/G20</f>
        <v>3.5333333333333332</v>
      </c>
      <c r="H21" s="66">
        <f t="shared" si="5"/>
        <v>3.6451612903225805</v>
      </c>
      <c r="I21" s="66">
        <f t="shared" si="5"/>
        <v>4.838709677419355</v>
      </c>
      <c r="J21" s="66">
        <f t="shared" si="5"/>
        <v>4.3</v>
      </c>
      <c r="K21" s="66">
        <f t="shared" si="5"/>
        <v>1.7741935483870968</v>
      </c>
      <c r="L21" s="162">
        <f t="shared" si="5"/>
        <v>0.73333333333333328</v>
      </c>
      <c r="M21" s="175">
        <f t="shared" si="5"/>
        <v>1.2580645161290323</v>
      </c>
    </row>
    <row r="22" spans="1:17" s="8" customFormat="1" ht="11.25" customHeight="1">
      <c r="A22" s="9" t="s">
        <v>130</v>
      </c>
      <c r="B22" s="67">
        <f t="shared" ref="B22:G22" si="6">IFERROR(B12/B7,0)</f>
        <v>0.47096774193548385</v>
      </c>
      <c r="C22" s="67">
        <f t="shared" si="6"/>
        <v>0.48305084745762711</v>
      </c>
      <c r="D22" s="67">
        <f t="shared" si="6"/>
        <v>0.53804347826086951</v>
      </c>
      <c r="E22" s="67">
        <f t="shared" si="6"/>
        <v>0.48979591836734693</v>
      </c>
      <c r="F22" s="67">
        <f t="shared" si="6"/>
        <v>0.47457627118644069</v>
      </c>
      <c r="G22" s="67">
        <f t="shared" si="6"/>
        <v>0.46696035242290751</v>
      </c>
      <c r="H22" s="67">
        <f t="shared" ref="H22:M22" si="7">IFERROR(H12/H7,0)</f>
        <v>0.41851851851851851</v>
      </c>
      <c r="I22" s="67">
        <f t="shared" si="7"/>
        <v>0.46728971962616822</v>
      </c>
      <c r="J22" s="67">
        <f t="shared" si="7"/>
        <v>0.48679245283018868</v>
      </c>
      <c r="K22" s="116">
        <f t="shared" si="7"/>
        <v>0.3716216216216216</v>
      </c>
      <c r="L22" s="67">
        <f t="shared" si="7"/>
        <v>0.13333333333333333</v>
      </c>
      <c r="M22" s="176">
        <f t="shared" si="7"/>
        <v>0.1449814126394052</v>
      </c>
      <c r="N22" s="1"/>
    </row>
    <row r="23" spans="1:17" s="8" customFormat="1" ht="11.25" customHeight="1" thickBot="1">
      <c r="A23" s="9" t="s">
        <v>53</v>
      </c>
      <c r="B23" s="67">
        <f t="shared" ref="B23:G23" si="8">IFERROR(B12/(B11+B12),0)</f>
        <v>0.91249999999999998</v>
      </c>
      <c r="C23" s="67">
        <f t="shared" si="8"/>
        <v>0.93442622950819676</v>
      </c>
      <c r="D23" s="67">
        <f t="shared" si="8"/>
        <v>0.89189189189189189</v>
      </c>
      <c r="E23" s="67">
        <f t="shared" si="8"/>
        <v>0.91428571428571426</v>
      </c>
      <c r="F23" s="67">
        <f t="shared" si="8"/>
        <v>0.95726495726495731</v>
      </c>
      <c r="G23" s="67">
        <f t="shared" si="8"/>
        <v>0.92982456140350878</v>
      </c>
      <c r="H23" s="67">
        <f t="shared" ref="H23:M23" si="9">IFERROR(H12/(H11+H12),0)</f>
        <v>0.91129032258064513</v>
      </c>
      <c r="I23" s="67">
        <f t="shared" si="9"/>
        <v>0.96153846153846156</v>
      </c>
      <c r="J23" s="67">
        <f t="shared" si="9"/>
        <v>0.96268656716417911</v>
      </c>
      <c r="K23" s="117">
        <f t="shared" si="9"/>
        <v>0.6875</v>
      </c>
      <c r="L23" s="163">
        <f t="shared" si="9"/>
        <v>0.21359223300970873</v>
      </c>
      <c r="M23" s="177">
        <f t="shared" si="9"/>
        <v>0.19696969696969696</v>
      </c>
      <c r="N23" s="4"/>
    </row>
    <row r="24" spans="1:17" s="8" customFormat="1" ht="11.25" customHeight="1" thickBot="1">
      <c r="A24" s="56" t="s">
        <v>21</v>
      </c>
      <c r="B24" s="50">
        <v>41275</v>
      </c>
      <c r="C24" s="47">
        <v>41306</v>
      </c>
      <c r="D24" s="47">
        <v>41334</v>
      </c>
      <c r="E24" s="47">
        <v>41365</v>
      </c>
      <c r="F24" s="47">
        <v>41395</v>
      </c>
      <c r="G24" s="47">
        <v>41426</v>
      </c>
      <c r="H24" s="47">
        <v>41456</v>
      </c>
      <c r="I24" s="47">
        <v>41487</v>
      </c>
      <c r="J24" s="47">
        <v>41518</v>
      </c>
      <c r="K24" s="47">
        <v>41548</v>
      </c>
      <c r="L24" s="47">
        <v>41579</v>
      </c>
      <c r="M24" s="51">
        <v>41609</v>
      </c>
    </row>
    <row r="25" spans="1:17" s="8" customFormat="1" ht="11.25" customHeight="1">
      <c r="A25" s="18" t="s">
        <v>5</v>
      </c>
      <c r="B25" s="68">
        <f>COUNTIFS(Jan!$B:$B,2081,Jan!$J:$J,18)</f>
        <v>11</v>
      </c>
      <c r="C25" s="68">
        <v>13</v>
      </c>
      <c r="D25" s="68">
        <v>1</v>
      </c>
      <c r="E25" s="68">
        <v>5</v>
      </c>
      <c r="F25" s="68">
        <v>3</v>
      </c>
      <c r="G25" s="68">
        <v>12</v>
      </c>
      <c r="H25" s="68">
        <v>8</v>
      </c>
      <c r="I25" s="68">
        <v>10</v>
      </c>
      <c r="J25" s="68">
        <v>4</v>
      </c>
      <c r="K25" s="68">
        <v>3</v>
      </c>
      <c r="L25" s="68">
        <v>5</v>
      </c>
      <c r="M25" s="68">
        <v>11</v>
      </c>
    </row>
    <row r="26" spans="1:17" s="8" customFormat="1" ht="11.25" customHeight="1">
      <c r="A26" s="46" t="s">
        <v>40</v>
      </c>
      <c r="B26" s="57">
        <f>COUNTIFS(Jan!$B:$B,2081,Jan!$J:$J,41)</f>
        <v>0</v>
      </c>
      <c r="C26" s="57">
        <f>COUNTIFS(Feb!$B:$B,2081,Feb!$J:$J,41)</f>
        <v>0</v>
      </c>
      <c r="D26" s="57">
        <f>COUNTIFS(Mar!$B:$B,2081,Mar!$J:$J,41)</f>
        <v>0</v>
      </c>
      <c r="E26" s="57">
        <f>COUNTIFS(Apr!$B:$B,2081,Apr!$J:$J,41)</f>
        <v>0</v>
      </c>
      <c r="F26" s="57">
        <f>COUNTIFS(May!$B:$B,2081,May!$J:$J,41)</f>
        <v>0</v>
      </c>
      <c r="G26" s="57">
        <f>COUNTIFS(Jun!$B:$B,2081,Jun!$J:$J,41)</f>
        <v>0</v>
      </c>
      <c r="H26" s="57">
        <f>COUNTIFS(Jul!$B:$B,2081,Jul!$J:$J,41)</f>
        <v>0</v>
      </c>
      <c r="I26" s="57">
        <f>COUNTIFS(Aug!$B:$B,2081,Aug!$J:$J,41)</f>
        <v>0</v>
      </c>
      <c r="J26" s="57">
        <f>COUNTIFS(Sep!$B:$B,2081,Sep!$J:$J,41)</f>
        <v>0</v>
      </c>
      <c r="K26" s="57">
        <f>COUNTIFS(Oct!$B:$B,2081,Oct!$J:$J,41)</f>
        <v>0</v>
      </c>
      <c r="L26" s="57">
        <f>COUNTIFS(Nov!$B:$B,2081,Nov!$J:$J,41)</f>
        <v>0</v>
      </c>
      <c r="M26" s="57">
        <v>0</v>
      </c>
    </row>
    <row r="27" spans="1:17" s="8" customFormat="1" ht="11.25" customHeight="1">
      <c r="A27" s="9" t="s">
        <v>11</v>
      </c>
      <c r="B27" s="179">
        <f>COUNTIFS(Jan!$B:$B,2081,Jan!$J:$J,17)</f>
        <v>28</v>
      </c>
      <c r="C27" s="206">
        <v>15</v>
      </c>
      <c r="D27" s="206">
        <v>18</v>
      </c>
      <c r="E27" s="206">
        <v>12</v>
      </c>
      <c r="F27" s="206">
        <v>16</v>
      </c>
      <c r="G27" s="206">
        <v>25</v>
      </c>
      <c r="H27" s="206">
        <v>31</v>
      </c>
      <c r="I27" s="206">
        <v>30</v>
      </c>
      <c r="J27" s="206">
        <v>22</v>
      </c>
      <c r="K27" s="206">
        <v>9</v>
      </c>
      <c r="L27" s="206">
        <v>47</v>
      </c>
      <c r="M27" s="206">
        <v>47</v>
      </c>
    </row>
    <row r="28" spans="1:17" s="8" customFormat="1" ht="11.25" customHeight="1">
      <c r="A28" s="9" t="s">
        <v>143</v>
      </c>
      <c r="B28" s="59">
        <f>COUNTIFS(Jan!$B:$B,2081,Jan!$F:$F,455)</f>
        <v>0</v>
      </c>
      <c r="C28" s="59">
        <f>COUNTIFS(Feb!$B:$B,2081,Feb!$F:$F,455)</f>
        <v>0</v>
      </c>
      <c r="D28" s="59">
        <f>COUNTIFS(Mar!$B:$B,2081,Mar!$F:$F,455)</f>
        <v>0</v>
      </c>
      <c r="E28" s="59">
        <f>COUNTIFS(Apr!$B:$B,2081,Apr!$F:$F,455)</f>
        <v>0</v>
      </c>
      <c r="F28" s="59">
        <f>COUNTIFS(May!$B:$B,2081,May!$F:$F,455)</f>
        <v>0</v>
      </c>
      <c r="G28" s="59">
        <f>COUNTIFS(Jun!$B:$B,2081,Jun!$F:$F,455)</f>
        <v>0</v>
      </c>
      <c r="H28" s="59">
        <f>COUNTIFS(Jul!$B:$B,2081,Jul!$F:$F,455)</f>
        <v>0</v>
      </c>
      <c r="I28" s="59">
        <f>COUNTIFS(Aug!$B:$B,2081,Aug!$F:$F,455)</f>
        <v>0</v>
      </c>
      <c r="J28" s="59">
        <f>COUNTIFS(Sep!$B:$B,2081,Sep!$F:$F,455)</f>
        <v>0</v>
      </c>
      <c r="K28" s="59">
        <f>COUNTIFS(Oct!$B:$B,2081,Oct!$F:$F,455)</f>
        <v>0</v>
      </c>
      <c r="L28" s="59">
        <f>COUNTIFS(Nov!$B:$B,2081,Nov!$F:$F,455)</f>
        <v>0</v>
      </c>
      <c r="M28" s="59">
        <v>0</v>
      </c>
    </row>
    <row r="29" spans="1:17" s="8" customFormat="1" ht="11.25" customHeight="1">
      <c r="A29" s="9" t="s">
        <v>23</v>
      </c>
      <c r="B29" s="59">
        <f>COUNTIFS(Jan!$B:$B,2081,Jan!$J:$J,31)</f>
        <v>0</v>
      </c>
      <c r="C29" s="59">
        <f>COUNTIFS(Feb!$B:$B,2081,Feb!$J:$J,31)</f>
        <v>0</v>
      </c>
      <c r="D29" s="59">
        <f>COUNTIFS(Mar!$B:$B,2081,Mar!$J:$J,31)</f>
        <v>0</v>
      </c>
      <c r="E29" s="59">
        <f>COUNTIFS(Apr!$B:$B,2081,Apr!$J:$J,31)</f>
        <v>0</v>
      </c>
      <c r="F29" s="59">
        <f>COUNTIFS(May!$B:$B,2081,May!$J:$J,31)</f>
        <v>0</v>
      </c>
      <c r="G29" s="59">
        <f>COUNTIFS(Jun!$B:$B,2081,Jun!$J:$J,31)</f>
        <v>0</v>
      </c>
      <c r="H29" s="59">
        <f>COUNTIFS(Jul!$B:$B,2081,Jul!$J:$J,31)</f>
        <v>0</v>
      </c>
      <c r="I29" s="59">
        <f>COUNTIFS(Aug!$B:$B,2081,Aug!$J:$J,31)</f>
        <v>0</v>
      </c>
      <c r="J29" s="59">
        <f>COUNTIFS(Sep!$B:$B,2081,Sep!$J:$J,31)</f>
        <v>0</v>
      </c>
      <c r="K29" s="59">
        <f>COUNTIFS(Oct!$B:$B,2081,Oct!$J:$J,31)</f>
        <v>0</v>
      </c>
      <c r="L29" s="59">
        <f>COUNTIFS(Nov!$B:$B,2081,Nov!$J:$J,31)</f>
        <v>0</v>
      </c>
      <c r="M29" s="59">
        <v>0</v>
      </c>
    </row>
    <row r="30" spans="1:17" s="8" customFormat="1" ht="11.25" customHeight="1">
      <c r="A30" s="9" t="s">
        <v>37</v>
      </c>
      <c r="B30" s="59">
        <f>COUNTIFS(Jan!$B:$B,2081,Jan!$J:$J,4400)</f>
        <v>0</v>
      </c>
      <c r="C30" s="59">
        <f>COUNTIFS(Feb!$B:$B,2081,Feb!$J:$J,4400)</f>
        <v>0</v>
      </c>
      <c r="D30" s="59">
        <f>COUNTIFS(Mar!$B:$B,2081,Mar!$J:$J,4400)</f>
        <v>0</v>
      </c>
      <c r="E30" s="59">
        <f>COUNTIFS(Apr!$B:$B,2081,Apr!$J:$J,4400)</f>
        <v>0</v>
      </c>
      <c r="F30" s="59">
        <f>COUNTIFS(May!$B:$B,2081,May!$J:$J,4400)</f>
        <v>0</v>
      </c>
      <c r="G30" s="59">
        <v>1</v>
      </c>
      <c r="H30" s="59">
        <f>COUNTIFS(Jul!$B:$B,2081,Jul!$J:$J,4400)</f>
        <v>0</v>
      </c>
      <c r="I30" s="59">
        <f>COUNTIFS(Aug!$B:$B,2081,Aug!$J:$J,4400)</f>
        <v>0</v>
      </c>
      <c r="J30" s="59">
        <f>COUNTIFS(Sep!$B:$B,2081,Sep!$J:$J,4400)</f>
        <v>0</v>
      </c>
      <c r="K30" s="59">
        <f>COUNTIFS(Oct!$B:$B,2081,Oct!$J:$J,4400)</f>
        <v>0</v>
      </c>
      <c r="L30" s="59">
        <f>COUNTIFS(Nov!$B:$B,2081,Nov!$J:$J,4400)</f>
        <v>0</v>
      </c>
      <c r="M30" s="59">
        <v>0</v>
      </c>
    </row>
    <row r="31" spans="1:17" s="8" customFormat="1" ht="11.25" customHeight="1">
      <c r="A31" s="10" t="s">
        <v>24</v>
      </c>
      <c r="B31" s="59">
        <f>COUNTIFS(Jan!$B:$B,2081,Jan!$J:$J,30)</f>
        <v>0</v>
      </c>
      <c r="C31" s="59">
        <f>COUNTIFS(Feb!$B:$B,2081,Feb!$J:$J,30)</f>
        <v>0</v>
      </c>
      <c r="D31" s="59">
        <f>COUNTIFS(Mar!$B:$B,2081,Mar!$J:$J,30)</f>
        <v>0</v>
      </c>
      <c r="E31" s="59">
        <f>COUNTIFS(Apr!$B:$B,2081,Apr!$J:$J,30)</f>
        <v>0</v>
      </c>
      <c r="F31" s="59">
        <f>COUNTIFS(May!$B:$B,2081,May!$J:$J,30)</f>
        <v>0</v>
      </c>
      <c r="G31" s="59">
        <f>COUNTIFS(Jun!$B:$B,2081,Jun!$J:$J,30)</f>
        <v>0</v>
      </c>
      <c r="H31" s="59">
        <f>COUNTIFS(Jul!$B:$B,2081,Jul!$J:$J,30)</f>
        <v>0</v>
      </c>
      <c r="I31" s="59">
        <f>COUNTIFS(Aug!$B:$B,2081,Aug!$J:$J,30)</f>
        <v>0</v>
      </c>
      <c r="J31" s="59">
        <f>COUNTIFS(Sep!$B:$B,2081,Sep!$J:$J,30)</f>
        <v>0</v>
      </c>
      <c r="K31" s="59">
        <f>COUNTIFS(Oct!$B:$B,2081,Oct!$J:$J,30)</f>
        <v>0</v>
      </c>
      <c r="L31" s="59">
        <f>COUNTIFS(Nov!$B:$B,2081,Nov!$J:$J,30)</f>
        <v>0</v>
      </c>
      <c r="M31" s="59">
        <v>0</v>
      </c>
    </row>
    <row r="32" spans="1:17" s="14" customFormat="1" ht="11.25" customHeight="1" thickBot="1">
      <c r="A32" s="2" t="s">
        <v>140</v>
      </c>
      <c r="B32" s="60">
        <f>SUM(B25:B31)</f>
        <v>39</v>
      </c>
      <c r="C32" s="60">
        <f t="shared" ref="C32:M32" si="10">SUM(C25:C31)</f>
        <v>28</v>
      </c>
      <c r="D32" s="60">
        <f>SUM(D25:D31)</f>
        <v>19</v>
      </c>
      <c r="E32" s="60">
        <f>SUM(E25:E31)</f>
        <v>17</v>
      </c>
      <c r="F32" s="60">
        <f>SUM(F25:F31)</f>
        <v>19</v>
      </c>
      <c r="G32" s="60">
        <f>SUM(G25:G31)</f>
        <v>38</v>
      </c>
      <c r="H32" s="60">
        <f t="shared" si="10"/>
        <v>39</v>
      </c>
      <c r="I32" s="60">
        <f t="shared" si="10"/>
        <v>40</v>
      </c>
      <c r="J32" s="60">
        <f t="shared" si="10"/>
        <v>26</v>
      </c>
      <c r="K32" s="60">
        <f t="shared" si="10"/>
        <v>12</v>
      </c>
      <c r="L32" s="159">
        <f t="shared" si="10"/>
        <v>52</v>
      </c>
      <c r="M32" s="170">
        <f t="shared" si="10"/>
        <v>58</v>
      </c>
    </row>
    <row r="33" spans="1:13" ht="12" customHeight="1" thickBot="1">
      <c r="A33" s="55" t="s">
        <v>136</v>
      </c>
      <c r="B33" s="50">
        <v>41275</v>
      </c>
      <c r="C33" s="47">
        <v>41306</v>
      </c>
      <c r="D33" s="47">
        <v>41334</v>
      </c>
      <c r="E33" s="47">
        <v>41365</v>
      </c>
      <c r="F33" s="47">
        <v>41395</v>
      </c>
      <c r="G33" s="47">
        <v>41426</v>
      </c>
      <c r="H33" s="47">
        <v>41456</v>
      </c>
      <c r="I33" s="47">
        <v>41487</v>
      </c>
      <c r="J33" s="47">
        <v>41518</v>
      </c>
      <c r="K33" s="47">
        <v>41548</v>
      </c>
      <c r="L33" s="47">
        <v>41579</v>
      </c>
      <c r="M33" s="51">
        <v>41609</v>
      </c>
    </row>
    <row r="34" spans="1:13" s="8" customFormat="1" ht="11.25" customHeight="1">
      <c r="A34" s="46" t="s">
        <v>33</v>
      </c>
      <c r="B34" s="57">
        <f>COUNTIFS(Jan!$B:$B,2081,Jan!$J:$J,40)</f>
        <v>0</v>
      </c>
      <c r="C34" s="57">
        <f>COUNTIFS(Feb!$B:$B,2081,Feb!$J:$J,40)</f>
        <v>0</v>
      </c>
      <c r="D34" s="57">
        <f>COUNTIFS(Mar!$B:$B,2081,Mar!$J:$J,40)</f>
        <v>0</v>
      </c>
      <c r="E34" s="57">
        <f>COUNTIFS(Apr!$B:$B,2081,Apr!$J:$J,40)</f>
        <v>0</v>
      </c>
      <c r="F34" s="57">
        <f>COUNTIFS(May!$B:$B,2081,May!$J:$J,40)</f>
        <v>0</v>
      </c>
      <c r="G34" s="57">
        <f>COUNTIFS(Jun!$B:$B,2081,Jun!$J:$J,40)</f>
        <v>0</v>
      </c>
      <c r="H34" s="57">
        <f>COUNTIFS(Jul!$B:$B,2081,Jul!$J:$J,40)</f>
        <v>0</v>
      </c>
      <c r="I34" s="57">
        <v>1</v>
      </c>
      <c r="J34" s="57">
        <v>1</v>
      </c>
      <c r="K34" s="57">
        <f>COUNTIFS(Oct!$B:$B,2081,Oct!$J:$J,40)</f>
        <v>0</v>
      </c>
      <c r="L34" s="57">
        <v>1</v>
      </c>
      <c r="M34" s="57">
        <v>0</v>
      </c>
    </row>
    <row r="35" spans="1:13" s="8" customFormat="1" ht="11.25" customHeight="1">
      <c r="A35" s="10" t="s">
        <v>4</v>
      </c>
      <c r="B35" s="59">
        <f>COUNTIFS(Jan!$B:$B,2081,Jan!$J:$J,15)</f>
        <v>0</v>
      </c>
      <c r="C35" s="59">
        <v>1</v>
      </c>
      <c r="D35" s="59">
        <f>COUNTIFS(Mar!$B:$B,2081,Mar!$J:$J,15)</f>
        <v>0</v>
      </c>
      <c r="E35" s="59">
        <v>1</v>
      </c>
      <c r="F35" s="59">
        <v>1</v>
      </c>
      <c r="G35" s="59">
        <f>COUNTIFS(Jun!$B:$B,2081,Jun!$J:$J,15)</f>
        <v>0</v>
      </c>
      <c r="H35" s="59">
        <f>COUNTIFS(Jul!$B:$B,2081,Jul!$J:$J,15)</f>
        <v>0</v>
      </c>
      <c r="I35" s="59">
        <v>2</v>
      </c>
      <c r="J35" s="59">
        <v>4</v>
      </c>
      <c r="K35" s="59">
        <v>1</v>
      </c>
      <c r="L35" s="59">
        <f>COUNTIFS(Nov!$B:$B,2081,Nov!$J:$J,15)</f>
        <v>0</v>
      </c>
      <c r="M35" s="59">
        <v>1</v>
      </c>
    </row>
    <row r="36" spans="1:13" s="8" customFormat="1" ht="11.25" customHeight="1">
      <c r="A36" s="10" t="s">
        <v>39</v>
      </c>
      <c r="B36" s="59">
        <f>COUNTIFS(Jan!$B:$B,2081,Jan!$J:$J,29)</f>
        <v>12</v>
      </c>
      <c r="C36" s="59">
        <v>10</v>
      </c>
      <c r="D36" s="59">
        <v>13</v>
      </c>
      <c r="E36" s="59">
        <v>14</v>
      </c>
      <c r="F36" s="59">
        <v>23</v>
      </c>
      <c r="G36" s="59">
        <v>22</v>
      </c>
      <c r="H36" s="59">
        <v>14</v>
      </c>
      <c r="I36" s="59">
        <v>16</v>
      </c>
      <c r="J36" s="59">
        <v>17</v>
      </c>
      <c r="K36" s="59">
        <v>11</v>
      </c>
      <c r="L36" s="59">
        <v>3</v>
      </c>
      <c r="M36" s="59">
        <v>9</v>
      </c>
    </row>
    <row r="37" spans="1:13" s="8" customFormat="1" ht="11.25" customHeight="1">
      <c r="A37" s="10" t="s">
        <v>3</v>
      </c>
      <c r="B37" s="59">
        <f>COUNTIFS(Jan!$B:$B,2081,Jan!$J:$J,13)</f>
        <v>1</v>
      </c>
      <c r="C37" s="59">
        <f>COUNTIFS(Feb!$B:$B,2081,Feb!$J:$J,13)</f>
        <v>0</v>
      </c>
      <c r="D37" s="59">
        <v>2</v>
      </c>
      <c r="E37" s="59">
        <v>4</v>
      </c>
      <c r="F37" s="59">
        <v>5</v>
      </c>
      <c r="G37" s="59">
        <f>COUNTIFS(Jun!$B:$B,2081,Jun!$J:$J,13)</f>
        <v>0</v>
      </c>
      <c r="H37" s="59">
        <v>5</v>
      </c>
      <c r="I37" s="59">
        <v>3</v>
      </c>
      <c r="J37" s="59">
        <v>8</v>
      </c>
      <c r="K37" s="59">
        <v>1</v>
      </c>
      <c r="L37" s="59">
        <v>1</v>
      </c>
      <c r="M37" s="59">
        <v>2</v>
      </c>
    </row>
    <row r="38" spans="1:13" s="8" customFormat="1" ht="11.25" customHeight="1">
      <c r="A38" s="9" t="s">
        <v>218</v>
      </c>
      <c r="B38" s="59">
        <f>COUNTIFS(Jan!$B:$B,2081,Jan!$J:$J,43)</f>
        <v>10</v>
      </c>
      <c r="C38" s="59">
        <v>8</v>
      </c>
      <c r="D38" s="59">
        <v>6</v>
      </c>
      <c r="E38" s="59">
        <v>6</v>
      </c>
      <c r="F38" s="59">
        <v>10</v>
      </c>
      <c r="G38" s="59">
        <v>19</v>
      </c>
      <c r="H38" s="59">
        <v>15</v>
      </c>
      <c r="I38" s="59">
        <v>21</v>
      </c>
      <c r="J38" s="59">
        <v>15</v>
      </c>
      <c r="K38" s="59">
        <v>3</v>
      </c>
      <c r="L38" s="59">
        <v>4</v>
      </c>
      <c r="M38" s="59">
        <v>8</v>
      </c>
    </row>
    <row r="39" spans="1:13" s="8" customFormat="1" ht="11.25" customHeight="1">
      <c r="A39" s="10" t="s">
        <v>25</v>
      </c>
      <c r="B39" s="59">
        <f>COUNTIFS(Jan!$B:$B,2081,Jan!$J:$J,24)</f>
        <v>16</v>
      </c>
      <c r="C39" s="59">
        <v>16</v>
      </c>
      <c r="D39" s="59">
        <v>12</v>
      </c>
      <c r="E39" s="59">
        <v>28</v>
      </c>
      <c r="F39" s="59">
        <v>29</v>
      </c>
      <c r="G39" s="59">
        <v>24</v>
      </c>
      <c r="H39" s="59">
        <v>29</v>
      </c>
      <c r="I39" s="59">
        <v>35</v>
      </c>
      <c r="J39" s="59">
        <v>13</v>
      </c>
      <c r="K39" s="59">
        <v>15</v>
      </c>
      <c r="L39" s="59">
        <v>12</v>
      </c>
      <c r="M39" s="59">
        <v>14</v>
      </c>
    </row>
    <row r="40" spans="1:13" s="8" customFormat="1" ht="11.25" customHeight="1">
      <c r="A40" s="10" t="s">
        <v>34</v>
      </c>
      <c r="B40" s="59">
        <f>COUNTIFS(Jan!$B:$B,2081,Jan!$J:$J,9)</f>
        <v>0</v>
      </c>
      <c r="C40" s="59">
        <f>COUNTIFS(Feb!$B:$B,2081,Feb!$J:$J,9)</f>
        <v>0</v>
      </c>
      <c r="D40" s="59">
        <f>COUNTIFS(Mar!$B:$B,2081,Mar!$J:$J,9)</f>
        <v>0</v>
      </c>
      <c r="E40" s="59">
        <f>COUNTIFS(Apr!$B:$B,2081,Apr!$J:$J,9)</f>
        <v>0</v>
      </c>
      <c r="F40" s="59">
        <f>COUNTIFS(May!$B:$B,2081,May!$J:$J,9)</f>
        <v>0</v>
      </c>
      <c r="G40" s="59">
        <f>COUNTIFS(Jun!$B:$B,2081,Jun!$J:$J,9)</f>
        <v>0</v>
      </c>
      <c r="H40" s="59">
        <f>COUNTIFS(Jul!$B:$B,2081,Jul!$J:$J,9)</f>
        <v>0</v>
      </c>
      <c r="I40" s="59">
        <f>COUNTIFS(Aug!$B:$B,2081,Aug!$J:$J,9)</f>
        <v>0</v>
      </c>
      <c r="J40" s="59">
        <f>COUNTIFS(Sep!$B:$B,2081,Sep!$J:$J,9)</f>
        <v>0</v>
      </c>
      <c r="K40" s="59">
        <f>COUNTIFS(Oct!$B:$B,2081,Oct!$J:$J,9)</f>
        <v>0</v>
      </c>
      <c r="L40" s="59">
        <v>2</v>
      </c>
      <c r="M40" s="59">
        <v>0</v>
      </c>
    </row>
    <row r="41" spans="1:13" s="8" customFormat="1" ht="11.25" customHeight="1">
      <c r="A41" s="10" t="s">
        <v>31</v>
      </c>
      <c r="B41" s="59">
        <f>COUNTIFS(Jan!$B:$B,2081,Jan!$J:$J,10)</f>
        <v>3</v>
      </c>
      <c r="C41" s="59">
        <f>COUNTIFS(Feb!$B:$B,2081,Feb!$J:$J,10)</f>
        <v>0</v>
      </c>
      <c r="D41" s="59">
        <v>12</v>
      </c>
      <c r="E41" s="59">
        <v>4</v>
      </c>
      <c r="F41" s="59">
        <v>17</v>
      </c>
      <c r="G41" s="59">
        <v>14</v>
      </c>
      <c r="H41" s="59">
        <v>18</v>
      </c>
      <c r="I41" s="59">
        <v>25</v>
      </c>
      <c r="J41" s="59">
        <v>17</v>
      </c>
      <c r="K41" s="59">
        <v>9</v>
      </c>
      <c r="L41" s="59">
        <v>20</v>
      </c>
      <c r="M41" s="59">
        <v>22</v>
      </c>
    </row>
    <row r="42" spans="1:13" s="8" customFormat="1" ht="11.25" customHeight="1">
      <c r="A42" s="10" t="s">
        <v>144</v>
      </c>
      <c r="B42" s="59">
        <f>COUNTIFS(Jan!$B:$B,2081,Jan!$F:$F,462)</f>
        <v>0</v>
      </c>
      <c r="C42" s="59">
        <v>1</v>
      </c>
      <c r="D42" s="59">
        <f>COUNTIFS(Mar!$B:$B,2081,Mar!$F:$F,462)</f>
        <v>0</v>
      </c>
      <c r="E42" s="59">
        <f>COUNTIFS(Apr!$B:$B,2081,Apr!$F:$F,462)</f>
        <v>0</v>
      </c>
      <c r="F42" s="59">
        <v>1</v>
      </c>
      <c r="G42" s="59">
        <f>COUNTIFS(Jun!$B:$B,2081,Jun!$F:$F,462)</f>
        <v>0</v>
      </c>
      <c r="H42" s="59">
        <f>COUNTIFS(Jul!$B:$B,2081,Jul!$F:$F,462)</f>
        <v>0</v>
      </c>
      <c r="I42" s="59">
        <f>COUNTIFS(Aug!$B:$B,2081,Aug!$F:$F,462)</f>
        <v>0</v>
      </c>
      <c r="J42" s="59">
        <f>COUNTIFS(Sep!$B:$B,2081,Sep!$F:$F,462)</f>
        <v>0</v>
      </c>
      <c r="K42" s="59">
        <f>COUNTIFS(Oct!$B:$B,2081,Oct!$F:$F,462)</f>
        <v>0</v>
      </c>
      <c r="L42" s="59">
        <f>COUNTIFS(Nov!$B:$B,2081,Nov!$F:$F,462)</f>
        <v>0</v>
      </c>
      <c r="M42" s="59">
        <v>0</v>
      </c>
    </row>
    <row r="43" spans="1:13" s="8" customFormat="1" ht="11.25" customHeight="1">
      <c r="A43" s="10" t="s">
        <v>1</v>
      </c>
      <c r="B43" s="59">
        <f>COUNTIFS(Jan!$B:$B,2081,Jan!$J:$J,11)</f>
        <v>1</v>
      </c>
      <c r="C43" s="59">
        <f>COUNTIFS(Feb!$B:$B,2081,Feb!$J:$J,11)</f>
        <v>0</v>
      </c>
      <c r="D43" s="59">
        <v>1</v>
      </c>
      <c r="E43" s="59">
        <v>5</v>
      </c>
      <c r="F43" s="59">
        <v>8</v>
      </c>
      <c r="G43" s="59">
        <v>7</v>
      </c>
      <c r="H43" s="59">
        <v>8</v>
      </c>
      <c r="I43" s="59">
        <v>12</v>
      </c>
      <c r="J43" s="59">
        <v>12</v>
      </c>
      <c r="K43" s="59">
        <v>2</v>
      </c>
      <c r="L43" s="59">
        <v>1</v>
      </c>
      <c r="M43" s="59">
        <v>0</v>
      </c>
    </row>
    <row r="44" spans="1:13" s="8" customFormat="1" ht="11.25" customHeight="1">
      <c r="A44" s="10" t="s">
        <v>26</v>
      </c>
      <c r="B44" s="59">
        <f>COUNTIFS(Jan!$B:$B,2081,Jan!$J:$J,20)</f>
        <v>0</v>
      </c>
      <c r="C44" s="59">
        <f>COUNTIFS(Feb!$B:$B,2081,Feb!$J:$J,20)</f>
        <v>0</v>
      </c>
      <c r="D44" s="59">
        <f>COUNTIFS(Mar!$B:$B,2081,Mar!$J:$J,20)</f>
        <v>0</v>
      </c>
      <c r="E44" s="59">
        <f>COUNTIFS(Apr!$B:$B,2081,Apr!$J:$J,20)</f>
        <v>0</v>
      </c>
      <c r="F44" s="59">
        <v>0</v>
      </c>
      <c r="G44" s="59">
        <f>COUNTIFS(Jun!$B:$B,2081,Jun!$J:$J,20)</f>
        <v>0</v>
      </c>
      <c r="H44" s="59">
        <f>COUNTIFS(Jul!$B:$B,2081,Jul!$J:$J,20)</f>
        <v>0</v>
      </c>
      <c r="I44" s="59">
        <f>COUNTIFS(Aug!$B:$B,2081,Aug!$J:$J,20)</f>
        <v>0</v>
      </c>
      <c r="J44" s="59">
        <f>COUNTIFS(Sep!$B:$B,2081,Sep!$J:$J,20)</f>
        <v>0</v>
      </c>
      <c r="K44" s="59">
        <f>COUNTIFS(Oct!$B:$B,2081,Oct!$J:$J,20)</f>
        <v>0</v>
      </c>
      <c r="L44" s="59">
        <f>COUNTIFS(Nov!$B:$B,2081,Nov!$J:$J,20)</f>
        <v>0</v>
      </c>
      <c r="M44" s="59">
        <v>0</v>
      </c>
    </row>
    <row r="45" spans="1:13" s="8" customFormat="1" ht="11.25" customHeight="1">
      <c r="A45" s="10" t="s">
        <v>32</v>
      </c>
      <c r="B45" s="59">
        <f>COUNTIFS(Jan!$B:$B,2081,Jan!$J:$J,2)</f>
        <v>25</v>
      </c>
      <c r="C45" s="59">
        <v>12</v>
      </c>
      <c r="D45" s="59">
        <v>18</v>
      </c>
      <c r="E45" s="59">
        <v>19</v>
      </c>
      <c r="F45" s="59">
        <v>19</v>
      </c>
      <c r="G45" s="59">
        <v>20</v>
      </c>
      <c r="H45" s="59">
        <v>38</v>
      </c>
      <c r="I45" s="59">
        <v>40</v>
      </c>
      <c r="J45" s="59">
        <v>34</v>
      </c>
      <c r="K45" s="59">
        <v>21</v>
      </c>
      <c r="L45" s="59">
        <v>14</v>
      </c>
      <c r="M45" s="59">
        <v>10</v>
      </c>
    </row>
    <row r="46" spans="1:13" s="8" customFormat="1" ht="11.25" customHeight="1">
      <c r="A46" s="10" t="s">
        <v>28</v>
      </c>
      <c r="B46" s="59">
        <f>COUNTIFS(Jan!$B:$B,2081,Jan!$J:$J,1700)+COUNTIFS(Jan!$B:$B,2081,Jan!$F:$F,1700)+COUNTIFS(Jan!$B:$B,2081,Jan!$J:$J,19)</f>
        <v>0</v>
      </c>
      <c r="C46" s="59">
        <f>COUNTIFS(Feb!$B:$B,2081,Feb!$J:$J,1700)+COUNTIFS(Feb!$B:$B,2081,Feb!$F:$F,1700)+COUNTIFS(Feb!$B:$B,2081,Feb!$J:$J,19)</f>
        <v>0</v>
      </c>
      <c r="D46" s="59">
        <f>COUNTIFS(Mar!$B:$B,2081,Mar!$J:$J,1700)+COUNTIFS(Mar!$B:$B,2081,Mar!$F:$F,1700)+COUNTIFS(Mar!$B:$B,2081,Mar!$J:$J,19)</f>
        <v>0</v>
      </c>
      <c r="E46" s="59">
        <f>COUNTIFS(Apr!$B:$B,2081,Apr!$J:$J,1700)+COUNTIFS(Apr!$B:$B,2081,Apr!$F:$F,1700)+COUNTIFS(Apr!$B:$B,2081,Apr!$J:$J,19)</f>
        <v>0</v>
      </c>
      <c r="F46" s="59">
        <f>COUNTIFS(May!$B:$B,2081,May!$J:$J,1700)+COUNTIFS(May!$B:$B,2081,May!$F:$F,1700)+COUNTIFS(May!$B:$B,2081,May!$J:$J,19)</f>
        <v>0</v>
      </c>
      <c r="G46" s="59">
        <f>COUNTIFS(Jun!$B:$B,2081,Jun!$J:$J,1700)+COUNTIFS(Jun!$B:$B,2081,Jun!$F:$F,1700)+COUNTIFS(Jun!$B:$B,2081,Jun!$J:$J,19)</f>
        <v>0</v>
      </c>
      <c r="H46" s="59">
        <f>COUNTIFS(Jul!$B:$B,2081,Jul!$J:$J,1700)+COUNTIFS(Jul!$B:$B,2081,Jul!$F:$F,1700)+COUNTIFS(Jul!$B:$B,2081,Jul!$J:$J,19)</f>
        <v>0</v>
      </c>
      <c r="I46" s="59">
        <v>2</v>
      </c>
      <c r="J46" s="59">
        <f>COUNTIFS(Sep!$B:$B,2081,Sep!$J:$J,1700)+COUNTIFS(Sep!$B:$B,2081,Sep!$F:$F,1700)+COUNTIFS(Sep!$B:$B,2081,Sep!$J:$J,19)</f>
        <v>0</v>
      </c>
      <c r="K46" s="59">
        <f>COUNTIFS(Oct!$B:$B,2081,Oct!$J:$J,1700)+COUNTIFS(Oct!$B:$B,2081,Oct!$F:$F,1700)+COUNTIFS(Oct!$B:$B,2081,Oct!$J:$J,19)</f>
        <v>0</v>
      </c>
      <c r="L46" s="59">
        <f>COUNTIFS(Nov!$B:$B,2081,Nov!$J:$J,1700)+COUNTIFS(Nov!$B:$B,2081,Nov!$F:$F,1700)+COUNTIFS(Nov!$B:$B,2081,Nov!$J:$J,19)</f>
        <v>0</v>
      </c>
      <c r="M46" s="59">
        <v>2</v>
      </c>
    </row>
    <row r="47" spans="1:13" s="8" customFormat="1" ht="11.25" customHeight="1">
      <c r="A47" s="10" t="s">
        <v>0</v>
      </c>
      <c r="B47" s="59">
        <f>COUNTIFS(Jan!$B:$B,2081,Jan!$J:$J,3)</f>
        <v>7</v>
      </c>
      <c r="C47" s="59">
        <v>7</v>
      </c>
      <c r="D47" s="59">
        <v>7</v>
      </c>
      <c r="E47" s="59">
        <v>6</v>
      </c>
      <c r="F47" s="59">
        <v>5</v>
      </c>
      <c r="G47" s="59">
        <v>3</v>
      </c>
      <c r="H47" s="59">
        <v>12</v>
      </c>
      <c r="I47" s="59">
        <v>7</v>
      </c>
      <c r="J47" s="59">
        <v>9</v>
      </c>
      <c r="K47" s="59">
        <v>5</v>
      </c>
      <c r="L47" s="59">
        <v>4</v>
      </c>
      <c r="M47" s="59">
        <v>2</v>
      </c>
    </row>
    <row r="48" spans="1:13" s="8" customFormat="1" ht="11.25" customHeight="1">
      <c r="A48" s="10" t="s">
        <v>35</v>
      </c>
      <c r="B48" s="59">
        <f>COUNTIFS(Jan!$B:$B,2081,Jan!$J:$J,7400)</f>
        <v>0</v>
      </c>
      <c r="C48" s="59">
        <f>COUNTIFS(Feb!$B:$B,2081,Feb!$J:$J,7400)</f>
        <v>0</v>
      </c>
      <c r="D48" s="59">
        <f>COUNTIFS(Mar!$B:$B,2081,Mar!$J:$J,7400)</f>
        <v>0</v>
      </c>
      <c r="E48" s="59">
        <f>COUNTIFS(Apr!$B:$B,2081,Apr!$J:$J,7400)</f>
        <v>0</v>
      </c>
      <c r="F48" s="59">
        <f>COUNTIFS(May!$B:$B,2081,May!$J:$J,7400)</f>
        <v>0</v>
      </c>
      <c r="G48" s="59">
        <f>COUNTIFS(Jun!$B:$B,2081,Jun!$J:$J,7400)</f>
        <v>0</v>
      </c>
      <c r="H48" s="59">
        <f>COUNTIFS(Jul!$B:$B,2081,Jul!$J:$J,7400)</f>
        <v>0</v>
      </c>
      <c r="I48" s="59">
        <f>COUNTIFS(Aug!$B:$B,2081,Aug!$J:$J,7400)</f>
        <v>0</v>
      </c>
      <c r="J48" s="59">
        <f>COUNTIFS(Sep!$B:$B,2081,Sep!$J:$J,7400)</f>
        <v>0</v>
      </c>
      <c r="K48" s="59">
        <f>COUNTIFS(Oct!$B:$B,2081,Oct!$J:$J,7400)</f>
        <v>0</v>
      </c>
      <c r="L48" s="59">
        <f>COUNTIFS(Nov!$B:$B,2081,Nov!$J:$J,7400)</f>
        <v>0</v>
      </c>
      <c r="M48" s="59">
        <v>0</v>
      </c>
    </row>
    <row r="49" spans="1:13" s="8" customFormat="1" ht="11.25" customHeight="1">
      <c r="A49" s="10" t="s">
        <v>2</v>
      </c>
      <c r="B49" s="59">
        <f>COUNTIFS(Jan!$B:$B,2081,Jan!$J:$J,14)</f>
        <v>0</v>
      </c>
      <c r="C49" s="59">
        <v>1</v>
      </c>
      <c r="D49" s="59">
        <v>2</v>
      </c>
      <c r="E49" s="59">
        <v>4</v>
      </c>
      <c r="F49" s="59">
        <v>1</v>
      </c>
      <c r="G49" s="59">
        <v>4</v>
      </c>
      <c r="H49" s="59">
        <v>6</v>
      </c>
      <c r="I49" s="59">
        <v>1</v>
      </c>
      <c r="J49" s="59">
        <v>1</v>
      </c>
      <c r="K49" s="59">
        <f>COUNTIFS(Oct!$B:$B,2081,Oct!$J:$J,14)</f>
        <v>0</v>
      </c>
      <c r="L49" s="59">
        <f>COUNTIFS(Nov!$B:$B,2081,Nov!$J:$J,14)</f>
        <v>0</v>
      </c>
      <c r="M49" s="59">
        <v>0</v>
      </c>
    </row>
    <row r="50" spans="1:13" s="8" customFormat="1" ht="11.25" customHeight="1">
      <c r="A50" s="10" t="s">
        <v>142</v>
      </c>
      <c r="B50" s="59">
        <f>COUNTIFS(Jan!$B:$B,2081,Jan!$F:$F,466)</f>
        <v>0</v>
      </c>
      <c r="C50" s="59">
        <v>1</v>
      </c>
      <c r="D50" s="59">
        <f>COUNTIFS(Mar!$B:$B,2081,Mar!$F:$F,466)</f>
        <v>0</v>
      </c>
      <c r="E50" s="59">
        <f>COUNTIFS(Apr!$B:$B,2081,Apr!$F:$F,466)</f>
        <v>0</v>
      </c>
      <c r="F50" s="59">
        <f>COUNTIFS(May!$B:$B,2081,May!$F:$F,466)</f>
        <v>0</v>
      </c>
      <c r="G50" s="59">
        <f>COUNTIFS(Jun!$B:$B,2081,Jun!$F:$F,466)</f>
        <v>0</v>
      </c>
      <c r="H50" s="59">
        <f>COUNTIFS(Jul!$B:$B,2081,Jul!$F:$F,466)</f>
        <v>0</v>
      </c>
      <c r="I50" s="59">
        <f>COUNTIFS(Aug!$B:$B,2081,Aug!$F:$F,466)</f>
        <v>0</v>
      </c>
      <c r="J50" s="59">
        <f>COUNTIFS(Sep!$B:$B,2081,Sep!$F:$F,466)</f>
        <v>0</v>
      </c>
      <c r="K50" s="59">
        <f>COUNTIFS(Oct!$B:$B,2081,Oct!$F:$F,466)</f>
        <v>0</v>
      </c>
      <c r="L50" s="59">
        <f>COUNTIFS(Nov!$B:$B,2081,Nov!$F:$F,466)</f>
        <v>0</v>
      </c>
      <c r="M50" s="59">
        <v>0</v>
      </c>
    </row>
    <row r="51" spans="1:13" s="8" customFormat="1" ht="11.25" customHeight="1">
      <c r="A51" s="10" t="s">
        <v>27</v>
      </c>
      <c r="B51" s="59">
        <f>COUNTIFS(Jan!$B:$B,2081,Jan!$J:$J,25)</f>
        <v>0</v>
      </c>
      <c r="C51" s="59">
        <f>COUNTIFS(Feb!$B:$B,2081,Feb!$J:$J,25)</f>
        <v>0</v>
      </c>
      <c r="D51" s="59">
        <f>COUNTIFS(Mar!$B:$B,2081,Mar!$J:$J,25)</f>
        <v>0</v>
      </c>
      <c r="E51" s="59">
        <f>COUNTIFS(Apr!$B:$B,2081,Apr!$J:$J,25)</f>
        <v>0</v>
      </c>
      <c r="F51" s="59">
        <f>COUNTIFS(May!$B:$B,2081,May!$J:$J,25)</f>
        <v>0</v>
      </c>
      <c r="G51" s="59">
        <f>COUNTIFS(Jun!$B:$B,2081,Jun!$J:$J,25)</f>
        <v>0</v>
      </c>
      <c r="H51" s="59">
        <v>1</v>
      </c>
      <c r="I51" s="59">
        <f>COUNTIFS(Aug!$B:$B,2081,Aug!$J:$J,25)</f>
        <v>0</v>
      </c>
      <c r="J51" s="59">
        <f>COUNTIFS(Sep!$B:$B,2081,Sep!$J:$J,25)</f>
        <v>0</v>
      </c>
      <c r="K51" s="59">
        <f>COUNTIFS(Oct!$B:$B,2081,Oct!$J:$J,25)</f>
        <v>0</v>
      </c>
      <c r="L51" s="59">
        <f>COUNTIFS(Nov!$B:$B,2081,Nov!$J:$J,25)</f>
        <v>0</v>
      </c>
      <c r="M51" s="59">
        <v>1</v>
      </c>
    </row>
    <row r="52" spans="1:13" s="8" customFormat="1" ht="11.25" customHeight="1" thickBot="1">
      <c r="A52" s="11" t="s">
        <v>16</v>
      </c>
      <c r="B52" s="60">
        <f t="shared" ref="B52:G52" si="11">SUM(B34:B51)</f>
        <v>75</v>
      </c>
      <c r="C52" s="60">
        <f t="shared" si="11"/>
        <v>57</v>
      </c>
      <c r="D52" s="60">
        <f t="shared" si="11"/>
        <v>73</v>
      </c>
      <c r="E52" s="60">
        <f t="shared" si="11"/>
        <v>91</v>
      </c>
      <c r="F52" s="60">
        <f t="shared" si="11"/>
        <v>119</v>
      </c>
      <c r="G52" s="60">
        <f t="shared" si="11"/>
        <v>113</v>
      </c>
      <c r="H52" s="60">
        <f t="shared" ref="H52:M52" si="12">SUM(H34:H51)</f>
        <v>146</v>
      </c>
      <c r="I52" s="60">
        <f t="shared" si="12"/>
        <v>165</v>
      </c>
      <c r="J52" s="60">
        <f t="shared" si="12"/>
        <v>131</v>
      </c>
      <c r="K52" s="60">
        <f t="shared" si="12"/>
        <v>68</v>
      </c>
      <c r="L52" s="159">
        <f t="shared" si="12"/>
        <v>62</v>
      </c>
      <c r="M52" s="170">
        <f t="shared" si="12"/>
        <v>71</v>
      </c>
    </row>
    <row r="53" spans="1:13" ht="12" customHeight="1" thickBot="1">
      <c r="A53" s="55" t="s">
        <v>137</v>
      </c>
      <c r="B53" s="50">
        <v>41275</v>
      </c>
      <c r="C53" s="47">
        <v>41306</v>
      </c>
      <c r="D53" s="47">
        <v>41334</v>
      </c>
      <c r="E53" s="47">
        <v>41365</v>
      </c>
      <c r="F53" s="47">
        <v>41395</v>
      </c>
      <c r="G53" s="47">
        <v>41426</v>
      </c>
      <c r="H53" s="47">
        <v>41456</v>
      </c>
      <c r="I53" s="47">
        <v>41487</v>
      </c>
      <c r="J53" s="47">
        <v>41518</v>
      </c>
      <c r="K53" s="47">
        <v>41548</v>
      </c>
      <c r="L53" s="47">
        <v>41579</v>
      </c>
      <c r="M53" s="51">
        <v>41609</v>
      </c>
    </row>
    <row r="54" spans="1:13" s="8" customFormat="1" ht="11.25" customHeight="1">
      <c r="A54" s="10" t="s">
        <v>30</v>
      </c>
      <c r="B54" s="57">
        <f>COUNTIFS(Jan!$B:$B,2081,Jan!$J:$J,7)</f>
        <v>1</v>
      </c>
      <c r="C54" s="57">
        <v>1</v>
      </c>
      <c r="D54" s="57">
        <v>3</v>
      </c>
      <c r="E54" s="57">
        <v>3</v>
      </c>
      <c r="F54" s="57">
        <f>COUNTIFS(May!$B:$B,2081,May!$J:$J,7)</f>
        <v>0</v>
      </c>
      <c r="G54" s="57">
        <v>2</v>
      </c>
      <c r="H54" s="57">
        <v>7</v>
      </c>
      <c r="I54" s="57">
        <v>2</v>
      </c>
      <c r="J54" s="57">
        <v>3</v>
      </c>
      <c r="K54" s="57">
        <v>6</v>
      </c>
      <c r="L54" s="57">
        <v>8</v>
      </c>
      <c r="M54" s="57">
        <v>7</v>
      </c>
    </row>
    <row r="55" spans="1:13" s="8" customFormat="1" ht="11.25" customHeight="1">
      <c r="A55" s="10" t="s">
        <v>29</v>
      </c>
      <c r="B55" s="59">
        <f>COUNTIFS(Jan!$B:$B,2081,Jan!$J:$J,8)</f>
        <v>0</v>
      </c>
      <c r="C55" s="59">
        <f>COUNTIFS(Feb!$B:$B,2081,Feb!$J:$J,8)</f>
        <v>0</v>
      </c>
      <c r="D55" s="59">
        <f>COUNTIFS(Mar!$B:$B,2081,Mar!$J:$J,8)</f>
        <v>0</v>
      </c>
      <c r="E55" s="59">
        <f>COUNTIFS(Apr!$B:$B,2081,Apr!$J:$J,8)</f>
        <v>0</v>
      </c>
      <c r="F55" s="59">
        <f>COUNTIFS(May!$B:$B,2081,May!$J:$J,8)</f>
        <v>0</v>
      </c>
      <c r="G55" s="59">
        <f>COUNTIFS(Jun!$B:$B,2081,Jun!$J:$J,8)</f>
        <v>0</v>
      </c>
      <c r="H55" s="59">
        <f>COUNTIFS(Jul!$B:$B,2081,Jul!$J:$J,8)</f>
        <v>0</v>
      </c>
      <c r="I55" s="59">
        <f>COUNTIFS(Aug!$B:$B,2081,Aug!$J:$J,8)</f>
        <v>0</v>
      </c>
      <c r="J55" s="59">
        <f>COUNTIFS(Sep!$B:$B,2081,Sep!$J:$J,8)</f>
        <v>0</v>
      </c>
      <c r="K55" s="59">
        <f>COUNTIFS(Oct!$B:$B,2081,Oct!$J:$J,8)</f>
        <v>0</v>
      </c>
      <c r="L55" s="59">
        <f>COUNTIFS(Nov!$B:$B,2081,Nov!$J:$J,8)</f>
        <v>0</v>
      </c>
      <c r="M55" s="59">
        <v>0</v>
      </c>
    </row>
    <row r="56" spans="1:13" s="8" customFormat="1" ht="11.25" customHeight="1">
      <c r="A56" s="10" t="s">
        <v>7</v>
      </c>
      <c r="B56" s="59">
        <f>COUNTIFS(Jan!$B:$B,2081,Jan!$J:$J,12)</f>
        <v>1</v>
      </c>
      <c r="C56" s="59">
        <v>1</v>
      </c>
      <c r="D56" s="59">
        <f>COUNTIFS(Mar!$B:$B,2081,Mar!$J:$J,12)</f>
        <v>0</v>
      </c>
      <c r="E56" s="59">
        <v>1</v>
      </c>
      <c r="F56" s="59">
        <v>3</v>
      </c>
      <c r="G56" s="59">
        <v>4</v>
      </c>
      <c r="H56" s="59">
        <v>1</v>
      </c>
      <c r="I56" s="59">
        <f>COUNTIFS(Aug!$B:$B,2081,Aug!$J:$J,12)</f>
        <v>0</v>
      </c>
      <c r="J56" s="59">
        <v>1</v>
      </c>
      <c r="K56" s="59">
        <v>18</v>
      </c>
      <c r="L56" s="59">
        <v>56</v>
      </c>
      <c r="M56" s="59">
        <v>126</v>
      </c>
    </row>
    <row r="57" spans="1:13" s="8" customFormat="1" ht="11.25" customHeight="1">
      <c r="A57" s="10" t="s">
        <v>10</v>
      </c>
      <c r="B57" s="59">
        <f>COUNTIFS(Jan!$B:$B,2081,Jan!$J:$J,5100)</f>
        <v>0</v>
      </c>
      <c r="C57" s="59">
        <f>COUNTIFS(Feb!$B:$B,2081,Feb!$J:$J,5100)</f>
        <v>0</v>
      </c>
      <c r="D57" s="59">
        <f>COUNTIFS(Mar!$B:$B,2081,Mar!$J:$J,5100)</f>
        <v>0</v>
      </c>
      <c r="E57" s="59">
        <v>1</v>
      </c>
      <c r="F57" s="59">
        <f>COUNTIFS(May!$B:$B,2081,May!$J:$J,5100)</f>
        <v>0</v>
      </c>
      <c r="G57" s="59">
        <v>1</v>
      </c>
      <c r="H57" s="59">
        <f>COUNTIFS(Jul!$B:$B,2081,Jul!$J:$J,5100)</f>
        <v>0</v>
      </c>
      <c r="I57" s="59">
        <f>COUNTIFS(Aug!$B:$B,2081,Aug!$J:$J,5100)</f>
        <v>0</v>
      </c>
      <c r="J57" s="59">
        <f>COUNTIFS(Sep!$B:$B,2081,Sep!$J:$J,5100)</f>
        <v>0</v>
      </c>
      <c r="K57" s="59">
        <f>COUNTIFS(Oct!$B:$B,2081,Oct!$J:$J,5100)</f>
        <v>0</v>
      </c>
      <c r="L57" s="59">
        <f>COUNTIFS(Nov!$B:$B,2081,Nov!$J:$J,5100)</f>
        <v>0</v>
      </c>
      <c r="M57" s="59">
        <v>0</v>
      </c>
    </row>
    <row r="58" spans="1:13" s="8" customFormat="1" ht="11.25" customHeight="1">
      <c r="A58" s="10" t="s">
        <v>36</v>
      </c>
      <c r="B58" s="59">
        <f>COUNTIFS(Jan!$B:$B,2081,Jan!$J:$J,6200)</f>
        <v>0</v>
      </c>
      <c r="C58" s="59">
        <f>COUNTIFS(Feb!$B:$B,2081,Feb!$J:$J,6200)</f>
        <v>0</v>
      </c>
      <c r="D58" s="59">
        <f>COUNTIFS(Mar!$B:$B,2081,Mar!$J:$J,6200)</f>
        <v>0</v>
      </c>
      <c r="E58" s="59">
        <f>COUNTIFS(Apr!$B:$B,2081,Apr!$J:$J,6200)</f>
        <v>0</v>
      </c>
      <c r="F58" s="59">
        <f>COUNTIFS(May!$B:$B,2081,May!$J:$J,6200)</f>
        <v>0</v>
      </c>
      <c r="G58" s="59">
        <f>COUNTIFS(Jun!$B:$B,2081,Jun!$J:$J,6200)</f>
        <v>0</v>
      </c>
      <c r="H58" s="59">
        <f>COUNTIFS(Jul!$B:$B,2081,Jul!$J:$J,6200)</f>
        <v>0</v>
      </c>
      <c r="I58" s="59">
        <f>COUNTIFS(Aug!$B:$B,2081,Aug!$J:$J,6200)</f>
        <v>0</v>
      </c>
      <c r="J58" s="59">
        <f>COUNTIFS(Sep!$B:$B,2081,Sep!$J:$J,6200)</f>
        <v>0</v>
      </c>
      <c r="K58" s="59">
        <f>COUNTIFS(Oct!$B:$B,2081,Oct!$J:$J,6200)</f>
        <v>0</v>
      </c>
      <c r="L58" s="59">
        <v>10</v>
      </c>
      <c r="M58" s="59">
        <v>20</v>
      </c>
    </row>
    <row r="59" spans="1:13" s="8" customFormat="1" ht="11.25" customHeight="1">
      <c r="A59" s="10" t="s">
        <v>145</v>
      </c>
      <c r="B59" s="59">
        <f>COUNTIFS(Jan!$B:$B,2081,Jan!$J:$J,28)</f>
        <v>0</v>
      </c>
      <c r="C59" s="59">
        <f>COUNTIFS(Feb!$B:$B,2081,Feb!$J:$J,28)</f>
        <v>0</v>
      </c>
      <c r="D59" s="59">
        <f>COUNTIFS(Mar!$B:$B,2081,Mar!$J:$J,28)</f>
        <v>0</v>
      </c>
      <c r="E59" s="59">
        <f>COUNTIFS(Apr!$B:$B,2081,Apr!$J:$J,28)</f>
        <v>0</v>
      </c>
      <c r="F59" s="59">
        <f>COUNTIFS(May!$B:$B,2081,May!$J:$J,28)</f>
        <v>0</v>
      </c>
      <c r="G59" s="59">
        <f>COUNTIFS(Jun!$B:$B,2081,Jun!$J:$J,28)</f>
        <v>0</v>
      </c>
      <c r="H59" s="59">
        <f>COUNTIFS(Jul!$B:$B,2081,Jul!$J:$J,28)</f>
        <v>0</v>
      </c>
      <c r="I59" s="59">
        <f>COUNTIFS(Aug!$B:$B,2081,Aug!$J:$J,28)</f>
        <v>0</v>
      </c>
      <c r="J59" s="59">
        <f>COUNTIFS(Sep!$B:$B,2081,Sep!$J:$J,28)</f>
        <v>0</v>
      </c>
      <c r="K59" s="59">
        <f>COUNTIFS(Oct!$B:$B,2081,Oct!$J:$J,28)</f>
        <v>0</v>
      </c>
      <c r="L59" s="59">
        <f>COUNTIFS(Nov!$B:$B,2081,Nov!$J:$J,28)</f>
        <v>0</v>
      </c>
      <c r="M59" s="59">
        <v>0</v>
      </c>
    </row>
    <row r="60" spans="1:13" s="8" customFormat="1" ht="11.25" customHeight="1">
      <c r="A60" s="10" t="s">
        <v>38</v>
      </c>
      <c r="B60" s="59">
        <f>COUNTIFS(Jan!$B:$B,2081,Jan!$J:$J,6100)</f>
        <v>0</v>
      </c>
      <c r="C60" s="59">
        <v>2</v>
      </c>
      <c r="D60" s="59">
        <v>4</v>
      </c>
      <c r="E60" s="59">
        <v>3</v>
      </c>
      <c r="F60" s="59">
        <v>1</v>
      </c>
      <c r="G60" s="59">
        <v>1</v>
      </c>
      <c r="H60" s="59">
        <v>1</v>
      </c>
      <c r="I60" s="59">
        <v>3</v>
      </c>
      <c r="J60" s="59">
        <v>1</v>
      </c>
      <c r="K60" s="59">
        <f>COUNTIFS(Oct!$B:$B,2081,Oct!$J:$J,6100)</f>
        <v>0</v>
      </c>
      <c r="L60" s="59">
        <v>6</v>
      </c>
      <c r="M60" s="59">
        <v>0</v>
      </c>
    </row>
    <row r="61" spans="1:13" s="8" customFormat="1" ht="11.25" customHeight="1">
      <c r="A61" s="10" t="s">
        <v>9</v>
      </c>
      <c r="B61" s="59">
        <f>COUNTIFS(Jan!$B:$B,2081,Jan!$J:$J,6)</f>
        <v>0</v>
      </c>
      <c r="C61" s="59">
        <f>COUNTIFS(Feb!$B:$B,2081,Feb!$J:$J,6)</f>
        <v>0</v>
      </c>
      <c r="D61" s="59">
        <f>COUNTIFS(Mar!$B:$B,2081,Mar!$J:$J,6)</f>
        <v>0</v>
      </c>
      <c r="E61" s="59">
        <f>COUNTIFS(Apr!$B:$B,2081,Apr!$J:$J,6)</f>
        <v>0</v>
      </c>
      <c r="F61" s="59">
        <f>COUNTIFS(May!$B:$B,2081,May!$J:$J,6)</f>
        <v>0</v>
      </c>
      <c r="G61" s="59">
        <f>COUNTIFS(Jun!$B:$B,2081,Jun!$J:$J,6)</f>
        <v>0</v>
      </c>
      <c r="H61" s="59">
        <f>COUNTIFS(Jul!$B:$B,2081,Jul!$J:$J,6)</f>
        <v>0</v>
      </c>
      <c r="I61" s="59">
        <v>1</v>
      </c>
      <c r="J61" s="59">
        <f>COUNTIFS(Sep!$B:$B,2081,Sep!$J:$J,6)</f>
        <v>0</v>
      </c>
      <c r="K61" s="59">
        <f>COUNTIFS(Oct!$B:$B,2081,Oct!$J:$J,6)</f>
        <v>0</v>
      </c>
      <c r="L61" s="59">
        <f>COUNTIFS(Nov!$B:$B,2081,Nov!$J:$J,6)</f>
        <v>0</v>
      </c>
      <c r="M61" s="59">
        <v>0</v>
      </c>
    </row>
    <row r="62" spans="1:13" s="8" customFormat="1" ht="11.25" customHeight="1">
      <c r="A62" s="10" t="s">
        <v>8</v>
      </c>
      <c r="B62" s="59">
        <f>COUNTIFS(Jan!$B:$B,2081,Jan!$J:$J,4)</f>
        <v>0</v>
      </c>
      <c r="C62" s="59">
        <f>COUNTIFS(Feb!$B:$B,2081,Feb!$J:$J,4)</f>
        <v>0</v>
      </c>
      <c r="D62" s="59">
        <f>COUNTIFS(Mar!$B:$B,2081,Mar!$J:$J,4)</f>
        <v>0</v>
      </c>
      <c r="E62" s="59">
        <f>COUNTIFS(Apr!$B:$B,2081,Apr!$J:$J,4)</f>
        <v>0</v>
      </c>
      <c r="F62" s="59">
        <f>COUNTIFS(May!$B:$B,2081,May!$J:$J,4)</f>
        <v>0</v>
      </c>
      <c r="G62" s="59">
        <f>COUNTIFS(Jun!$B:$B,2081,Jun!$J:$J,4)</f>
        <v>0</v>
      </c>
      <c r="H62" s="59">
        <f>COUNTIFS(Jul!$B:$B,2081,Jul!$J:$J,4)</f>
        <v>0</v>
      </c>
      <c r="I62" s="59">
        <f>COUNTIFS(Aug!$B:$B,2081,Aug!$J:$J,4)</f>
        <v>0</v>
      </c>
      <c r="J62" s="59">
        <f>COUNTIFS(Sep!$B:$B,2081,Sep!$J:$J,4)</f>
        <v>0</v>
      </c>
      <c r="K62" s="59">
        <f>COUNTIFS(Oct!$B:$B,2081,Oct!$J:$J,4)</f>
        <v>0</v>
      </c>
      <c r="L62" s="59">
        <f>COUNTIFS(Nov!$B:$B,2081,Nov!$J:$J,4)</f>
        <v>0</v>
      </c>
      <c r="M62" s="59">
        <v>0</v>
      </c>
    </row>
    <row r="63" spans="1:13" s="8" customFormat="1" ht="11.25" customHeight="1">
      <c r="A63" s="10" t="s">
        <v>6</v>
      </c>
      <c r="B63" s="59">
        <f>COUNTIFS(Jan!$B:$B,2081,Jan!$J:$J,5)</f>
        <v>1</v>
      </c>
      <c r="C63" s="59">
        <f>COUNTIFS(Feb!$B:$B,2081,Feb!$J:$J,5)</f>
        <v>0</v>
      </c>
      <c r="D63" s="59">
        <f>COUNTIFS(Mar!$B:$B,2081,Mar!$J:$J,5)</f>
        <v>0</v>
      </c>
      <c r="E63" s="59">
        <f>COUNTIFS(Apr!$B:$B,2081,Apr!$J:$J,5)</f>
        <v>0</v>
      </c>
      <c r="F63" s="59">
        <f>COUNTIFS(May!$B:$B,2081,May!$J:$J,5)</f>
        <v>0</v>
      </c>
      <c r="G63" s="59">
        <f>COUNTIFS(Jun!$B:$B,2081,Jun!$J:$J,5)</f>
        <v>0</v>
      </c>
      <c r="H63" s="59">
        <f>COUNTIFS(Jul!$B:$B,2081,Jul!$J:$J,5)</f>
        <v>0</v>
      </c>
      <c r="I63" s="59">
        <f>COUNTIFS(Aug!$B:$B,2081,Aug!$J:$J,5)</f>
        <v>0</v>
      </c>
      <c r="J63" s="59">
        <f>COUNTIFS(Sep!$B:$B,2081,Sep!$J:$J,5)</f>
        <v>0</v>
      </c>
      <c r="K63" s="59">
        <v>0</v>
      </c>
      <c r="L63" s="59">
        <f>COUNTIFS(Nov!$B:$B,2081,Nov!$J:$J,5)</f>
        <v>0</v>
      </c>
      <c r="M63" s="59">
        <v>0</v>
      </c>
    </row>
    <row r="64" spans="1:13" s="8" customFormat="1" ht="11.25" customHeight="1">
      <c r="A64" s="52" t="s">
        <v>141</v>
      </c>
      <c r="B64" s="69">
        <f>COUNTIFS(Jan!$B:$B,2081,Jan!$F:$F,456)</f>
        <v>4</v>
      </c>
      <c r="C64" s="69">
        <f>COUNTIFS(Feb!$B:$B,2081,Feb!$F:$F,456)</f>
        <v>0</v>
      </c>
      <c r="D64" s="69">
        <v>5</v>
      </c>
      <c r="E64" s="69">
        <v>1</v>
      </c>
      <c r="F64" s="69">
        <v>1</v>
      </c>
      <c r="G64" s="69">
        <f>COUNTIFS(Jun!$B:$B,2081,Jun!$F:$F,456)</f>
        <v>0</v>
      </c>
      <c r="H64" s="69">
        <v>2</v>
      </c>
      <c r="I64" s="69">
        <f>COUNTIFS(Aug!$B:$B,2081,Aug!$F:$F,456)</f>
        <v>0</v>
      </c>
      <c r="J64" s="69">
        <f>COUNTIFS(Sep!$B:$B,2081,Sep!$F:$F,456)</f>
        <v>0</v>
      </c>
      <c r="K64" s="69">
        <v>1</v>
      </c>
      <c r="L64" s="69">
        <v>1</v>
      </c>
      <c r="M64" s="69">
        <v>6</v>
      </c>
    </row>
    <row r="65" spans="1:13" s="8" customFormat="1" ht="11.25" customHeight="1" thickBot="1">
      <c r="A65" s="12" t="s">
        <v>16</v>
      </c>
      <c r="B65" s="70">
        <f>SUM(B54:B64)</f>
        <v>7</v>
      </c>
      <c r="C65" s="70">
        <f t="shared" ref="C65:M65" si="13">SUM(C54:C64)</f>
        <v>4</v>
      </c>
      <c r="D65" s="70">
        <f>SUM(D54:D64)</f>
        <v>12</v>
      </c>
      <c r="E65" s="70">
        <f>SUM(E54:E64)</f>
        <v>9</v>
      </c>
      <c r="F65" s="70">
        <f>SUM(F54:F64)</f>
        <v>5</v>
      </c>
      <c r="G65" s="70">
        <f>SUM(G54:G64)</f>
        <v>8</v>
      </c>
      <c r="H65" s="70">
        <f t="shared" si="13"/>
        <v>11</v>
      </c>
      <c r="I65" s="70">
        <f t="shared" si="13"/>
        <v>6</v>
      </c>
      <c r="J65" s="70">
        <f t="shared" si="13"/>
        <v>5</v>
      </c>
      <c r="K65" s="70">
        <f t="shared" si="13"/>
        <v>25</v>
      </c>
      <c r="L65" s="165">
        <f t="shared" si="13"/>
        <v>81</v>
      </c>
      <c r="M65" s="170">
        <f t="shared" si="13"/>
        <v>159</v>
      </c>
    </row>
    <row r="66" spans="1:13" s="8" customFormat="1" ht="15.75" customHeight="1">
      <c r="A66" s="6"/>
      <c r="B66" s="7"/>
      <c r="C66" s="7"/>
      <c r="D66" s="7"/>
      <c r="E66" s="7"/>
      <c r="F66" s="7"/>
      <c r="G66" s="7"/>
      <c r="H66" s="7"/>
      <c r="I66" s="7"/>
      <c r="J66" s="7"/>
      <c r="K66" s="7"/>
      <c r="L66" s="7"/>
      <c r="M66" s="7"/>
    </row>
    <row r="67" spans="1:13" ht="12" customHeight="1">
      <c r="A67" s="6"/>
      <c r="B67" s="7"/>
      <c r="C67" s="7"/>
      <c r="D67" s="7"/>
      <c r="E67" s="7"/>
      <c r="F67" s="7"/>
      <c r="G67" s="7"/>
      <c r="H67" s="7"/>
      <c r="I67" s="7"/>
      <c r="J67" s="7"/>
      <c r="K67" s="7"/>
      <c r="L67" s="7"/>
      <c r="M67" s="7"/>
    </row>
  </sheetData>
  <phoneticPr fontId="0" type="noConversion"/>
  <printOptions horizontalCentered="1" verticalCentered="1"/>
  <pageMargins left="0.14000000000000001" right="0.16" top="0.25" bottom="0.5" header="0.5" footer="0.25"/>
  <pageSetup scale="95" firstPageNumber="3" orientation="portrait" useFirstPageNumber="1" r:id="rId1"/>
  <headerFooter alignWithMargins="0">
    <oddFooter>&amp;R18 of 51</oddFooter>
  </headerFooter>
  <ignoredErrors>
    <ignoredError sqref="M32 M52 M65" formulaRange="1"/>
  </ignoredErrors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67"/>
  <sheetViews>
    <sheetView view="pageBreakPreview" topLeftCell="A19" zoomScale="90" zoomScaleNormal="100" zoomScaleSheetLayoutView="90" workbookViewId="0">
      <selection activeCell="M32" sqref="M32"/>
    </sheetView>
  </sheetViews>
  <sheetFormatPr defaultRowHeight="12.75"/>
  <cols>
    <col min="1" max="1" width="22.85546875" style="1" customWidth="1"/>
    <col min="2" max="13" width="7.140625" style="1" customWidth="1"/>
    <col min="14" max="14" width="4.42578125" style="1" customWidth="1"/>
    <col min="15" max="16384" width="9.140625" style="1"/>
  </cols>
  <sheetData>
    <row r="1" spans="1:21" ht="18" customHeight="1">
      <c r="A1" s="130"/>
      <c r="B1" s="131"/>
      <c r="C1" s="131"/>
      <c r="D1" s="131"/>
      <c r="E1" s="131"/>
      <c r="F1" s="131"/>
      <c r="G1" s="130"/>
      <c r="H1" s="130"/>
      <c r="I1" s="131"/>
      <c r="J1" s="131"/>
      <c r="K1" s="131"/>
      <c r="L1" s="130"/>
      <c r="M1" s="143" t="s">
        <v>22</v>
      </c>
    </row>
    <row r="2" spans="1:21" ht="18" customHeight="1">
      <c r="A2" s="130"/>
      <c r="B2" s="135"/>
      <c r="C2" s="135"/>
      <c r="D2" s="135"/>
      <c r="E2" s="135"/>
      <c r="F2" s="135"/>
      <c r="G2" s="130"/>
      <c r="H2" s="130"/>
      <c r="I2" s="135"/>
      <c r="J2" s="135"/>
      <c r="K2" s="135"/>
      <c r="L2" s="130"/>
      <c r="M2" s="155" t="s">
        <v>13</v>
      </c>
    </row>
    <row r="3" spans="1:21" s="5" customFormat="1" ht="18" customHeight="1">
      <c r="A3" s="133"/>
      <c r="B3" s="133"/>
      <c r="C3" s="133"/>
      <c r="D3" s="133"/>
      <c r="E3" s="133"/>
      <c r="F3" s="133"/>
      <c r="G3" s="133"/>
      <c r="H3" s="133"/>
      <c r="I3" s="133"/>
      <c r="J3" s="136"/>
      <c r="K3" s="136"/>
      <c r="L3" s="133"/>
      <c r="M3" s="155" t="s">
        <v>60</v>
      </c>
      <c r="N3" s="134"/>
      <c r="O3" s="134"/>
      <c r="P3" s="134"/>
      <c r="Q3" s="134"/>
      <c r="R3" s="134"/>
      <c r="S3" s="134"/>
      <c r="T3" s="134"/>
      <c r="U3" s="134"/>
    </row>
    <row r="4" spans="1:21" s="8" customFormat="1" ht="6.75" customHeight="1" thickBot="1">
      <c r="A4" s="38"/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</row>
    <row r="5" spans="1:21" s="8" customFormat="1" ht="11.25" customHeight="1" thickBot="1">
      <c r="A5" s="53" t="s">
        <v>19</v>
      </c>
      <c r="B5" s="50">
        <v>41275</v>
      </c>
      <c r="C5" s="47">
        <v>41306</v>
      </c>
      <c r="D5" s="47">
        <v>41334</v>
      </c>
      <c r="E5" s="47">
        <v>41365</v>
      </c>
      <c r="F5" s="47">
        <v>41395</v>
      </c>
      <c r="G5" s="47">
        <v>41426</v>
      </c>
      <c r="H5" s="47">
        <v>41456</v>
      </c>
      <c r="I5" s="47">
        <v>41487</v>
      </c>
      <c r="J5" s="47">
        <v>41518</v>
      </c>
      <c r="K5" s="47">
        <v>41548</v>
      </c>
      <c r="L5" s="47">
        <v>41579</v>
      </c>
      <c r="M5" s="51">
        <v>41609</v>
      </c>
    </row>
    <row r="6" spans="1:21" s="8" customFormat="1" ht="11.25" customHeight="1">
      <c r="A6" s="41" t="s">
        <v>129</v>
      </c>
      <c r="B6" s="57">
        <f t="shared" ref="B6:M6" si="0">B32</f>
        <v>12</v>
      </c>
      <c r="C6" s="57">
        <f t="shared" si="0"/>
        <v>9</v>
      </c>
      <c r="D6" s="57">
        <f t="shared" si="0"/>
        <v>17</v>
      </c>
      <c r="E6" s="57">
        <f t="shared" si="0"/>
        <v>13</v>
      </c>
      <c r="F6" s="57">
        <f t="shared" si="0"/>
        <v>10</v>
      </c>
      <c r="G6" s="57">
        <f t="shared" si="0"/>
        <v>10</v>
      </c>
      <c r="H6" s="57">
        <f t="shared" si="0"/>
        <v>19</v>
      </c>
      <c r="I6" s="57">
        <f t="shared" si="0"/>
        <v>10</v>
      </c>
      <c r="J6" s="57">
        <f t="shared" si="0"/>
        <v>15</v>
      </c>
      <c r="K6" s="57">
        <f t="shared" si="0"/>
        <v>10</v>
      </c>
      <c r="L6" s="156">
        <f t="shared" si="0"/>
        <v>7</v>
      </c>
      <c r="M6" s="168">
        <f t="shared" si="0"/>
        <v>13</v>
      </c>
    </row>
    <row r="7" spans="1:21" s="8" customFormat="1" ht="11.25" customHeight="1">
      <c r="A7" s="42" t="s">
        <v>18</v>
      </c>
      <c r="B7" s="57">
        <f t="shared" ref="B7:M7" si="1">SUM(B10:B12)</f>
        <v>36</v>
      </c>
      <c r="C7" s="57">
        <f t="shared" si="1"/>
        <v>23</v>
      </c>
      <c r="D7" s="57">
        <f t="shared" si="1"/>
        <v>39</v>
      </c>
      <c r="E7" s="57">
        <f t="shared" si="1"/>
        <v>34</v>
      </c>
      <c r="F7" s="57">
        <f t="shared" si="1"/>
        <v>27</v>
      </c>
      <c r="G7" s="57">
        <f t="shared" si="1"/>
        <v>28</v>
      </c>
      <c r="H7" s="57">
        <f t="shared" si="1"/>
        <v>33</v>
      </c>
      <c r="I7" s="57">
        <f t="shared" si="1"/>
        <v>43</v>
      </c>
      <c r="J7" s="57">
        <f t="shared" si="1"/>
        <v>35</v>
      </c>
      <c r="K7" s="57">
        <f t="shared" si="1"/>
        <v>31</v>
      </c>
      <c r="L7" s="156">
        <f t="shared" si="1"/>
        <v>25</v>
      </c>
      <c r="M7" s="171">
        <f t="shared" si="1"/>
        <v>32</v>
      </c>
    </row>
    <row r="8" spans="1:21" s="8" customFormat="1" ht="11.25" customHeight="1" thickBot="1">
      <c r="A8" s="43" t="s">
        <v>14</v>
      </c>
      <c r="B8" s="58">
        <f t="shared" ref="B8:M8" si="2">SUM(B6:B7)</f>
        <v>48</v>
      </c>
      <c r="C8" s="58">
        <f t="shared" si="2"/>
        <v>32</v>
      </c>
      <c r="D8" s="58">
        <f t="shared" si="2"/>
        <v>56</v>
      </c>
      <c r="E8" s="58">
        <f t="shared" si="2"/>
        <v>47</v>
      </c>
      <c r="F8" s="58">
        <f t="shared" si="2"/>
        <v>37</v>
      </c>
      <c r="G8" s="58">
        <f t="shared" si="2"/>
        <v>38</v>
      </c>
      <c r="H8" s="58">
        <f t="shared" si="2"/>
        <v>52</v>
      </c>
      <c r="I8" s="58">
        <f t="shared" si="2"/>
        <v>53</v>
      </c>
      <c r="J8" s="58">
        <f t="shared" si="2"/>
        <v>50</v>
      </c>
      <c r="K8" s="58">
        <f t="shared" si="2"/>
        <v>41</v>
      </c>
      <c r="L8" s="157">
        <f t="shared" si="2"/>
        <v>32</v>
      </c>
      <c r="M8" s="172">
        <f t="shared" si="2"/>
        <v>45</v>
      </c>
    </row>
    <row r="9" spans="1:21" s="8" customFormat="1" ht="11.25" customHeight="1" thickBot="1">
      <c r="A9" s="54" t="s">
        <v>18</v>
      </c>
      <c r="B9" s="50">
        <v>41275</v>
      </c>
      <c r="C9" s="47">
        <v>41306</v>
      </c>
      <c r="D9" s="47">
        <v>41334</v>
      </c>
      <c r="E9" s="47">
        <v>41365</v>
      </c>
      <c r="F9" s="47">
        <v>41395</v>
      </c>
      <c r="G9" s="47">
        <v>41426</v>
      </c>
      <c r="H9" s="47">
        <v>41456</v>
      </c>
      <c r="I9" s="47">
        <v>41487</v>
      </c>
      <c r="J9" s="47">
        <v>41518</v>
      </c>
      <c r="K9" s="47">
        <v>41548</v>
      </c>
      <c r="L9" s="47">
        <v>41579</v>
      </c>
      <c r="M9" s="51">
        <v>41609</v>
      </c>
    </row>
    <row r="10" spans="1:21" s="8" customFormat="1" ht="11.25" customHeight="1">
      <c r="A10" s="9" t="s">
        <v>128</v>
      </c>
      <c r="B10" s="57">
        <f t="shared" ref="B10:M10" si="3">B52</f>
        <v>19</v>
      </c>
      <c r="C10" s="57">
        <f t="shared" si="3"/>
        <v>17</v>
      </c>
      <c r="D10" s="57">
        <f t="shared" si="3"/>
        <v>21</v>
      </c>
      <c r="E10" s="57">
        <f t="shared" si="3"/>
        <v>18</v>
      </c>
      <c r="F10" s="57">
        <f t="shared" si="3"/>
        <v>15</v>
      </c>
      <c r="G10" s="59">
        <f t="shared" si="3"/>
        <v>16</v>
      </c>
      <c r="H10" s="59">
        <f t="shared" si="3"/>
        <v>24</v>
      </c>
      <c r="I10" s="59">
        <f t="shared" si="3"/>
        <v>31</v>
      </c>
      <c r="J10" s="59">
        <f t="shared" si="3"/>
        <v>22</v>
      </c>
      <c r="K10" s="59">
        <f t="shared" si="3"/>
        <v>16</v>
      </c>
      <c r="L10" s="158">
        <f t="shared" si="3"/>
        <v>15</v>
      </c>
      <c r="M10" s="168">
        <f t="shared" si="3"/>
        <v>21</v>
      </c>
    </row>
    <row r="11" spans="1:21" s="8" customFormat="1" ht="11.25" customHeight="1">
      <c r="A11" s="9" t="s">
        <v>127</v>
      </c>
      <c r="B11" s="59">
        <f t="shared" ref="B11:M11" si="4">B65</f>
        <v>1</v>
      </c>
      <c r="C11" s="59">
        <f t="shared" si="4"/>
        <v>1</v>
      </c>
      <c r="D11" s="59">
        <f t="shared" si="4"/>
        <v>2</v>
      </c>
      <c r="E11" s="59">
        <f t="shared" si="4"/>
        <v>2</v>
      </c>
      <c r="F11" s="59">
        <f t="shared" si="4"/>
        <v>2</v>
      </c>
      <c r="G11" s="59">
        <f t="shared" si="4"/>
        <v>1</v>
      </c>
      <c r="H11" s="59">
        <f t="shared" si="4"/>
        <v>3</v>
      </c>
      <c r="I11" s="59">
        <f t="shared" si="4"/>
        <v>3</v>
      </c>
      <c r="J11" s="59">
        <f t="shared" si="4"/>
        <v>2</v>
      </c>
      <c r="K11" s="59">
        <f t="shared" si="4"/>
        <v>0</v>
      </c>
      <c r="L11" s="158">
        <f t="shared" si="4"/>
        <v>1</v>
      </c>
      <c r="M11" s="169">
        <f t="shared" si="4"/>
        <v>1</v>
      </c>
    </row>
    <row r="12" spans="1:21" s="8" customFormat="1" ht="11.25" customHeight="1" thickBot="1">
      <c r="A12" s="2" t="s">
        <v>12</v>
      </c>
      <c r="B12" s="60">
        <f>COUNTIFS(Jan!$B:$B,2083,Jan!$F:$F,800)</f>
        <v>16</v>
      </c>
      <c r="C12" s="60">
        <v>5</v>
      </c>
      <c r="D12" s="60">
        <v>16</v>
      </c>
      <c r="E12" s="60">
        <v>14</v>
      </c>
      <c r="F12" s="60">
        <v>10</v>
      </c>
      <c r="G12" s="60">
        <v>11</v>
      </c>
      <c r="H12" s="60">
        <v>6</v>
      </c>
      <c r="I12" s="60">
        <v>9</v>
      </c>
      <c r="J12" s="60">
        <v>11</v>
      </c>
      <c r="K12" s="60">
        <v>15</v>
      </c>
      <c r="L12" s="60">
        <v>9</v>
      </c>
      <c r="M12" s="60">
        <v>10</v>
      </c>
    </row>
    <row r="13" spans="1:21" s="8" customFormat="1" ht="5.0999999999999996" customHeight="1" thickBot="1">
      <c r="A13" s="3"/>
      <c r="B13" s="17"/>
      <c r="C13" s="17"/>
      <c r="D13" s="17"/>
      <c r="E13" s="17"/>
      <c r="F13" s="17"/>
      <c r="G13" s="17"/>
      <c r="H13" s="17"/>
      <c r="I13" s="17"/>
      <c r="J13" s="17"/>
      <c r="K13" s="17"/>
      <c r="L13" s="17"/>
      <c r="M13" s="147"/>
    </row>
    <row r="14" spans="1:21" s="16" customFormat="1" ht="11.25" customHeight="1">
      <c r="A14" s="44" t="s">
        <v>131</v>
      </c>
      <c r="B14" s="120">
        <v>5556</v>
      </c>
      <c r="C14" s="120">
        <v>5910</v>
      </c>
      <c r="D14" s="120">
        <v>6516</v>
      </c>
      <c r="E14" s="120">
        <v>5890</v>
      </c>
      <c r="F14" s="120">
        <v>6662</v>
      </c>
      <c r="G14" s="120">
        <v>6462</v>
      </c>
      <c r="H14" s="119">
        <v>5822</v>
      </c>
      <c r="I14" s="61">
        <v>5782</v>
      </c>
      <c r="J14" s="61">
        <v>5788</v>
      </c>
      <c r="K14" s="118">
        <v>6498</v>
      </c>
      <c r="L14" s="160">
        <v>5816</v>
      </c>
      <c r="M14" s="173">
        <v>59547</v>
      </c>
      <c r="O14" s="22"/>
      <c r="P14" s="22"/>
      <c r="Q14" s="22"/>
    </row>
    <row r="15" spans="1:21" s="8" customFormat="1" ht="11.25" customHeight="1">
      <c r="A15" s="45" t="s">
        <v>132</v>
      </c>
      <c r="B15" s="62">
        <f>IFERROR((SUMIFS(Jan!$N:$N,Jan!$J:$J,1,Jan!$B:$B,2083)+SUMIFS(Jan!$N:$N,Jan!$D:$D,"&gt;1",Jan!$B:$B,2083))/(COUNTIFS(Jan!$J:$J,1,Jan!$B:$B,2083)+COUNTIFS(Jan!$D:$D,"&gt;1",Jan!$B:$B,2083)),"")</f>
        <v>28.647058823529413</v>
      </c>
      <c r="C15" s="62">
        <v>19.52</v>
      </c>
      <c r="D15" s="62">
        <v>20.88</v>
      </c>
      <c r="E15" s="62">
        <v>24.4</v>
      </c>
      <c r="F15" s="62">
        <v>24.83</v>
      </c>
      <c r="G15" s="62">
        <v>21.91</v>
      </c>
      <c r="H15" s="62">
        <v>22.65</v>
      </c>
      <c r="I15" s="62">
        <v>21.19</v>
      </c>
      <c r="J15" s="62">
        <v>23.81</v>
      </c>
      <c r="K15" s="62">
        <v>23.94</v>
      </c>
      <c r="L15" s="62">
        <v>23.11</v>
      </c>
      <c r="M15" s="62">
        <v>21.47</v>
      </c>
      <c r="N15" s="15"/>
      <c r="O15" s="1"/>
      <c r="P15" s="1"/>
      <c r="Q15" s="1"/>
    </row>
    <row r="16" spans="1:21" s="8" customFormat="1" ht="11.25" customHeight="1">
      <c r="A16" s="45" t="s">
        <v>133</v>
      </c>
      <c r="B16" s="62">
        <f>IFERROR(AVERAGEIFS(Jan!$N:$N,Jan!$F:$F,800,Jan!$B:$B,2083),"")</f>
        <v>28.5625</v>
      </c>
      <c r="C16" s="62">
        <v>26.33</v>
      </c>
      <c r="D16" s="62">
        <v>24.41</v>
      </c>
      <c r="E16" s="62">
        <v>26.8</v>
      </c>
      <c r="F16" s="62">
        <v>31.2</v>
      </c>
      <c r="G16" s="62">
        <v>25.67</v>
      </c>
      <c r="H16" s="62">
        <v>26.17</v>
      </c>
      <c r="I16" s="62">
        <v>23.8</v>
      </c>
      <c r="J16" s="62">
        <v>25.73</v>
      </c>
      <c r="K16" s="62">
        <v>25.6</v>
      </c>
      <c r="L16" s="62">
        <v>23.33</v>
      </c>
      <c r="M16" s="62">
        <v>23</v>
      </c>
      <c r="O16" s="1"/>
      <c r="P16" s="1"/>
      <c r="Q16" s="1"/>
    </row>
    <row r="17" spans="1:17" s="8" customFormat="1" ht="11.25" customHeight="1">
      <c r="A17" s="45" t="s">
        <v>134</v>
      </c>
      <c r="B17" s="63">
        <f>IFERROR((SUMIFS(Jan!$M:$M,Jan!$J:$J,1,Jan!$B:$B,2083)+SUMIFS(Jan!$M:$M,Jan!$D:$D,"&gt;1",Jan!$B:$B,2083))/(COUNTIFS(Jan!$J:$J,1,Jan!$B:$B,2083)+COUNTIFS(Jan!$D:$D,"&gt;1",Jan!$B:$B,2083)),"")</f>
        <v>0.75294117647058822</v>
      </c>
      <c r="C17" s="63">
        <v>5.65</v>
      </c>
      <c r="D17" s="63">
        <v>2.99</v>
      </c>
      <c r="E17" s="63">
        <v>2.4</v>
      </c>
      <c r="F17" s="63">
        <v>2.35</v>
      </c>
      <c r="G17" s="63">
        <v>5.79</v>
      </c>
      <c r="H17" s="63">
        <v>6.98</v>
      </c>
      <c r="I17" s="63">
        <v>6.73</v>
      </c>
      <c r="J17" s="63">
        <v>2.99</v>
      </c>
      <c r="K17" s="63">
        <v>5.24</v>
      </c>
      <c r="L17" s="63">
        <v>3.84</v>
      </c>
      <c r="M17" s="63">
        <v>4.99</v>
      </c>
      <c r="O17" s="1"/>
      <c r="P17" s="1"/>
      <c r="Q17" s="1"/>
    </row>
    <row r="18" spans="1:17" s="8" customFormat="1" ht="11.25" customHeight="1" thickBot="1">
      <c r="A18" s="43" t="s">
        <v>135</v>
      </c>
      <c r="B18" s="64">
        <f>IFERROR(AVERAGEIFS(Jan!$M:$M,Jan!$F:$F,800,Jan!$B:$B,2083),"")</f>
        <v>0.74375000000000002</v>
      </c>
      <c r="C18" s="64">
        <v>6.18</v>
      </c>
      <c r="D18" s="64">
        <v>0.54</v>
      </c>
      <c r="E18" s="64">
        <v>2.95</v>
      </c>
      <c r="F18" s="64">
        <v>1.87</v>
      </c>
      <c r="G18" s="64">
        <v>3.57</v>
      </c>
      <c r="H18" s="64">
        <v>0.77</v>
      </c>
      <c r="I18" s="64">
        <v>7.41</v>
      </c>
      <c r="J18" s="64">
        <v>0.64</v>
      </c>
      <c r="K18" s="64">
        <v>2.56</v>
      </c>
      <c r="L18" s="64">
        <v>4.21</v>
      </c>
      <c r="M18" s="64">
        <v>0.68</v>
      </c>
    </row>
    <row r="19" spans="1:17" s="8" customFormat="1" ht="5.0999999999999996" customHeight="1" thickBot="1">
      <c r="A19" s="3"/>
      <c r="B19" s="17"/>
      <c r="C19" s="17"/>
      <c r="D19" s="17"/>
      <c r="E19" s="17"/>
      <c r="F19" s="17"/>
      <c r="G19" s="17"/>
      <c r="H19" s="17"/>
      <c r="I19" s="17"/>
      <c r="J19" s="17"/>
      <c r="K19" s="17"/>
      <c r="L19" s="17"/>
      <c r="M19" s="147"/>
    </row>
    <row r="20" spans="1:17" s="8" customFormat="1" ht="11.25" customHeight="1">
      <c r="A20" s="42" t="s">
        <v>52</v>
      </c>
      <c r="B20" s="65">
        <v>31</v>
      </c>
      <c r="C20" s="65">
        <v>28</v>
      </c>
      <c r="D20" s="65">
        <v>31</v>
      </c>
      <c r="E20" s="65">
        <v>30</v>
      </c>
      <c r="F20" s="65">
        <v>31</v>
      </c>
      <c r="G20" s="65">
        <v>30</v>
      </c>
      <c r="H20" s="65">
        <v>31</v>
      </c>
      <c r="I20" s="65">
        <v>31</v>
      </c>
      <c r="J20" s="65">
        <v>30</v>
      </c>
      <c r="K20" s="65">
        <v>31</v>
      </c>
      <c r="L20" s="161">
        <v>30</v>
      </c>
      <c r="M20" s="174">
        <v>31</v>
      </c>
    </row>
    <row r="21" spans="1:17" s="8" customFormat="1" ht="11.25" customHeight="1">
      <c r="A21" s="9" t="s">
        <v>15</v>
      </c>
      <c r="B21" s="66">
        <f>B12/B20</f>
        <v>0.5161290322580645</v>
      </c>
      <c r="C21" s="66">
        <f t="shared" ref="C21:M21" si="5">C12/C20</f>
        <v>0.17857142857142858</v>
      </c>
      <c r="D21" s="66">
        <f>D12/D20</f>
        <v>0.5161290322580645</v>
      </c>
      <c r="E21" s="66">
        <f>E12/E20</f>
        <v>0.46666666666666667</v>
      </c>
      <c r="F21" s="66">
        <f>F12/F20</f>
        <v>0.32258064516129031</v>
      </c>
      <c r="G21" s="66">
        <f>G12/G20</f>
        <v>0.36666666666666664</v>
      </c>
      <c r="H21" s="66">
        <f t="shared" si="5"/>
        <v>0.19354838709677419</v>
      </c>
      <c r="I21" s="66">
        <f t="shared" si="5"/>
        <v>0.29032258064516131</v>
      </c>
      <c r="J21" s="66">
        <f t="shared" si="5"/>
        <v>0.36666666666666664</v>
      </c>
      <c r="K21" s="66">
        <f t="shared" si="5"/>
        <v>0.4838709677419355</v>
      </c>
      <c r="L21" s="162">
        <f t="shared" si="5"/>
        <v>0.3</v>
      </c>
      <c r="M21" s="175">
        <f t="shared" si="5"/>
        <v>0.32258064516129031</v>
      </c>
    </row>
    <row r="22" spans="1:17" s="8" customFormat="1" ht="11.25" customHeight="1">
      <c r="A22" s="9" t="s">
        <v>130</v>
      </c>
      <c r="B22" s="67">
        <f t="shared" ref="B22:G22" si="6">IFERROR(B12/B7,0)</f>
        <v>0.44444444444444442</v>
      </c>
      <c r="C22" s="67">
        <f t="shared" si="6"/>
        <v>0.21739130434782608</v>
      </c>
      <c r="D22" s="67">
        <f t="shared" si="6"/>
        <v>0.41025641025641024</v>
      </c>
      <c r="E22" s="67">
        <f t="shared" si="6"/>
        <v>0.41176470588235292</v>
      </c>
      <c r="F22" s="67">
        <f t="shared" si="6"/>
        <v>0.37037037037037035</v>
      </c>
      <c r="G22" s="67">
        <f t="shared" si="6"/>
        <v>0.39285714285714285</v>
      </c>
      <c r="H22" s="67">
        <f t="shared" ref="H22:M22" si="7">IFERROR(H12/H7,0)</f>
        <v>0.18181818181818182</v>
      </c>
      <c r="I22" s="67">
        <f t="shared" si="7"/>
        <v>0.20930232558139536</v>
      </c>
      <c r="J22" s="67">
        <f t="shared" si="7"/>
        <v>0.31428571428571428</v>
      </c>
      <c r="K22" s="116">
        <f t="shared" si="7"/>
        <v>0.4838709677419355</v>
      </c>
      <c r="L22" s="67">
        <f t="shared" si="7"/>
        <v>0.36</v>
      </c>
      <c r="M22" s="176">
        <f t="shared" si="7"/>
        <v>0.3125</v>
      </c>
      <c r="N22" s="1"/>
    </row>
    <row r="23" spans="1:17" s="8" customFormat="1" ht="11.25" customHeight="1" thickBot="1">
      <c r="A23" s="9" t="s">
        <v>53</v>
      </c>
      <c r="B23" s="67">
        <f t="shared" ref="B23:G23" si="8">IFERROR(B12/(B11+B12),0)</f>
        <v>0.94117647058823528</v>
      </c>
      <c r="C23" s="67">
        <f t="shared" si="8"/>
        <v>0.83333333333333337</v>
      </c>
      <c r="D23" s="67">
        <f t="shared" si="8"/>
        <v>0.88888888888888884</v>
      </c>
      <c r="E23" s="67">
        <f t="shared" si="8"/>
        <v>0.875</v>
      </c>
      <c r="F23" s="67">
        <f t="shared" si="8"/>
        <v>0.83333333333333337</v>
      </c>
      <c r="G23" s="67">
        <f t="shared" si="8"/>
        <v>0.91666666666666663</v>
      </c>
      <c r="H23" s="67">
        <f t="shared" ref="H23:M23" si="9">IFERROR(H12/(H11+H12),0)</f>
        <v>0.66666666666666663</v>
      </c>
      <c r="I23" s="67">
        <f t="shared" si="9"/>
        <v>0.75</v>
      </c>
      <c r="J23" s="67">
        <f t="shared" si="9"/>
        <v>0.84615384615384615</v>
      </c>
      <c r="K23" s="117">
        <f t="shared" si="9"/>
        <v>1</v>
      </c>
      <c r="L23" s="163">
        <f t="shared" si="9"/>
        <v>0.9</v>
      </c>
      <c r="M23" s="177">
        <f t="shared" si="9"/>
        <v>0.90909090909090906</v>
      </c>
      <c r="N23" s="4"/>
    </row>
    <row r="24" spans="1:17" s="8" customFormat="1" ht="11.25" customHeight="1" thickBot="1">
      <c r="A24" s="56" t="s">
        <v>21</v>
      </c>
      <c r="B24" s="50">
        <v>41275</v>
      </c>
      <c r="C24" s="47">
        <v>41306</v>
      </c>
      <c r="D24" s="47">
        <v>41334</v>
      </c>
      <c r="E24" s="47">
        <v>41365</v>
      </c>
      <c r="F24" s="47">
        <v>41395</v>
      </c>
      <c r="G24" s="47">
        <v>41426</v>
      </c>
      <c r="H24" s="47">
        <v>41456</v>
      </c>
      <c r="I24" s="47">
        <v>41487</v>
      </c>
      <c r="J24" s="47">
        <v>41518</v>
      </c>
      <c r="K24" s="47">
        <v>41548</v>
      </c>
      <c r="L24" s="47">
        <v>41579</v>
      </c>
      <c r="M24" s="51">
        <v>41609</v>
      </c>
    </row>
    <row r="25" spans="1:17" s="8" customFormat="1" ht="11.25" customHeight="1">
      <c r="A25" s="18" t="s">
        <v>5</v>
      </c>
      <c r="B25" s="68">
        <f>COUNTIFS(Jan!$B:$B,2083,Jan!$J:$J,18)</f>
        <v>2</v>
      </c>
      <c r="C25" s="68">
        <v>1</v>
      </c>
      <c r="D25" s="68">
        <v>1</v>
      </c>
      <c r="E25" s="68">
        <v>1</v>
      </c>
      <c r="F25" s="68">
        <v>3</v>
      </c>
      <c r="G25" s="68">
        <v>4</v>
      </c>
      <c r="H25" s="68">
        <v>1</v>
      </c>
      <c r="I25" s="68">
        <v>5</v>
      </c>
      <c r="J25" s="68">
        <v>6</v>
      </c>
      <c r="K25" s="68">
        <v>3</v>
      </c>
      <c r="L25" s="68">
        <v>2</v>
      </c>
      <c r="M25" s="68">
        <v>4</v>
      </c>
    </row>
    <row r="26" spans="1:17" s="8" customFormat="1" ht="11.25" customHeight="1">
      <c r="A26" s="46" t="s">
        <v>40</v>
      </c>
      <c r="B26" s="57">
        <f>COUNTIFS(Jan!$B:$B,2083,Jan!$J:$J,41)</f>
        <v>0</v>
      </c>
      <c r="C26" s="57">
        <f>COUNTIFS(Feb!$B:$B,2083,Feb!$J:$J,41)</f>
        <v>0</v>
      </c>
      <c r="D26" s="57">
        <f>COUNTIFS(Mar!$B:$B,2083,Mar!$J:$J,41)</f>
        <v>0</v>
      </c>
      <c r="E26" s="57">
        <f>COUNTIFS(Apr!$B:$B,2083,Apr!$J:$J,41)</f>
        <v>0</v>
      </c>
      <c r="F26" s="57">
        <f>COUNTIFS(May!$B:$B,2083,May!$J:$J,41)</f>
        <v>0</v>
      </c>
      <c r="G26" s="57">
        <f>COUNTIFS(Jun!$B:$B,2083,Jun!$J:$J,41)</f>
        <v>0</v>
      </c>
      <c r="H26" s="57">
        <f>COUNTIFS(Jul!$B:$B,2083,Jul!$J:$J,41)</f>
        <v>0</v>
      </c>
      <c r="I26" s="57">
        <f>COUNTIFS(Aug!$B:$B,2083,Aug!$J:$J,41)</f>
        <v>0</v>
      </c>
      <c r="J26" s="57">
        <f>COUNTIFS(Sep!$B:$B,2083,Sep!$J:$J,41)</f>
        <v>0</v>
      </c>
      <c r="K26" s="57">
        <f>COUNTIFS(Oct!$B:$B,2083,Oct!$J:$J,41)</f>
        <v>0</v>
      </c>
      <c r="L26" s="57">
        <f>COUNTIFS(Nov!$B:$B,2083,Nov!$J:$J,41)</f>
        <v>0</v>
      </c>
      <c r="M26" s="57">
        <v>0</v>
      </c>
    </row>
    <row r="27" spans="1:17" s="8" customFormat="1" ht="11.25" customHeight="1">
      <c r="A27" s="9" t="s">
        <v>11</v>
      </c>
      <c r="B27" s="179">
        <f>COUNTIFS(Jan!$B:$B,2083,Jan!$J:$J,17)</f>
        <v>10</v>
      </c>
      <c r="C27" s="206">
        <v>8</v>
      </c>
      <c r="D27" s="206">
        <v>16</v>
      </c>
      <c r="E27" s="206">
        <v>12</v>
      </c>
      <c r="F27" s="206">
        <v>7</v>
      </c>
      <c r="G27" s="206">
        <v>6</v>
      </c>
      <c r="H27" s="206">
        <v>18</v>
      </c>
      <c r="I27" s="206">
        <v>5</v>
      </c>
      <c r="J27" s="206">
        <v>9</v>
      </c>
      <c r="K27" s="206">
        <v>7</v>
      </c>
      <c r="L27" s="206">
        <v>4</v>
      </c>
      <c r="M27" s="206">
        <v>9</v>
      </c>
    </row>
    <row r="28" spans="1:17" s="8" customFormat="1" ht="11.25" customHeight="1">
      <c r="A28" s="9" t="s">
        <v>143</v>
      </c>
      <c r="B28" s="59">
        <f>COUNTIFS(Jan!$B:$B,2083,Jan!$F:$F,455)</f>
        <v>0</v>
      </c>
      <c r="C28" s="59">
        <f>COUNTIFS(Feb!$B:$B,2083,Feb!$F:$F,455)</f>
        <v>0</v>
      </c>
      <c r="D28" s="59">
        <f>COUNTIFS(Mar!$B:$B,2083,Mar!$F:$F,455)</f>
        <v>0</v>
      </c>
      <c r="E28" s="59">
        <f>COUNTIFS(Apr!$B:$B,2083,Apr!$F:$F,455)</f>
        <v>0</v>
      </c>
      <c r="F28" s="59">
        <f>COUNTIFS(May!$B:$B,2083,May!$F:$F,455)</f>
        <v>0</v>
      </c>
      <c r="G28" s="59">
        <f>COUNTIFS(Jun!$B:$B,2083,Jun!$F:$F,455)</f>
        <v>0</v>
      </c>
      <c r="H28" s="59">
        <f>COUNTIFS(Jul!$B:$B,2083,Jul!$F:$F,455)</f>
        <v>0</v>
      </c>
      <c r="I28" s="59">
        <f>COUNTIFS(Aug!$B:$B,2083,Aug!$F:$F,455)</f>
        <v>0</v>
      </c>
      <c r="J28" s="59">
        <f>COUNTIFS(Sep!$B:$B,2083,Sep!$F:$F,455)</f>
        <v>0</v>
      </c>
      <c r="K28" s="59">
        <f>COUNTIFS(Oct!$B:$B,2083,Oct!$F:$F,455)</f>
        <v>0</v>
      </c>
      <c r="L28" s="59">
        <f>COUNTIFS(Nov!$B:$B,2083,Nov!$F:$F,455)</f>
        <v>0</v>
      </c>
      <c r="M28" s="59">
        <v>0</v>
      </c>
    </row>
    <row r="29" spans="1:17" s="8" customFormat="1" ht="11.25" customHeight="1">
      <c r="A29" s="9" t="s">
        <v>23</v>
      </c>
      <c r="B29" s="59">
        <f>COUNTIFS(Jan!$B:$B,2083,Jan!$J:$J,31)</f>
        <v>0</v>
      </c>
      <c r="C29" s="59">
        <f>COUNTIFS(Feb!$B:$B,2083,Feb!$J:$J,31)</f>
        <v>0</v>
      </c>
      <c r="D29" s="59">
        <f>COUNTIFS(Mar!$B:$B,2083,Mar!$J:$J,31)</f>
        <v>0</v>
      </c>
      <c r="E29" s="59">
        <f>COUNTIFS(Apr!$B:$B,2083,Apr!$J:$J,31)</f>
        <v>0</v>
      </c>
      <c r="F29" s="59">
        <f>COUNTIFS(May!$B:$B,2083,May!$J:$J,31)</f>
        <v>0</v>
      </c>
      <c r="G29" s="59">
        <f>COUNTIFS(Jun!$B:$B,2083,Jun!$J:$J,31)</f>
        <v>0</v>
      </c>
      <c r="H29" s="59">
        <f>COUNTIFS(Jul!$B:$B,2083,Jul!$J:$J,31)</f>
        <v>0</v>
      </c>
      <c r="I29" s="59">
        <f>COUNTIFS(Aug!$B:$B,2083,Aug!$J:$J,31)</f>
        <v>0</v>
      </c>
      <c r="J29" s="59">
        <f>COUNTIFS(Sep!$B:$B,2083,Sep!$J:$J,31)</f>
        <v>0</v>
      </c>
      <c r="K29" s="59">
        <f>COUNTIFS(Oct!$B:$B,2083,Oct!$J:$J,31)</f>
        <v>0</v>
      </c>
      <c r="L29" s="59">
        <f>COUNTIFS(Nov!$B:$B,2083,Nov!$J:$J,31)</f>
        <v>0</v>
      </c>
      <c r="M29" s="59">
        <v>0</v>
      </c>
    </row>
    <row r="30" spans="1:17" s="8" customFormat="1" ht="11.25" customHeight="1">
      <c r="A30" s="9" t="s">
        <v>37</v>
      </c>
      <c r="B30" s="59">
        <f>COUNTIFS(Jan!$B:$B,2083,Jan!$J:$J,4400)</f>
        <v>0</v>
      </c>
      <c r="C30" s="59">
        <f>COUNTIFS(Feb!$B:$B,2083,Feb!$J:$J,4400)</f>
        <v>0</v>
      </c>
      <c r="D30" s="59">
        <f>COUNTIFS(Mar!$B:$B,2083,Mar!$J:$J,4400)</f>
        <v>0</v>
      </c>
      <c r="E30" s="59">
        <f>COUNTIFS(Apr!$B:$B,2083,Apr!$J:$J,4400)</f>
        <v>0</v>
      </c>
      <c r="F30" s="59">
        <f>COUNTIFS(May!$B:$B,2083,May!$J:$J,4400)</f>
        <v>0</v>
      </c>
      <c r="G30" s="59">
        <f>COUNTIFS(Jun!$B:$B,2083,Jun!$J:$J,4400)</f>
        <v>0</v>
      </c>
      <c r="H30" s="59">
        <f>COUNTIFS(Jul!$B:$B,2083,Jul!$J:$J,4400)</f>
        <v>0</v>
      </c>
      <c r="I30" s="59">
        <f>COUNTIFS(Aug!$B:$B,2083,Aug!$J:$J,4400)</f>
        <v>0</v>
      </c>
      <c r="J30" s="59">
        <f>COUNTIFS(Sep!$B:$B,2083,Sep!$J:$J,4400)</f>
        <v>0</v>
      </c>
      <c r="K30" s="59">
        <f>COUNTIFS(Oct!$B:$B,2083,Oct!$J:$J,4400)</f>
        <v>0</v>
      </c>
      <c r="L30" s="59">
        <v>1</v>
      </c>
      <c r="M30" s="59">
        <v>0</v>
      </c>
    </row>
    <row r="31" spans="1:17" s="8" customFormat="1" ht="11.25" customHeight="1">
      <c r="A31" s="10" t="s">
        <v>24</v>
      </c>
      <c r="B31" s="59">
        <f>COUNTIFS(Jan!$B:$B,2083,Jan!$J:$J,30)</f>
        <v>0</v>
      </c>
      <c r="C31" s="59">
        <f>COUNTIFS(Feb!$B:$B,2083,Feb!$J:$J,30)</f>
        <v>0</v>
      </c>
      <c r="D31" s="59">
        <f>COUNTIFS(Mar!$B:$B,2083,Mar!$J:$J,30)</f>
        <v>0</v>
      </c>
      <c r="E31" s="59">
        <f>COUNTIFS(Apr!$B:$B,2083,Apr!$J:$J,30)</f>
        <v>0</v>
      </c>
      <c r="F31" s="59">
        <f>COUNTIFS(May!$B:$B,2083,May!$J:$J,30)</f>
        <v>0</v>
      </c>
      <c r="G31" s="59">
        <f>COUNTIFS(Jun!$B:$B,2083,Jun!$J:$J,30)</f>
        <v>0</v>
      </c>
      <c r="H31" s="59">
        <f>COUNTIFS(Jul!$B:$B,2083,Jul!$J:$J,30)</f>
        <v>0</v>
      </c>
      <c r="I31" s="59">
        <f>COUNTIFS(Aug!$B:$B,2083,Aug!$J:$J,30)</f>
        <v>0</v>
      </c>
      <c r="J31" s="59">
        <f>COUNTIFS(Sep!$B:$B,2083,Sep!$J:$J,30)</f>
        <v>0</v>
      </c>
      <c r="K31" s="59">
        <f>COUNTIFS(Oct!$B:$B,2083,Oct!$J:$J,30)</f>
        <v>0</v>
      </c>
      <c r="L31" s="59">
        <f>COUNTIFS(Nov!$B:$B,2083,Nov!$J:$J,30)</f>
        <v>0</v>
      </c>
      <c r="M31" s="59">
        <v>0</v>
      </c>
    </row>
    <row r="32" spans="1:17" s="14" customFormat="1" ht="11.25" customHeight="1" thickBot="1">
      <c r="A32" s="2" t="s">
        <v>140</v>
      </c>
      <c r="B32" s="60">
        <f>SUM(B25:B31)</f>
        <v>12</v>
      </c>
      <c r="C32" s="60">
        <f t="shared" ref="C32:M32" si="10">SUM(C25:C31)</f>
        <v>9</v>
      </c>
      <c r="D32" s="60">
        <f>SUM(D25:D31)</f>
        <v>17</v>
      </c>
      <c r="E32" s="60">
        <f>SUM(E25:E31)</f>
        <v>13</v>
      </c>
      <c r="F32" s="60">
        <f>SUM(F25:F31)</f>
        <v>10</v>
      </c>
      <c r="G32" s="60">
        <f>SUM(G25:G31)</f>
        <v>10</v>
      </c>
      <c r="H32" s="60">
        <f t="shared" si="10"/>
        <v>19</v>
      </c>
      <c r="I32" s="60">
        <f t="shared" si="10"/>
        <v>10</v>
      </c>
      <c r="J32" s="60">
        <f t="shared" si="10"/>
        <v>15</v>
      </c>
      <c r="K32" s="60">
        <f t="shared" si="10"/>
        <v>10</v>
      </c>
      <c r="L32" s="159">
        <f t="shared" si="10"/>
        <v>7</v>
      </c>
      <c r="M32" s="170">
        <f t="shared" si="10"/>
        <v>13</v>
      </c>
    </row>
    <row r="33" spans="1:13" ht="12" customHeight="1" thickBot="1">
      <c r="A33" s="55" t="s">
        <v>136</v>
      </c>
      <c r="B33" s="50">
        <v>41275</v>
      </c>
      <c r="C33" s="47">
        <v>41306</v>
      </c>
      <c r="D33" s="47">
        <v>41334</v>
      </c>
      <c r="E33" s="47">
        <v>41365</v>
      </c>
      <c r="F33" s="47">
        <v>41395</v>
      </c>
      <c r="G33" s="47">
        <v>41426</v>
      </c>
      <c r="H33" s="47">
        <v>41456</v>
      </c>
      <c r="I33" s="47">
        <v>41487</v>
      </c>
      <c r="J33" s="47">
        <v>41518</v>
      </c>
      <c r="K33" s="47">
        <v>41548</v>
      </c>
      <c r="L33" s="47">
        <v>41579</v>
      </c>
      <c r="M33" s="51">
        <v>41609</v>
      </c>
    </row>
    <row r="34" spans="1:13" s="8" customFormat="1" ht="11.25" customHeight="1">
      <c r="A34" s="46" t="s">
        <v>33</v>
      </c>
      <c r="B34" s="57">
        <f>COUNTIFS(Jan!$B:$B,2083,Jan!$J:$J,40)</f>
        <v>0</v>
      </c>
      <c r="C34" s="57">
        <f>COUNTIFS(Feb!$B:$B,2083,Feb!$J:$J,40)</f>
        <v>0</v>
      </c>
      <c r="D34" s="57">
        <f>COUNTIFS(Mar!$B:$B,2083,Mar!$J:$J,40)</f>
        <v>0</v>
      </c>
      <c r="E34" s="57">
        <f>COUNTIFS(Apr!$B:$B,2083,Apr!$J:$J,40)</f>
        <v>0</v>
      </c>
      <c r="F34" s="57">
        <f>COUNTIFS(May!$B:$B,2083,May!$J:$J,40)</f>
        <v>0</v>
      </c>
      <c r="G34" s="57">
        <f>COUNTIFS(Jun!$B:$B,2083,Jun!$J:$J,40)</f>
        <v>0</v>
      </c>
      <c r="H34" s="57">
        <f>COUNTIFS(Jul!$B:$B,2083,Jul!$J:$J,40)</f>
        <v>0</v>
      </c>
      <c r="I34" s="57">
        <f>COUNTIFS(Aug!$B:$B,2083,Aug!$J:$J,40)</f>
        <v>0</v>
      </c>
      <c r="J34" s="57">
        <v>1</v>
      </c>
      <c r="K34" s="57">
        <v>1</v>
      </c>
      <c r="L34" s="57">
        <f>COUNTIFS(Nov!$B:$B,2083,Nov!$J:$J,40)</f>
        <v>0</v>
      </c>
      <c r="M34" s="57">
        <v>0</v>
      </c>
    </row>
    <row r="35" spans="1:13" s="8" customFormat="1" ht="11.25" customHeight="1">
      <c r="A35" s="10" t="s">
        <v>4</v>
      </c>
      <c r="B35" s="59">
        <f>COUNTIFS(Jan!$B:$B,2083,Jan!$J:$J,15)</f>
        <v>1</v>
      </c>
      <c r="C35" s="59">
        <f>COUNTIFS(Feb!$B:$B,2083,Feb!$J:$J,15)</f>
        <v>0</v>
      </c>
      <c r="D35" s="59">
        <f>COUNTIFS(Mar!$B:$B,2083,Mar!$J:$J,15)</f>
        <v>0</v>
      </c>
      <c r="E35" s="59">
        <v>2</v>
      </c>
      <c r="F35" s="59">
        <f>COUNTIFS(May!$B:$B,2083,May!$J:$J,15)</f>
        <v>0</v>
      </c>
      <c r="G35" s="59">
        <v>1</v>
      </c>
      <c r="H35" s="59">
        <v>3</v>
      </c>
      <c r="I35" s="59">
        <f>COUNTIFS(Aug!$B:$B,2083,Aug!$J:$J,15)</f>
        <v>0</v>
      </c>
      <c r="J35" s="59">
        <v>1</v>
      </c>
      <c r="K35" s="59">
        <f>COUNTIFS(Oct!$B:$B,2083,Oct!$J:$J,15)</f>
        <v>0</v>
      </c>
      <c r="L35" s="59">
        <f>COUNTIFS(Nov!$B:$B,2083,Nov!$J:$J,15)</f>
        <v>0</v>
      </c>
      <c r="M35" s="59">
        <v>0</v>
      </c>
    </row>
    <row r="36" spans="1:13" s="8" customFormat="1" ht="11.25" customHeight="1">
      <c r="A36" s="10" t="s">
        <v>39</v>
      </c>
      <c r="B36" s="59">
        <f>COUNTIFS(Jan!$B:$B,2083,Jan!$J:$J,29)</f>
        <v>1</v>
      </c>
      <c r="C36" s="59">
        <v>3</v>
      </c>
      <c r="D36" s="59">
        <v>2</v>
      </c>
      <c r="E36" s="59">
        <v>2</v>
      </c>
      <c r="F36" s="59">
        <v>2</v>
      </c>
      <c r="G36" s="59">
        <v>2</v>
      </c>
      <c r="H36" s="59">
        <f>COUNTIFS(Jul!$B:$B,2083,Jul!$J:$J,29)</f>
        <v>0</v>
      </c>
      <c r="I36" s="59">
        <v>4</v>
      </c>
      <c r="J36" s="59">
        <v>1</v>
      </c>
      <c r="K36" s="59">
        <v>5</v>
      </c>
      <c r="L36" s="59">
        <v>2</v>
      </c>
      <c r="M36" s="59">
        <v>2</v>
      </c>
    </row>
    <row r="37" spans="1:13" s="8" customFormat="1" ht="11.25" customHeight="1">
      <c r="A37" s="10" t="s">
        <v>3</v>
      </c>
      <c r="B37" s="59">
        <f>COUNTIFS(Jan!$B:$B,2083,Jan!$J:$J,13)</f>
        <v>0</v>
      </c>
      <c r="C37" s="59">
        <f>COUNTIFS(Feb!$B:$B,2083,Feb!$J:$J,13)</f>
        <v>0</v>
      </c>
      <c r="D37" s="59">
        <f>COUNTIFS(Mar!$B:$B,2083,Mar!$J:$J,13)</f>
        <v>0</v>
      </c>
      <c r="E37" s="59">
        <f>COUNTIFS(Apr!$B:$B,2083,Apr!$J:$J,13)</f>
        <v>0</v>
      </c>
      <c r="F37" s="59">
        <f>COUNTIFS(May!$B:$B,2083,May!$J:$J,13)</f>
        <v>0</v>
      </c>
      <c r="G37" s="59">
        <f>COUNTIFS(Jun!$B:$B,2083,Jun!$J:$J,13)</f>
        <v>0</v>
      </c>
      <c r="H37" s="59">
        <v>1</v>
      </c>
      <c r="I37" s="59">
        <f>COUNTIFS(Aug!$B:$B,2083,Aug!$J:$J,13)</f>
        <v>0</v>
      </c>
      <c r="J37" s="59">
        <f>COUNTIFS(Sep!$B:$B,2083,Sep!$J:$J,13)</f>
        <v>0</v>
      </c>
      <c r="K37" s="59">
        <f>COUNTIFS(Oct!$B:$B,2083,Oct!$J:$J,13)</f>
        <v>0</v>
      </c>
      <c r="L37" s="59">
        <f>COUNTIFS(Nov!$B:$B,2083,Nov!$J:$J,13)</f>
        <v>0</v>
      </c>
      <c r="M37" s="59">
        <v>0</v>
      </c>
    </row>
    <row r="38" spans="1:13" s="8" customFormat="1" ht="11.25" customHeight="1">
      <c r="A38" s="9" t="s">
        <v>218</v>
      </c>
      <c r="B38" s="59">
        <f>COUNTIFS(Jan!$B:$B,2083,Jan!$J:$J,43)</f>
        <v>8</v>
      </c>
      <c r="C38" s="59">
        <v>9</v>
      </c>
      <c r="D38" s="59">
        <v>12</v>
      </c>
      <c r="E38" s="59">
        <v>4</v>
      </c>
      <c r="F38" s="59">
        <v>6</v>
      </c>
      <c r="G38" s="59">
        <v>3</v>
      </c>
      <c r="H38" s="59">
        <v>10</v>
      </c>
      <c r="I38" s="59">
        <v>8</v>
      </c>
      <c r="J38" s="59">
        <v>9</v>
      </c>
      <c r="K38" s="59">
        <v>3</v>
      </c>
      <c r="L38" s="59">
        <v>3</v>
      </c>
      <c r="M38" s="59">
        <v>8</v>
      </c>
    </row>
    <row r="39" spans="1:13" s="8" customFormat="1" ht="11.25" customHeight="1">
      <c r="A39" s="10" t="s">
        <v>25</v>
      </c>
      <c r="B39" s="59">
        <f>COUNTIFS(Jan!$B:$B,2083,Jan!$J:$J,24)</f>
        <v>1</v>
      </c>
      <c r="C39" s="59">
        <f>COUNTIFS(Feb!$B:$B,2083,Feb!$J:$J,24)</f>
        <v>0</v>
      </c>
      <c r="D39" s="59">
        <v>4</v>
      </c>
      <c r="E39" s="59">
        <v>2</v>
      </c>
      <c r="F39" s="59">
        <v>2</v>
      </c>
      <c r="G39" s="59">
        <v>1</v>
      </c>
      <c r="H39" s="59">
        <f>COUNTIFS(Jul!$B:$B,2083,Jul!$J:$J,24)</f>
        <v>0</v>
      </c>
      <c r="I39" s="59">
        <v>4</v>
      </c>
      <c r="J39" s="59">
        <f>COUNTIFS(Sep!$B:$B,2083,Sep!$J:$J,24)</f>
        <v>0</v>
      </c>
      <c r="K39" s="59">
        <v>4</v>
      </c>
      <c r="L39" s="59">
        <v>3</v>
      </c>
      <c r="M39" s="59">
        <v>5</v>
      </c>
    </row>
    <row r="40" spans="1:13" s="8" customFormat="1" ht="11.25" customHeight="1">
      <c r="A40" s="10" t="s">
        <v>34</v>
      </c>
      <c r="B40" s="59">
        <f>COUNTIFS(Jan!$B:$B,2083,Jan!$J:$J,9)</f>
        <v>0</v>
      </c>
      <c r="C40" s="59">
        <f>COUNTIFS(Feb!$B:$B,2083,Feb!$J:$J,9)</f>
        <v>0</v>
      </c>
      <c r="D40" s="59">
        <f>COUNTIFS(Mar!$B:$B,2083,Mar!$J:$J,9)</f>
        <v>0</v>
      </c>
      <c r="E40" s="59">
        <f>COUNTIFS(Apr!$B:$B,2083,Apr!$J:$J,9)</f>
        <v>0</v>
      </c>
      <c r="F40" s="59">
        <f>COUNTIFS(May!$B:$B,2083,May!$J:$J,9)</f>
        <v>0</v>
      </c>
      <c r="G40" s="59">
        <f>COUNTIFS(Jun!$B:$B,2083,Jun!$J:$J,9)</f>
        <v>0</v>
      </c>
      <c r="H40" s="59">
        <f>COUNTIFS(Jul!$B:$B,2083,Jul!$J:$J,9)</f>
        <v>0</v>
      </c>
      <c r="I40" s="59">
        <f>COUNTIFS(Aug!$B:$B,2083,Aug!$J:$J,9)</f>
        <v>0</v>
      </c>
      <c r="J40" s="59">
        <f>COUNTIFS(Sep!$B:$B,2083,Sep!$J:$J,9)</f>
        <v>0</v>
      </c>
      <c r="K40" s="59">
        <f>COUNTIFS(Oct!$B:$B,2083,Oct!$J:$J,9)</f>
        <v>0</v>
      </c>
      <c r="L40" s="59">
        <f>COUNTIFS(Nov!$B:$B,2083,Nov!$J:$J,9)</f>
        <v>0</v>
      </c>
      <c r="M40" s="59">
        <v>0</v>
      </c>
    </row>
    <row r="41" spans="1:13" s="8" customFormat="1" ht="11.25" customHeight="1">
      <c r="A41" s="10" t="s">
        <v>31</v>
      </c>
      <c r="B41" s="59">
        <f>COUNTIFS(Jan!$B:$B,2083,Jan!$J:$J,10)</f>
        <v>1</v>
      </c>
      <c r="C41" s="59">
        <f>COUNTIFS(Feb!$B:$B,2083,Feb!$J:$J,10)</f>
        <v>0</v>
      </c>
      <c r="D41" s="59">
        <f>COUNTIFS(Mar!$B:$B,2083,Mar!$J:$J,10)</f>
        <v>0</v>
      </c>
      <c r="E41" s="59">
        <v>2</v>
      </c>
      <c r="F41" s="59">
        <v>1</v>
      </c>
      <c r="G41" s="59">
        <f>COUNTIFS(Jun!$B:$B,2083,Jun!$J:$J,10)</f>
        <v>0</v>
      </c>
      <c r="H41" s="59">
        <v>1</v>
      </c>
      <c r="I41" s="59">
        <v>2</v>
      </c>
      <c r="J41" s="59">
        <f>COUNTIFS(Sep!$B:$B,2083,Sep!$J:$J,10)</f>
        <v>0</v>
      </c>
      <c r="K41" s="59">
        <f>COUNTIFS(Oct!$B:$B,2083,Oct!$J:$J,10)</f>
        <v>0</v>
      </c>
      <c r="L41" s="59">
        <v>1</v>
      </c>
      <c r="M41" s="59">
        <v>0</v>
      </c>
    </row>
    <row r="42" spans="1:13" s="8" customFormat="1" ht="11.25" customHeight="1">
      <c r="A42" s="10" t="s">
        <v>144</v>
      </c>
      <c r="B42" s="59">
        <f>COUNTIFS(Jan!$B:$B,2083,Jan!$F:$F,462)</f>
        <v>0</v>
      </c>
      <c r="C42" s="59">
        <f>COUNTIFS(Feb!$B:$B,2083,Feb!$F:$F,462)</f>
        <v>0</v>
      </c>
      <c r="D42" s="59">
        <f>COUNTIFS(Mar!$B:$B,2083,Mar!$F:$F,462)</f>
        <v>0</v>
      </c>
      <c r="E42" s="59">
        <f>COUNTIFS(Apr!$B:$B,2083,Apr!$F:$F,462)</f>
        <v>0</v>
      </c>
      <c r="F42" s="59">
        <f>COUNTIFS(May!$B:$B,2083,May!$F:$F,462)</f>
        <v>0</v>
      </c>
      <c r="G42" s="59">
        <f>COUNTIFS(Jun!$B:$B,2083,Jun!$F:$F,462)</f>
        <v>0</v>
      </c>
      <c r="H42" s="59">
        <f>COUNTIFS(Jul!$B:$B,2083,Jul!$F:$F,462)</f>
        <v>0</v>
      </c>
      <c r="I42" s="59">
        <f>COUNTIFS(Aug!$B:$B,2083,Aug!$F:$F,462)</f>
        <v>0</v>
      </c>
      <c r="J42" s="59">
        <f>COUNTIFS(Sep!$B:$B,2083,Sep!$F:$F,462)</f>
        <v>0</v>
      </c>
      <c r="K42" s="59">
        <f>COUNTIFS(Oct!$B:$B,2083,Oct!$F:$F,462)</f>
        <v>0</v>
      </c>
      <c r="L42" s="59">
        <f>COUNTIFS(Nov!$B:$B,2083,Nov!$F:$F,462)</f>
        <v>0</v>
      </c>
      <c r="M42" s="59">
        <v>0</v>
      </c>
    </row>
    <row r="43" spans="1:13" s="8" customFormat="1" ht="11.25" customHeight="1">
      <c r="A43" s="10" t="s">
        <v>1</v>
      </c>
      <c r="B43" s="59">
        <f>COUNTIFS(Jan!$B:$B,2083,Jan!$J:$J,11)</f>
        <v>3</v>
      </c>
      <c r="C43" s="59">
        <v>4</v>
      </c>
      <c r="D43" s="59">
        <v>1</v>
      </c>
      <c r="E43" s="59">
        <v>1</v>
      </c>
      <c r="F43" s="59">
        <f>COUNTIFS(May!$B:$B,2083,May!$J:$J,11)</f>
        <v>0</v>
      </c>
      <c r="G43" s="59">
        <v>4</v>
      </c>
      <c r="H43" s="59">
        <v>2</v>
      </c>
      <c r="I43" s="59">
        <v>5</v>
      </c>
      <c r="J43" s="59">
        <v>3</v>
      </c>
      <c r="K43" s="59">
        <v>2</v>
      </c>
      <c r="L43" s="59">
        <f>COUNTIFS(Nov!$B:$B,2083,Nov!$J:$J,11)</f>
        <v>0</v>
      </c>
      <c r="M43" s="59">
        <v>3</v>
      </c>
    </row>
    <row r="44" spans="1:13" s="8" customFormat="1" ht="11.25" customHeight="1">
      <c r="A44" s="10" t="s">
        <v>26</v>
      </c>
      <c r="B44" s="59">
        <f>COUNTIFS(Jan!$B:$B,2083,Jan!$J:$J,20)</f>
        <v>0</v>
      </c>
      <c r="C44" s="59">
        <f>COUNTIFS(Feb!$B:$B,2083,Feb!$J:$J,20)</f>
        <v>0</v>
      </c>
      <c r="D44" s="59">
        <f>COUNTIFS(Mar!$B:$B,2083,Mar!$J:$J,20)</f>
        <v>0</v>
      </c>
      <c r="E44" s="59">
        <f>COUNTIFS(Apr!$B:$B,2083,Apr!$J:$J,20)</f>
        <v>0</v>
      </c>
      <c r="F44" s="59">
        <f>COUNTIFS(May!$B:$B,2083,May!$J:$J,20)</f>
        <v>0</v>
      </c>
      <c r="G44" s="59">
        <f>COUNTIFS(Jun!$B:$B,2083,Jun!$J:$J,20)</f>
        <v>0</v>
      </c>
      <c r="H44" s="59">
        <f>COUNTIFS(Jul!$B:$B,2083,Jul!$J:$J,20)</f>
        <v>0</v>
      </c>
      <c r="I44" s="59">
        <f>COUNTIFS(Aug!$B:$B,2083,Aug!$J:$J,20)</f>
        <v>0</v>
      </c>
      <c r="J44" s="59">
        <f>COUNTIFS(Sep!$B:$B,2083,Sep!$J:$J,20)</f>
        <v>0</v>
      </c>
      <c r="K44" s="59">
        <f>COUNTIFS(Oct!$B:$B,2083,Oct!$J:$J,20)</f>
        <v>0</v>
      </c>
      <c r="L44" s="59">
        <f>COUNTIFS(Nov!$B:$B,2083,Nov!$J:$J,20)</f>
        <v>0</v>
      </c>
      <c r="M44" s="59">
        <v>0</v>
      </c>
    </row>
    <row r="45" spans="1:13" s="8" customFormat="1" ht="11.25" customHeight="1">
      <c r="A45" s="10" t="s">
        <v>32</v>
      </c>
      <c r="B45" s="59">
        <f>COUNTIFS(Jan!$B:$B,2083,Jan!$J:$J,2)</f>
        <v>4</v>
      </c>
      <c r="C45" s="59">
        <f>COUNTIFS(Feb!$B:$B,2083,Feb!$J:$J,2)</f>
        <v>0</v>
      </c>
      <c r="D45" s="59">
        <v>1</v>
      </c>
      <c r="E45" s="59">
        <v>4</v>
      </c>
      <c r="F45" s="59">
        <v>3</v>
      </c>
      <c r="G45" s="59">
        <v>4</v>
      </c>
      <c r="H45" s="59">
        <v>6</v>
      </c>
      <c r="I45" s="59">
        <v>3</v>
      </c>
      <c r="J45" s="59">
        <v>6</v>
      </c>
      <c r="K45" s="59">
        <v>1</v>
      </c>
      <c r="L45" s="59">
        <v>4</v>
      </c>
      <c r="M45" s="59">
        <v>2</v>
      </c>
    </row>
    <row r="46" spans="1:13" s="8" customFormat="1" ht="11.25" customHeight="1">
      <c r="A46" s="10" t="s">
        <v>28</v>
      </c>
      <c r="B46" s="59">
        <f>COUNTIFS(Jan!$B:$B,2083,Jan!$J:$J,1700)+COUNTIFS(Jan!$B:$B,2083,Jan!$F:$F,1700)+COUNTIFS(Jan!$B:$B,2083,Jan!$J:$J,19)</f>
        <v>0</v>
      </c>
      <c r="C46" s="59">
        <f>COUNTIFS(Feb!$B:$B,2083,Feb!$J:$J,1700)+COUNTIFS(Feb!$B:$B,2083,Feb!$F:$F,1700)+COUNTIFS(Feb!$B:$B,2083,Feb!$J:$J,19)</f>
        <v>0</v>
      </c>
      <c r="D46" s="59">
        <f>COUNTIFS(Mar!$B:$B,2083,Mar!$J:$J,1700)+COUNTIFS(Mar!$B:$B,2083,Mar!$F:$F,1700)+COUNTIFS(Mar!$B:$B,2083,Mar!$J:$J,19)</f>
        <v>0</v>
      </c>
      <c r="E46" s="59">
        <f>COUNTIFS(Apr!$B:$B,2083,Apr!$J:$J,1700)+COUNTIFS(Apr!$B:$B,2083,Apr!$F:$F,1700)+COUNTIFS(Apr!$B:$B,2083,Apr!$J:$J,19)</f>
        <v>0</v>
      </c>
      <c r="F46" s="59">
        <f>COUNTIFS(May!$B:$B,2083,May!$J:$J,1700)+COUNTIFS(May!$B:$B,2083,May!$F:$F,1700)+COUNTIFS(May!$B:$B,2083,May!$J:$J,19)</f>
        <v>0</v>
      </c>
      <c r="G46" s="59">
        <f>COUNTIFS(Jun!$B:$B,2083,Jun!$J:$J,1700)+COUNTIFS(Jun!$B:$B,2083,Jun!$F:$F,1700)+COUNTIFS(Jun!$B:$B,2083,Jun!$J:$J,19)</f>
        <v>0</v>
      </c>
      <c r="H46" s="59">
        <f>COUNTIFS(Jul!$B:$B,2083,Jul!$J:$J,1700)+COUNTIFS(Jul!$B:$B,2083,Jul!$F:$F,1700)+COUNTIFS(Jul!$B:$B,2083,Jul!$J:$J,19)</f>
        <v>0</v>
      </c>
      <c r="I46" s="59">
        <v>1</v>
      </c>
      <c r="J46" s="59">
        <f>COUNTIFS(Sep!$B:$B,2083,Sep!$J:$J,1700)+COUNTIFS(Sep!$B:$B,2083,Sep!$F:$F,1700)+COUNTIFS(Sep!$B:$B,2083,Sep!$J:$J,19)</f>
        <v>0</v>
      </c>
      <c r="K46" s="59">
        <f>COUNTIFS(Oct!$B:$B,2083,Oct!$J:$J,1700)+COUNTIFS(Oct!$B:$B,2083,Oct!$F:$F,1700)+COUNTIFS(Oct!$B:$B,2083,Oct!$J:$J,19)</f>
        <v>0</v>
      </c>
      <c r="L46" s="59">
        <f>COUNTIFS(Nov!$B:$B,2083,Nov!$J:$J,1700)+COUNTIFS(Nov!$B:$B,2083,Nov!$F:$F,1700)+COUNTIFS(Nov!$B:$B,2083,Nov!$J:$J,19)</f>
        <v>0</v>
      </c>
      <c r="M46" s="59">
        <v>0</v>
      </c>
    </row>
    <row r="47" spans="1:13" s="8" customFormat="1" ht="11.25" customHeight="1">
      <c r="A47" s="10" t="s">
        <v>0</v>
      </c>
      <c r="B47" s="59">
        <f>COUNTIFS(Jan!$B:$B,2083,Jan!$J:$J,3)</f>
        <v>0</v>
      </c>
      <c r="C47" s="59">
        <v>1</v>
      </c>
      <c r="D47" s="59">
        <f>COUNTIFS(Mar!$B:$B,2083,Mar!$J:$J,3)</f>
        <v>0</v>
      </c>
      <c r="E47" s="59">
        <f>COUNTIFS(Apr!$B:$B,2083,Apr!$J:$J,3)</f>
        <v>0</v>
      </c>
      <c r="F47" s="59">
        <f>COUNTIFS(May!$B:$B,2083,May!$J:$J,3)</f>
        <v>0</v>
      </c>
      <c r="G47" s="59">
        <v>1</v>
      </c>
      <c r="H47" s="59">
        <v>1</v>
      </c>
      <c r="I47" s="59">
        <v>3</v>
      </c>
      <c r="J47" s="59">
        <v>1</v>
      </c>
      <c r="K47" s="59">
        <f>COUNTIFS(Oct!$B:$B,2083,Oct!$J:$J,3)</f>
        <v>0</v>
      </c>
      <c r="L47" s="59">
        <v>2</v>
      </c>
      <c r="M47" s="59">
        <v>1</v>
      </c>
    </row>
    <row r="48" spans="1:13" s="8" customFormat="1" ht="11.25" customHeight="1">
      <c r="A48" s="10" t="s">
        <v>35</v>
      </c>
      <c r="B48" s="59">
        <f>COUNTIFS(Jan!$B:$B,2083,Jan!$J:$J,7400)</f>
        <v>0</v>
      </c>
      <c r="C48" s="59">
        <f>COUNTIFS(Feb!$B:$B,2083,Feb!$J:$J,7400)</f>
        <v>0</v>
      </c>
      <c r="D48" s="59">
        <f>COUNTIFS(Mar!$B:$B,2083,Mar!$J:$J,7400)</f>
        <v>0</v>
      </c>
      <c r="E48" s="59">
        <f>COUNTIFS(Apr!$B:$B,2083,Apr!$J:$J,7400)</f>
        <v>0</v>
      </c>
      <c r="F48" s="59">
        <v>1</v>
      </c>
      <c r="G48" s="59">
        <f>COUNTIFS(Jun!$B:$B,2083,Jun!$J:$J,7400)</f>
        <v>0</v>
      </c>
      <c r="H48" s="59">
        <f>COUNTIFS(Jul!$B:$B,2083,Jul!$J:$J,7400)</f>
        <v>0</v>
      </c>
      <c r="I48" s="59">
        <f>COUNTIFS(Aug!$B:$B,2083,Aug!$J:$J,7400)</f>
        <v>0</v>
      </c>
      <c r="J48" s="59">
        <f>COUNTIFS(Sep!$B:$B,2083,Sep!$J:$J,7400)</f>
        <v>0</v>
      </c>
      <c r="K48" s="59">
        <f>COUNTIFS(Oct!$B:$B,2083,Oct!$J:$J,7400)</f>
        <v>0</v>
      </c>
      <c r="L48" s="59">
        <f>COUNTIFS(Nov!$B:$B,2083,Nov!$J:$J,7400)</f>
        <v>0</v>
      </c>
      <c r="M48" s="59">
        <v>0</v>
      </c>
    </row>
    <row r="49" spans="1:13" s="8" customFormat="1" ht="11.25" customHeight="1">
      <c r="A49" s="10" t="s">
        <v>2</v>
      </c>
      <c r="B49" s="59">
        <f>COUNTIFS(Jan!$B:$B,2083,Jan!$J:$J,14)</f>
        <v>0</v>
      </c>
      <c r="C49" s="59">
        <f>COUNTIFS(Feb!$B:$B,2083,Feb!$J:$J,14)</f>
        <v>0</v>
      </c>
      <c r="D49" s="59">
        <f>COUNTIFS(Mar!$B:$B,2083,Mar!$J:$J,14)</f>
        <v>0</v>
      </c>
      <c r="E49" s="59">
        <v>1</v>
      </c>
      <c r="F49" s="59">
        <f>COUNTIFS(May!$B:$B,2083,May!$J:$J,14)</f>
        <v>0</v>
      </c>
      <c r="G49" s="59">
        <f>COUNTIFS(Jun!$B:$B,2083,Jun!$J:$J,14)</f>
        <v>0</v>
      </c>
      <c r="H49" s="59">
        <f>COUNTIFS(Jul!$B:$B,2083,Jul!$J:$J,14)</f>
        <v>0</v>
      </c>
      <c r="I49" s="59">
        <v>1</v>
      </c>
      <c r="J49" s="59">
        <f>COUNTIFS(Sep!$B:$B,2083,Sep!$J:$J,14)</f>
        <v>0</v>
      </c>
      <c r="K49" s="59">
        <f>COUNTIFS(Oct!$B:$B,2083,Oct!$J:$J,14)</f>
        <v>0</v>
      </c>
      <c r="L49" s="59">
        <f>COUNTIFS(Nov!$B:$B,2083,Nov!$J:$J,14)</f>
        <v>0</v>
      </c>
      <c r="M49" s="59">
        <v>0</v>
      </c>
    </row>
    <row r="50" spans="1:13" s="8" customFormat="1" ht="11.25" customHeight="1">
      <c r="A50" s="10" t="s">
        <v>142</v>
      </c>
      <c r="B50" s="59">
        <f>COUNTIFS(Jan!$B:$B,2083,Jan!$F:$F,466)</f>
        <v>0</v>
      </c>
      <c r="C50" s="59">
        <f>COUNTIFS(Feb!$B:$B,2083,Feb!$F:$F,466)</f>
        <v>0</v>
      </c>
      <c r="D50" s="59">
        <v>1</v>
      </c>
      <c r="E50" s="59">
        <f>COUNTIFS(Apr!$B:$B,2083,Apr!$F:$F,466)</f>
        <v>0</v>
      </c>
      <c r="F50" s="59">
        <f>COUNTIFS(May!$B:$B,2083,May!$F:$F,466)</f>
        <v>0</v>
      </c>
      <c r="G50" s="59">
        <f>COUNTIFS(Jun!$B:$B,2083,Jun!$F:$F,466)</f>
        <v>0</v>
      </c>
      <c r="H50" s="59">
        <f>COUNTIFS(Jul!$B:$B,2083,Jul!$F:$F,466)</f>
        <v>0</v>
      </c>
      <c r="I50" s="59">
        <f>COUNTIFS(Aug!$B:$B,2083,Aug!$F:$F,466)</f>
        <v>0</v>
      </c>
      <c r="J50" s="59">
        <f>COUNTIFS(Sep!$B:$B,2083,Sep!$F:$F,466)</f>
        <v>0</v>
      </c>
      <c r="K50" s="59">
        <f>COUNTIFS(Oct!$B:$B,2083,Oct!$F:$F,466)</f>
        <v>0</v>
      </c>
      <c r="L50" s="59">
        <f>COUNTIFS(Nov!$B:$B,2083,Nov!$F:$F,466)</f>
        <v>0</v>
      </c>
      <c r="M50" s="59">
        <v>0</v>
      </c>
    </row>
    <row r="51" spans="1:13" s="8" customFormat="1" ht="11.25" customHeight="1">
      <c r="A51" s="10" t="s">
        <v>27</v>
      </c>
      <c r="B51" s="59">
        <f>COUNTIFS(Jan!$B:$B,2083,Jan!$J:$J,25)</f>
        <v>0</v>
      </c>
      <c r="C51" s="59">
        <f>COUNTIFS(Feb!$B:$B,2083,Feb!$J:$J,25)</f>
        <v>0</v>
      </c>
      <c r="D51" s="59">
        <f>COUNTIFS(Mar!$B:$B,2083,Mar!$J:$J,25)</f>
        <v>0</v>
      </c>
      <c r="E51" s="59">
        <f>COUNTIFS(Apr!$B:$B,2083,Apr!$J:$J,25)</f>
        <v>0</v>
      </c>
      <c r="F51" s="59">
        <f>COUNTIFS(May!$B:$B,2083,May!$J:$J,25)</f>
        <v>0</v>
      </c>
      <c r="G51" s="59">
        <f>COUNTIFS(Jun!$B:$B,2083,Jun!$J:$J,25)</f>
        <v>0</v>
      </c>
      <c r="H51" s="59">
        <f>COUNTIFS(Jul!$B:$B,2083,Jul!$J:$J,25)</f>
        <v>0</v>
      </c>
      <c r="I51" s="59">
        <f>COUNTIFS(Aug!$B:$B,2083,Aug!$J:$J,25)</f>
        <v>0</v>
      </c>
      <c r="J51" s="59">
        <f>COUNTIFS(Sep!$B:$B,2083,Sep!$J:$J,25)</f>
        <v>0</v>
      </c>
      <c r="K51" s="59">
        <f>COUNTIFS(Oct!$B:$B,2083,Oct!$J:$J,25)</f>
        <v>0</v>
      </c>
      <c r="L51" s="59">
        <f>COUNTIFS(Nov!$B:$B,2083,Nov!$J:$J,25)</f>
        <v>0</v>
      </c>
      <c r="M51" s="59">
        <v>0</v>
      </c>
    </row>
    <row r="52" spans="1:13" s="8" customFormat="1" ht="11.25" customHeight="1" thickBot="1">
      <c r="A52" s="11" t="s">
        <v>16</v>
      </c>
      <c r="B52" s="60">
        <f t="shared" ref="B52:G52" si="11">SUM(B34:B51)</f>
        <v>19</v>
      </c>
      <c r="C52" s="60">
        <f t="shared" si="11"/>
        <v>17</v>
      </c>
      <c r="D52" s="60">
        <f t="shared" si="11"/>
        <v>21</v>
      </c>
      <c r="E52" s="60">
        <f t="shared" si="11"/>
        <v>18</v>
      </c>
      <c r="F52" s="60">
        <f t="shared" si="11"/>
        <v>15</v>
      </c>
      <c r="G52" s="60">
        <f t="shared" si="11"/>
        <v>16</v>
      </c>
      <c r="H52" s="60">
        <f t="shared" ref="H52:M52" si="12">SUM(H34:H51)</f>
        <v>24</v>
      </c>
      <c r="I52" s="60">
        <f t="shared" si="12"/>
        <v>31</v>
      </c>
      <c r="J52" s="60">
        <f t="shared" si="12"/>
        <v>22</v>
      </c>
      <c r="K52" s="60">
        <f t="shared" si="12"/>
        <v>16</v>
      </c>
      <c r="L52" s="159">
        <f t="shared" si="12"/>
        <v>15</v>
      </c>
      <c r="M52" s="170">
        <f t="shared" si="12"/>
        <v>21</v>
      </c>
    </row>
    <row r="53" spans="1:13" ht="12" customHeight="1" thickBot="1">
      <c r="A53" s="55" t="s">
        <v>137</v>
      </c>
      <c r="B53" s="50">
        <v>41275</v>
      </c>
      <c r="C53" s="47">
        <v>41306</v>
      </c>
      <c r="D53" s="47">
        <v>41334</v>
      </c>
      <c r="E53" s="47">
        <v>41365</v>
      </c>
      <c r="F53" s="47">
        <v>41395</v>
      </c>
      <c r="G53" s="47">
        <v>41426</v>
      </c>
      <c r="H53" s="47">
        <v>41456</v>
      </c>
      <c r="I53" s="47">
        <v>41487</v>
      </c>
      <c r="J53" s="47">
        <v>41518</v>
      </c>
      <c r="K53" s="47">
        <v>41548</v>
      </c>
      <c r="L53" s="47">
        <v>41579</v>
      </c>
      <c r="M53" s="51">
        <v>41609</v>
      </c>
    </row>
    <row r="54" spans="1:13" s="8" customFormat="1" ht="11.25" customHeight="1">
      <c r="A54" s="10" t="s">
        <v>30</v>
      </c>
      <c r="B54" s="57">
        <f>COUNTIFS(Jan!$B:$B,2083,Jan!$J:$J,7)</f>
        <v>0</v>
      </c>
      <c r="C54" s="57">
        <f>COUNTIFS(Feb!$B:$B,2083,Feb!$J:$J,7)</f>
        <v>0</v>
      </c>
      <c r="D54" s="57">
        <v>1</v>
      </c>
      <c r="E54" s="57">
        <v>1</v>
      </c>
      <c r="F54" s="57">
        <f>COUNTIFS(May!$B:$B,2083,May!$J:$J,7)</f>
        <v>0</v>
      </c>
      <c r="G54" s="57">
        <f>COUNTIFS(Jun!$B:$B,2083,Jun!$J:$J,7)</f>
        <v>0</v>
      </c>
      <c r="H54" s="57">
        <v>1</v>
      </c>
      <c r="I54" s="57">
        <f>COUNTIFS(Aug!$B:$B,2083,Aug!$J:$J,7)</f>
        <v>0</v>
      </c>
      <c r="J54" s="57">
        <f>COUNTIFS(Sep!$B:$B,2083,Sep!$J:$J,7)</f>
        <v>0</v>
      </c>
      <c r="K54" s="57">
        <f>COUNTIFS(Oct!$B:$B,2083,Oct!$J:$J,7)</f>
        <v>0</v>
      </c>
      <c r="L54" s="57">
        <v>1</v>
      </c>
      <c r="M54" s="57">
        <v>1</v>
      </c>
    </row>
    <row r="55" spans="1:13" s="8" customFormat="1" ht="11.25" customHeight="1">
      <c r="A55" s="10" t="s">
        <v>29</v>
      </c>
      <c r="B55" s="59">
        <f>COUNTIFS(Jan!$B:$B,2083,Jan!$J:$J,8)</f>
        <v>0</v>
      </c>
      <c r="C55" s="59">
        <f>COUNTIFS(Feb!$B:$B,2083,Feb!$J:$J,8)</f>
        <v>0</v>
      </c>
      <c r="D55" s="59">
        <f>COUNTIFS(Mar!$B:$B,2083,Mar!$J:$J,8)</f>
        <v>0</v>
      </c>
      <c r="E55" s="59">
        <f>COUNTIFS(Apr!$B:$B,2083,Apr!$J:$J,8)</f>
        <v>0</v>
      </c>
      <c r="F55" s="59">
        <f>COUNTIFS(May!$B:$B,2083,May!$J:$J,8)</f>
        <v>0</v>
      </c>
      <c r="G55" s="59">
        <f>COUNTIFS(Jun!$B:$B,2083,Jun!$J:$J,8)</f>
        <v>0</v>
      </c>
      <c r="H55" s="59">
        <f>COUNTIFS(Jul!$B:$B,2083,Jul!$J:$J,8)</f>
        <v>0</v>
      </c>
      <c r="I55" s="59">
        <f>COUNTIFS(Aug!$B:$B,2083,Aug!$J:$J,8)</f>
        <v>0</v>
      </c>
      <c r="J55" s="59">
        <f>COUNTIFS(Sep!$B:$B,2083,Sep!$J:$J,8)</f>
        <v>0</v>
      </c>
      <c r="K55" s="59">
        <f>COUNTIFS(Oct!$B:$B,2083,Oct!$J:$J,8)</f>
        <v>0</v>
      </c>
      <c r="L55" s="59">
        <f>COUNTIFS(Nov!$B:$B,2083,Nov!$J:$J,8)</f>
        <v>0</v>
      </c>
      <c r="M55" s="59">
        <v>0</v>
      </c>
    </row>
    <row r="56" spans="1:13" s="8" customFormat="1" ht="11.25" customHeight="1">
      <c r="A56" s="10" t="s">
        <v>7</v>
      </c>
      <c r="B56" s="59">
        <f>COUNTIFS(Jan!$B:$B,2083,Jan!$J:$J,12)</f>
        <v>0</v>
      </c>
      <c r="C56" s="59">
        <f>COUNTIFS(Feb!$B:$B,2083,Feb!$J:$J,12)</f>
        <v>0</v>
      </c>
      <c r="D56" s="59">
        <f>COUNTIFS(Mar!$B:$B,2083,Mar!$J:$J,12)</f>
        <v>0</v>
      </c>
      <c r="E56" s="59">
        <f>COUNTIFS(Apr!$B:$B,2083,Apr!$J:$J,12)</f>
        <v>0</v>
      </c>
      <c r="F56" s="59">
        <v>1</v>
      </c>
      <c r="G56" s="59">
        <f>COUNTIFS(Jun!$B:$B,2083,Jun!$J:$J,12)</f>
        <v>0</v>
      </c>
      <c r="H56" s="59">
        <v>1</v>
      </c>
      <c r="I56" s="59">
        <v>1</v>
      </c>
      <c r="J56" s="59">
        <v>2</v>
      </c>
      <c r="K56" s="59">
        <f>COUNTIFS(Oct!$B:$B,2083,Oct!$J:$J,12)</f>
        <v>0</v>
      </c>
      <c r="L56" s="59">
        <f>COUNTIFS(Nov!$B:$B,2083,Nov!$J:$J,12)</f>
        <v>0</v>
      </c>
      <c r="M56" s="59">
        <v>0</v>
      </c>
    </row>
    <row r="57" spans="1:13" s="8" customFormat="1" ht="11.25" customHeight="1">
      <c r="A57" s="10" t="s">
        <v>10</v>
      </c>
      <c r="B57" s="59">
        <f>COUNTIFS(Jan!$B:$B,2083,Jan!$J:$J,5100)</f>
        <v>0</v>
      </c>
      <c r="C57" s="59">
        <f>COUNTIFS(Feb!$B:$B,2083,Feb!$J:$J,5100)</f>
        <v>0</v>
      </c>
      <c r="D57" s="59">
        <f>COUNTIFS(Mar!$B:$B,2083,Mar!$J:$J,5100)</f>
        <v>0</v>
      </c>
      <c r="E57" s="59">
        <f>COUNTIFS(Apr!$B:$B,2083,Apr!$J:$J,5100)</f>
        <v>0</v>
      </c>
      <c r="F57" s="59">
        <f>COUNTIFS(May!$B:$B,2083,May!$J:$J,5100)</f>
        <v>0</v>
      </c>
      <c r="G57" s="59">
        <f>COUNTIFS(Jun!$B:$B,2083,Jun!$J:$J,5100)</f>
        <v>0</v>
      </c>
      <c r="H57" s="59">
        <f>COUNTIFS(Jul!$B:$B,2083,Jul!$J:$J,5100)</f>
        <v>0</v>
      </c>
      <c r="I57" s="59">
        <f>COUNTIFS(Aug!$B:$B,2083,Aug!$J:$J,5100)</f>
        <v>0</v>
      </c>
      <c r="J57" s="59">
        <f>COUNTIFS(Sep!$B:$B,2083,Sep!$J:$J,5100)</f>
        <v>0</v>
      </c>
      <c r="K57" s="59">
        <f>COUNTIFS(Oct!$B:$B,2083,Oct!$J:$J,5100)</f>
        <v>0</v>
      </c>
      <c r="L57" s="59">
        <f>COUNTIFS(Nov!$B:$B,2083,Nov!$J:$J,5100)</f>
        <v>0</v>
      </c>
      <c r="M57" s="59">
        <v>0</v>
      </c>
    </row>
    <row r="58" spans="1:13" s="8" customFormat="1" ht="11.25" customHeight="1">
      <c r="A58" s="10" t="s">
        <v>36</v>
      </c>
      <c r="B58" s="59">
        <f>COUNTIFS(Jan!$B:$B,2083,Jan!$J:$J,6200)</f>
        <v>0</v>
      </c>
      <c r="C58" s="59">
        <f>COUNTIFS(Feb!$B:$B,2083,Feb!$J:$J,6200)</f>
        <v>0</v>
      </c>
      <c r="D58" s="59">
        <f>COUNTIFS(Mar!$B:$B,2083,Mar!$J:$J,6200)</f>
        <v>0</v>
      </c>
      <c r="E58" s="59">
        <f>COUNTIFS(Apr!$B:$B,2083,Apr!$J:$J,6200)</f>
        <v>0</v>
      </c>
      <c r="F58" s="59">
        <f>COUNTIFS(May!$B:$B,2083,May!$J:$J,6200)</f>
        <v>0</v>
      </c>
      <c r="G58" s="59">
        <f>COUNTIFS(Jun!$B:$B,2083,Jun!$J:$J,6200)</f>
        <v>0</v>
      </c>
      <c r="H58" s="59">
        <f>COUNTIFS(Jul!$B:$B,2083,Jul!$J:$J,6200)</f>
        <v>0</v>
      </c>
      <c r="I58" s="59">
        <f>COUNTIFS(Aug!$B:$B,2083,Aug!$J:$J,6200)</f>
        <v>0</v>
      </c>
      <c r="J58" s="59">
        <f>COUNTIFS(Sep!$B:$B,2083,Sep!$J:$J,6200)</f>
        <v>0</v>
      </c>
      <c r="K58" s="59">
        <f>COUNTIFS(Oct!$B:$B,2083,Oct!$J:$J,6200)</f>
        <v>0</v>
      </c>
      <c r="L58" s="59">
        <f>COUNTIFS(Nov!$B:$B,2083,Nov!$J:$J,6200)</f>
        <v>0</v>
      </c>
      <c r="M58" s="59">
        <v>0</v>
      </c>
    </row>
    <row r="59" spans="1:13" s="8" customFormat="1" ht="11.25" customHeight="1">
      <c r="A59" s="10" t="s">
        <v>145</v>
      </c>
      <c r="B59" s="59">
        <f>COUNTIFS(Jan!$B:$B,2083,Jan!$J:$J,28)</f>
        <v>0</v>
      </c>
      <c r="C59" s="59">
        <f>COUNTIFS(Feb!$B:$B,2083,Feb!$J:$J,28)</f>
        <v>0</v>
      </c>
      <c r="D59" s="59">
        <f>COUNTIFS(Mar!$B:$B,2083,Mar!$J:$J,28)</f>
        <v>0</v>
      </c>
      <c r="E59" s="59">
        <f>COUNTIFS(Apr!$B:$B,2083,Apr!$J:$J,28)</f>
        <v>0</v>
      </c>
      <c r="F59" s="59">
        <f>COUNTIFS(May!$B:$B,2083,May!$J:$J,28)</f>
        <v>0</v>
      </c>
      <c r="G59" s="59">
        <f>COUNTIFS(Jun!$B:$B,2083,Jun!$J:$J,28)</f>
        <v>0</v>
      </c>
      <c r="H59" s="59">
        <f>COUNTIFS(Jul!$B:$B,2083,Jul!$J:$J,28)</f>
        <v>0</v>
      </c>
      <c r="I59" s="59">
        <f>COUNTIFS(Aug!$B:$B,2083,Aug!$J:$J,28)</f>
        <v>0</v>
      </c>
      <c r="J59" s="59">
        <f>COUNTIFS(Sep!$B:$B,2083,Sep!$J:$J,28)</f>
        <v>0</v>
      </c>
      <c r="K59" s="59">
        <f>COUNTIFS(Oct!$B:$B,2083,Oct!$J:$J,28)</f>
        <v>0</v>
      </c>
      <c r="L59" s="59">
        <f>COUNTIFS(Nov!$B:$B,2083,Nov!$J:$J,28)</f>
        <v>0</v>
      </c>
      <c r="M59" s="59">
        <v>0</v>
      </c>
    </row>
    <row r="60" spans="1:13" s="8" customFormat="1" ht="11.25" customHeight="1">
      <c r="A60" s="10" t="s">
        <v>38</v>
      </c>
      <c r="B60" s="59">
        <f>COUNTIFS(Jan!$B:$B,2083,Jan!$J:$J,6100)</f>
        <v>0</v>
      </c>
      <c r="C60" s="59">
        <f>COUNTIFS(Feb!$B:$B,2083,Feb!$J:$J,6100)</f>
        <v>0</v>
      </c>
      <c r="D60" s="59">
        <f>COUNTIFS(Mar!$B:$B,2083,Mar!$J:$J,6100)</f>
        <v>0</v>
      </c>
      <c r="E60" s="59">
        <f>COUNTIFS(Apr!$B:$B,2083,Apr!$J:$J,6100)</f>
        <v>0</v>
      </c>
      <c r="F60" s="59">
        <v>1</v>
      </c>
      <c r="G60" s="59">
        <v>1</v>
      </c>
      <c r="H60" s="59">
        <v>1</v>
      </c>
      <c r="I60" s="59">
        <v>2</v>
      </c>
      <c r="J60" s="59">
        <f>COUNTIFS(Sep!$B:$B,2083,Sep!$J:$J,6100)</f>
        <v>0</v>
      </c>
      <c r="K60" s="59">
        <f>COUNTIFS(Oct!$B:$B,2083,Oct!$J:$J,6100)</f>
        <v>0</v>
      </c>
      <c r="L60" s="59">
        <f>COUNTIFS(Nov!$B:$B,2083,Nov!$J:$J,6100)</f>
        <v>0</v>
      </c>
      <c r="M60" s="59">
        <v>0</v>
      </c>
    </row>
    <row r="61" spans="1:13" s="8" customFormat="1" ht="11.25" customHeight="1">
      <c r="A61" s="10" t="s">
        <v>9</v>
      </c>
      <c r="B61" s="59">
        <f>COUNTIFS(Jan!$B:$B,2083,Jan!$J:$J,6)</f>
        <v>0</v>
      </c>
      <c r="C61" s="59">
        <f>COUNTIFS(Feb!$B:$B,2083,Feb!$J:$J,6)</f>
        <v>0</v>
      </c>
      <c r="D61" s="59">
        <v>1</v>
      </c>
      <c r="E61" s="59">
        <f>COUNTIFS(Apr!$B:$B,2083,Apr!$J:$J,6)</f>
        <v>0</v>
      </c>
      <c r="F61" s="59">
        <f>COUNTIFS(May!$B:$B,2083,May!$J:$J,6)</f>
        <v>0</v>
      </c>
      <c r="G61" s="59">
        <f>COUNTIFS(Jun!$B:$B,2083,Jun!$J:$J,6)</f>
        <v>0</v>
      </c>
      <c r="H61" s="59">
        <f>COUNTIFS(Jul!$B:$B,2083,Jul!$J:$J,6)</f>
        <v>0</v>
      </c>
      <c r="I61" s="59">
        <f>COUNTIFS(Aug!$B:$B,2083,Aug!$J:$J,6)</f>
        <v>0</v>
      </c>
      <c r="J61" s="59">
        <f>COUNTIFS(Sep!$B:$B,2083,Sep!$J:$J,6)</f>
        <v>0</v>
      </c>
      <c r="K61" s="59">
        <f>COUNTIFS(Oct!$B:$B,2083,Oct!$J:$J,6)</f>
        <v>0</v>
      </c>
      <c r="L61" s="59">
        <f>COUNTIFS(Nov!$B:$B,2083,Nov!$J:$J,6)</f>
        <v>0</v>
      </c>
      <c r="M61" s="59">
        <v>0</v>
      </c>
    </row>
    <row r="62" spans="1:13" s="8" customFormat="1" ht="11.25" customHeight="1">
      <c r="A62" s="10" t="s">
        <v>8</v>
      </c>
      <c r="B62" s="59">
        <f>COUNTIFS(Jan!$B:$B,2083,Jan!$J:$J,4)</f>
        <v>0</v>
      </c>
      <c r="C62" s="59">
        <f>COUNTIFS(Feb!$B:$B,2083,Feb!$J:$J,4)</f>
        <v>0</v>
      </c>
      <c r="D62" s="59">
        <f>COUNTIFS(Mar!$B:$B,2083,Mar!$J:$J,4)</f>
        <v>0</v>
      </c>
      <c r="E62" s="59">
        <f>COUNTIFS(Apr!$B:$B,2083,Apr!$J:$J,4)</f>
        <v>0</v>
      </c>
      <c r="F62" s="59">
        <f>COUNTIFS(May!$B:$B,2083,May!$J:$J,4)</f>
        <v>0</v>
      </c>
      <c r="G62" s="59">
        <f>COUNTIFS(Jun!$B:$B,2083,Jun!$J:$J,4)</f>
        <v>0</v>
      </c>
      <c r="H62" s="59">
        <f>COUNTIFS(Jul!$B:$B,2083,Jul!$J:$J,4)</f>
        <v>0</v>
      </c>
      <c r="I62" s="59">
        <f>COUNTIFS(Aug!$B:$B,2083,Aug!$J:$J,4)</f>
        <v>0</v>
      </c>
      <c r="J62" s="59">
        <f>COUNTIFS(Sep!$B:$B,2083,Sep!$J:$J,4)</f>
        <v>0</v>
      </c>
      <c r="K62" s="59">
        <f>COUNTIFS(Oct!$B:$B,2083,Oct!$J:$J,4)</f>
        <v>0</v>
      </c>
      <c r="L62" s="59">
        <f>COUNTIFS(Nov!$B:$B,2083,Nov!$J:$J,4)</f>
        <v>0</v>
      </c>
      <c r="M62" s="59">
        <v>0</v>
      </c>
    </row>
    <row r="63" spans="1:13" s="8" customFormat="1" ht="11.25" customHeight="1">
      <c r="A63" s="10" t="s">
        <v>6</v>
      </c>
      <c r="B63" s="59">
        <f>COUNTIFS(Jan!$B:$B,2083,Jan!$J:$J,5)</f>
        <v>0</v>
      </c>
      <c r="C63" s="59">
        <f>COUNTIFS(Feb!$B:$B,2083,Feb!$J:$J,5)</f>
        <v>0</v>
      </c>
      <c r="D63" s="59">
        <f>COUNTIFS(Mar!$B:$B,2083,Mar!$J:$J,5)</f>
        <v>0</v>
      </c>
      <c r="E63" s="59">
        <f>COUNTIFS(Apr!$B:$B,2083,Apr!$J:$J,5)</f>
        <v>0</v>
      </c>
      <c r="F63" s="59">
        <f>COUNTIFS(May!$B:$B,2083,May!$J:$J,5)</f>
        <v>0</v>
      </c>
      <c r="G63" s="59">
        <f>COUNTIFS(Jun!$B:$B,2083,Jun!$J:$J,5)</f>
        <v>0</v>
      </c>
      <c r="H63" s="59">
        <f>COUNTIFS(Jul!$B:$B,2083,Jul!$J:$J,5)</f>
        <v>0</v>
      </c>
      <c r="I63" s="59">
        <f>COUNTIFS(Aug!$B:$B,2083,Aug!$J:$J,5)</f>
        <v>0</v>
      </c>
      <c r="J63" s="59">
        <f>COUNTIFS(Sep!$B:$B,2083,Sep!$J:$J,5)</f>
        <v>0</v>
      </c>
      <c r="K63" s="59">
        <f>COUNTIFS(Oct!$B:$B,2083,Oct!$J:$J,5)</f>
        <v>0</v>
      </c>
      <c r="L63" s="59">
        <f>COUNTIFS(Nov!$B:$B,2083,Nov!$J:$J,5)</f>
        <v>0</v>
      </c>
      <c r="M63" s="59">
        <v>0</v>
      </c>
    </row>
    <row r="64" spans="1:13" s="8" customFormat="1" ht="11.25" customHeight="1">
      <c r="A64" s="52" t="s">
        <v>141</v>
      </c>
      <c r="B64" s="69">
        <f>COUNTIFS(Jan!$B:$B,2083,Jan!$F:$F,456)</f>
        <v>1</v>
      </c>
      <c r="C64" s="69">
        <v>1</v>
      </c>
      <c r="D64" s="69">
        <f>COUNTIFS(Mar!$B:$B,2083,Mar!$F:$F,456)</f>
        <v>0</v>
      </c>
      <c r="E64" s="69">
        <v>1</v>
      </c>
      <c r="F64" s="69">
        <f>COUNTIFS(May!$B:$B,2083,May!$F:$F,456)</f>
        <v>0</v>
      </c>
      <c r="G64" s="69">
        <f>COUNTIFS(Jun!$B:$B,2083,Jun!$F:$F,456)</f>
        <v>0</v>
      </c>
      <c r="H64" s="69">
        <f>COUNTIFS(Jul!$B:$B,2083,Jul!$F:$F,456)</f>
        <v>0</v>
      </c>
      <c r="I64" s="69">
        <f>COUNTIFS(Aug!$B:$B,2083,Aug!$F:$F,456)</f>
        <v>0</v>
      </c>
      <c r="J64" s="69">
        <f>COUNTIFS(Sep!$B:$B,2083,Sep!$F:$F,456)</f>
        <v>0</v>
      </c>
      <c r="K64" s="69">
        <f>COUNTIFS(Oct!$B:$B,2083,Oct!$F:$F,456)</f>
        <v>0</v>
      </c>
      <c r="L64" s="69">
        <f>COUNTIFS(Nov!$B:$B,2083,Nov!$F:$F,456)</f>
        <v>0</v>
      </c>
      <c r="M64" s="69">
        <v>0</v>
      </c>
    </row>
    <row r="65" spans="1:13" s="8" customFormat="1" ht="11.25" customHeight="1" thickBot="1">
      <c r="A65" s="12" t="s">
        <v>16</v>
      </c>
      <c r="B65" s="70">
        <f>SUM(B54:B64)</f>
        <v>1</v>
      </c>
      <c r="C65" s="70">
        <f t="shared" ref="C65:M65" si="13">SUM(C54:C64)</f>
        <v>1</v>
      </c>
      <c r="D65" s="70">
        <f>SUM(D54:D64)</f>
        <v>2</v>
      </c>
      <c r="E65" s="70">
        <f>SUM(E54:E64)</f>
        <v>2</v>
      </c>
      <c r="F65" s="70">
        <f>SUM(F54:F64)</f>
        <v>2</v>
      </c>
      <c r="G65" s="70">
        <f>SUM(G54:G64)</f>
        <v>1</v>
      </c>
      <c r="H65" s="70">
        <f t="shared" si="13"/>
        <v>3</v>
      </c>
      <c r="I65" s="70">
        <f t="shared" si="13"/>
        <v>3</v>
      </c>
      <c r="J65" s="70">
        <f t="shared" si="13"/>
        <v>2</v>
      </c>
      <c r="K65" s="70">
        <f t="shared" si="13"/>
        <v>0</v>
      </c>
      <c r="L65" s="165">
        <f t="shared" si="13"/>
        <v>1</v>
      </c>
      <c r="M65" s="170">
        <f t="shared" si="13"/>
        <v>1</v>
      </c>
    </row>
    <row r="66" spans="1:13" s="8" customFormat="1" ht="15.75" customHeight="1">
      <c r="A66" s="6"/>
      <c r="B66" s="7"/>
      <c r="C66" s="7"/>
      <c r="D66" s="7"/>
      <c r="E66" s="7"/>
      <c r="F66" s="7"/>
      <c r="G66" s="7"/>
      <c r="H66" s="7"/>
      <c r="I66" s="7"/>
      <c r="J66" s="7"/>
      <c r="K66" s="7"/>
      <c r="L66" s="7"/>
      <c r="M66" s="7"/>
    </row>
    <row r="67" spans="1:13" ht="12" customHeight="1">
      <c r="A67" s="6"/>
      <c r="B67" s="7"/>
      <c r="C67" s="7"/>
      <c r="D67" s="7"/>
      <c r="E67" s="7"/>
      <c r="F67" s="7"/>
      <c r="G67" s="7"/>
      <c r="H67" s="7"/>
      <c r="I67" s="7"/>
      <c r="J67" s="7"/>
      <c r="K67" s="7"/>
      <c r="L67" s="7"/>
      <c r="M67" s="7"/>
    </row>
  </sheetData>
  <phoneticPr fontId="0" type="noConversion"/>
  <printOptions horizontalCentered="1" verticalCentered="1"/>
  <pageMargins left="0.14000000000000001" right="0.16" top="0.25" bottom="0.5" header="0.5" footer="0.25"/>
  <pageSetup scale="95" firstPageNumber="3" orientation="portrait" useFirstPageNumber="1" r:id="rId1"/>
  <headerFooter alignWithMargins="0">
    <oddFooter>&amp;R19 of 51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0"/>
  <sheetViews>
    <sheetView view="pageBreakPreview" zoomScale="80" zoomScaleNormal="100" zoomScaleSheetLayoutView="80" workbookViewId="0">
      <selection activeCell="A3" sqref="A3:C3"/>
    </sheetView>
  </sheetViews>
  <sheetFormatPr defaultRowHeight="12.75"/>
  <cols>
    <col min="1" max="1" width="81" style="94" customWidth="1"/>
    <col min="2" max="2" width="9.140625" style="94"/>
    <col min="3" max="3" width="5.7109375" style="100" customWidth="1"/>
    <col min="4" max="253" width="9.140625" style="94"/>
    <col min="254" max="254" width="95.5703125" style="94" customWidth="1"/>
    <col min="255" max="258" width="9.140625" style="94"/>
    <col min="259" max="259" width="5.7109375" style="94" customWidth="1"/>
    <col min="260" max="509" width="9.140625" style="94"/>
    <col min="510" max="510" width="95.5703125" style="94" customWidth="1"/>
    <col min="511" max="514" width="9.140625" style="94"/>
    <col min="515" max="515" width="5.7109375" style="94" customWidth="1"/>
    <col min="516" max="765" width="9.140625" style="94"/>
    <col min="766" max="766" width="95.5703125" style="94" customWidth="1"/>
    <col min="767" max="770" width="9.140625" style="94"/>
    <col min="771" max="771" width="5.7109375" style="94" customWidth="1"/>
    <col min="772" max="1021" width="9.140625" style="94"/>
    <col min="1022" max="1022" width="95.5703125" style="94" customWidth="1"/>
    <col min="1023" max="1026" width="9.140625" style="94"/>
    <col min="1027" max="1027" width="5.7109375" style="94" customWidth="1"/>
    <col min="1028" max="1277" width="9.140625" style="94"/>
    <col min="1278" max="1278" width="95.5703125" style="94" customWidth="1"/>
    <col min="1279" max="1282" width="9.140625" style="94"/>
    <col min="1283" max="1283" width="5.7109375" style="94" customWidth="1"/>
    <col min="1284" max="1533" width="9.140625" style="94"/>
    <col min="1534" max="1534" width="95.5703125" style="94" customWidth="1"/>
    <col min="1535" max="1538" width="9.140625" style="94"/>
    <col min="1539" max="1539" width="5.7109375" style="94" customWidth="1"/>
    <col min="1540" max="1789" width="9.140625" style="94"/>
    <col min="1790" max="1790" width="95.5703125" style="94" customWidth="1"/>
    <col min="1791" max="1794" width="9.140625" style="94"/>
    <col min="1795" max="1795" width="5.7109375" style="94" customWidth="1"/>
    <col min="1796" max="2045" width="9.140625" style="94"/>
    <col min="2046" max="2046" width="95.5703125" style="94" customWidth="1"/>
    <col min="2047" max="2050" width="9.140625" style="94"/>
    <col min="2051" max="2051" width="5.7109375" style="94" customWidth="1"/>
    <col min="2052" max="2301" width="9.140625" style="94"/>
    <col min="2302" max="2302" width="95.5703125" style="94" customWidth="1"/>
    <col min="2303" max="2306" width="9.140625" style="94"/>
    <col min="2307" max="2307" width="5.7109375" style="94" customWidth="1"/>
    <col min="2308" max="2557" width="9.140625" style="94"/>
    <col min="2558" max="2558" width="95.5703125" style="94" customWidth="1"/>
    <col min="2559" max="2562" width="9.140625" style="94"/>
    <col min="2563" max="2563" width="5.7109375" style="94" customWidth="1"/>
    <col min="2564" max="2813" width="9.140625" style="94"/>
    <col min="2814" max="2814" width="95.5703125" style="94" customWidth="1"/>
    <col min="2815" max="2818" width="9.140625" style="94"/>
    <col min="2819" max="2819" width="5.7109375" style="94" customWidth="1"/>
    <col min="2820" max="3069" width="9.140625" style="94"/>
    <col min="3070" max="3070" width="95.5703125" style="94" customWidth="1"/>
    <col min="3071" max="3074" width="9.140625" style="94"/>
    <col min="3075" max="3075" width="5.7109375" style="94" customWidth="1"/>
    <col min="3076" max="3325" width="9.140625" style="94"/>
    <col min="3326" max="3326" width="95.5703125" style="94" customWidth="1"/>
    <col min="3327" max="3330" width="9.140625" style="94"/>
    <col min="3331" max="3331" width="5.7109375" style="94" customWidth="1"/>
    <col min="3332" max="3581" width="9.140625" style="94"/>
    <col min="3582" max="3582" width="95.5703125" style="94" customWidth="1"/>
    <col min="3583" max="3586" width="9.140625" style="94"/>
    <col min="3587" max="3587" width="5.7109375" style="94" customWidth="1"/>
    <col min="3588" max="3837" width="9.140625" style="94"/>
    <col min="3838" max="3838" width="95.5703125" style="94" customWidth="1"/>
    <col min="3839" max="3842" width="9.140625" style="94"/>
    <col min="3843" max="3843" width="5.7109375" style="94" customWidth="1"/>
    <col min="3844" max="4093" width="9.140625" style="94"/>
    <col min="4094" max="4094" width="95.5703125" style="94" customWidth="1"/>
    <col min="4095" max="4098" width="9.140625" style="94"/>
    <col min="4099" max="4099" width="5.7109375" style="94" customWidth="1"/>
    <col min="4100" max="4349" width="9.140625" style="94"/>
    <col min="4350" max="4350" width="95.5703125" style="94" customWidth="1"/>
    <col min="4351" max="4354" width="9.140625" style="94"/>
    <col min="4355" max="4355" width="5.7109375" style="94" customWidth="1"/>
    <col min="4356" max="4605" width="9.140625" style="94"/>
    <col min="4606" max="4606" width="95.5703125" style="94" customWidth="1"/>
    <col min="4607" max="4610" width="9.140625" style="94"/>
    <col min="4611" max="4611" width="5.7109375" style="94" customWidth="1"/>
    <col min="4612" max="4861" width="9.140625" style="94"/>
    <col min="4862" max="4862" width="95.5703125" style="94" customWidth="1"/>
    <col min="4863" max="4866" width="9.140625" style="94"/>
    <col min="4867" max="4867" width="5.7109375" style="94" customWidth="1"/>
    <col min="4868" max="5117" width="9.140625" style="94"/>
    <col min="5118" max="5118" width="95.5703125" style="94" customWidth="1"/>
    <col min="5119" max="5122" width="9.140625" style="94"/>
    <col min="5123" max="5123" width="5.7109375" style="94" customWidth="1"/>
    <col min="5124" max="5373" width="9.140625" style="94"/>
    <col min="5374" max="5374" width="95.5703125" style="94" customWidth="1"/>
    <col min="5375" max="5378" width="9.140625" style="94"/>
    <col min="5379" max="5379" width="5.7109375" style="94" customWidth="1"/>
    <col min="5380" max="5629" width="9.140625" style="94"/>
    <col min="5630" max="5630" width="95.5703125" style="94" customWidth="1"/>
    <col min="5631" max="5634" width="9.140625" style="94"/>
    <col min="5635" max="5635" width="5.7109375" style="94" customWidth="1"/>
    <col min="5636" max="5885" width="9.140625" style="94"/>
    <col min="5886" max="5886" width="95.5703125" style="94" customWidth="1"/>
    <col min="5887" max="5890" width="9.140625" style="94"/>
    <col min="5891" max="5891" width="5.7109375" style="94" customWidth="1"/>
    <col min="5892" max="6141" width="9.140625" style="94"/>
    <col min="6142" max="6142" width="95.5703125" style="94" customWidth="1"/>
    <col min="6143" max="6146" width="9.140625" style="94"/>
    <col min="6147" max="6147" width="5.7109375" style="94" customWidth="1"/>
    <col min="6148" max="6397" width="9.140625" style="94"/>
    <col min="6398" max="6398" width="95.5703125" style="94" customWidth="1"/>
    <col min="6399" max="6402" width="9.140625" style="94"/>
    <col min="6403" max="6403" width="5.7109375" style="94" customWidth="1"/>
    <col min="6404" max="6653" width="9.140625" style="94"/>
    <col min="6654" max="6654" width="95.5703125" style="94" customWidth="1"/>
    <col min="6655" max="6658" width="9.140625" style="94"/>
    <col min="6659" max="6659" width="5.7109375" style="94" customWidth="1"/>
    <col min="6660" max="6909" width="9.140625" style="94"/>
    <col min="6910" max="6910" width="95.5703125" style="94" customWidth="1"/>
    <col min="6911" max="6914" width="9.140625" style="94"/>
    <col min="6915" max="6915" width="5.7109375" style="94" customWidth="1"/>
    <col min="6916" max="7165" width="9.140625" style="94"/>
    <col min="7166" max="7166" width="95.5703125" style="94" customWidth="1"/>
    <col min="7167" max="7170" width="9.140625" style="94"/>
    <col min="7171" max="7171" width="5.7109375" style="94" customWidth="1"/>
    <col min="7172" max="7421" width="9.140625" style="94"/>
    <col min="7422" max="7422" width="95.5703125" style="94" customWidth="1"/>
    <col min="7423" max="7426" width="9.140625" style="94"/>
    <col min="7427" max="7427" width="5.7109375" style="94" customWidth="1"/>
    <col min="7428" max="7677" width="9.140625" style="94"/>
    <col min="7678" max="7678" width="95.5703125" style="94" customWidth="1"/>
    <col min="7679" max="7682" width="9.140625" style="94"/>
    <col min="7683" max="7683" width="5.7109375" style="94" customWidth="1"/>
    <col min="7684" max="7933" width="9.140625" style="94"/>
    <col min="7934" max="7934" width="95.5703125" style="94" customWidth="1"/>
    <col min="7935" max="7938" width="9.140625" style="94"/>
    <col min="7939" max="7939" width="5.7109375" style="94" customWidth="1"/>
    <col min="7940" max="8189" width="9.140625" style="94"/>
    <col min="8190" max="8190" width="95.5703125" style="94" customWidth="1"/>
    <col min="8191" max="8194" width="9.140625" style="94"/>
    <col min="8195" max="8195" width="5.7109375" style="94" customWidth="1"/>
    <col min="8196" max="8445" width="9.140625" style="94"/>
    <col min="8446" max="8446" width="95.5703125" style="94" customWidth="1"/>
    <col min="8447" max="8450" width="9.140625" style="94"/>
    <col min="8451" max="8451" width="5.7109375" style="94" customWidth="1"/>
    <col min="8452" max="8701" width="9.140625" style="94"/>
    <col min="8702" max="8702" width="95.5703125" style="94" customWidth="1"/>
    <col min="8703" max="8706" width="9.140625" style="94"/>
    <col min="8707" max="8707" width="5.7109375" style="94" customWidth="1"/>
    <col min="8708" max="8957" width="9.140625" style="94"/>
    <col min="8958" max="8958" width="95.5703125" style="94" customWidth="1"/>
    <col min="8959" max="8962" width="9.140625" style="94"/>
    <col min="8963" max="8963" width="5.7109375" style="94" customWidth="1"/>
    <col min="8964" max="9213" width="9.140625" style="94"/>
    <col min="9214" max="9214" width="95.5703125" style="94" customWidth="1"/>
    <col min="9215" max="9218" width="9.140625" style="94"/>
    <col min="9219" max="9219" width="5.7109375" style="94" customWidth="1"/>
    <col min="9220" max="9469" width="9.140625" style="94"/>
    <col min="9470" max="9470" width="95.5703125" style="94" customWidth="1"/>
    <col min="9471" max="9474" width="9.140625" style="94"/>
    <col min="9475" max="9475" width="5.7109375" style="94" customWidth="1"/>
    <col min="9476" max="9725" width="9.140625" style="94"/>
    <col min="9726" max="9726" width="95.5703125" style="94" customWidth="1"/>
    <col min="9727" max="9730" width="9.140625" style="94"/>
    <col min="9731" max="9731" width="5.7109375" style="94" customWidth="1"/>
    <col min="9732" max="9981" width="9.140625" style="94"/>
    <col min="9982" max="9982" width="95.5703125" style="94" customWidth="1"/>
    <col min="9983" max="9986" width="9.140625" style="94"/>
    <col min="9987" max="9987" width="5.7109375" style="94" customWidth="1"/>
    <col min="9988" max="10237" width="9.140625" style="94"/>
    <col min="10238" max="10238" width="95.5703125" style="94" customWidth="1"/>
    <col min="10239" max="10242" width="9.140625" style="94"/>
    <col min="10243" max="10243" width="5.7109375" style="94" customWidth="1"/>
    <col min="10244" max="10493" width="9.140625" style="94"/>
    <col min="10494" max="10494" width="95.5703125" style="94" customWidth="1"/>
    <col min="10495" max="10498" width="9.140625" style="94"/>
    <col min="10499" max="10499" width="5.7109375" style="94" customWidth="1"/>
    <col min="10500" max="10749" width="9.140625" style="94"/>
    <col min="10750" max="10750" width="95.5703125" style="94" customWidth="1"/>
    <col min="10751" max="10754" width="9.140625" style="94"/>
    <col min="10755" max="10755" width="5.7109375" style="94" customWidth="1"/>
    <col min="10756" max="11005" width="9.140625" style="94"/>
    <col min="11006" max="11006" width="95.5703125" style="94" customWidth="1"/>
    <col min="11007" max="11010" width="9.140625" style="94"/>
    <col min="11011" max="11011" width="5.7109375" style="94" customWidth="1"/>
    <col min="11012" max="11261" width="9.140625" style="94"/>
    <col min="11262" max="11262" width="95.5703125" style="94" customWidth="1"/>
    <col min="11263" max="11266" width="9.140625" style="94"/>
    <col min="11267" max="11267" width="5.7109375" style="94" customWidth="1"/>
    <col min="11268" max="11517" width="9.140625" style="94"/>
    <col min="11518" max="11518" width="95.5703125" style="94" customWidth="1"/>
    <col min="11519" max="11522" width="9.140625" style="94"/>
    <col min="11523" max="11523" width="5.7109375" style="94" customWidth="1"/>
    <col min="11524" max="11773" width="9.140625" style="94"/>
    <col min="11774" max="11774" width="95.5703125" style="94" customWidth="1"/>
    <col min="11775" max="11778" width="9.140625" style="94"/>
    <col min="11779" max="11779" width="5.7109375" style="94" customWidth="1"/>
    <col min="11780" max="12029" width="9.140625" style="94"/>
    <col min="12030" max="12030" width="95.5703125" style="94" customWidth="1"/>
    <col min="12031" max="12034" width="9.140625" style="94"/>
    <col min="12035" max="12035" width="5.7109375" style="94" customWidth="1"/>
    <col min="12036" max="12285" width="9.140625" style="94"/>
    <col min="12286" max="12286" width="95.5703125" style="94" customWidth="1"/>
    <col min="12287" max="12290" width="9.140625" style="94"/>
    <col min="12291" max="12291" width="5.7109375" style="94" customWidth="1"/>
    <col min="12292" max="12541" width="9.140625" style="94"/>
    <col min="12542" max="12542" width="95.5703125" style="94" customWidth="1"/>
    <col min="12543" max="12546" width="9.140625" style="94"/>
    <col min="12547" max="12547" width="5.7109375" style="94" customWidth="1"/>
    <col min="12548" max="12797" width="9.140625" style="94"/>
    <col min="12798" max="12798" width="95.5703125" style="94" customWidth="1"/>
    <col min="12799" max="12802" width="9.140625" style="94"/>
    <col min="12803" max="12803" width="5.7109375" style="94" customWidth="1"/>
    <col min="12804" max="13053" width="9.140625" style="94"/>
    <col min="13054" max="13054" width="95.5703125" style="94" customWidth="1"/>
    <col min="13055" max="13058" width="9.140625" style="94"/>
    <col min="13059" max="13059" width="5.7109375" style="94" customWidth="1"/>
    <col min="13060" max="13309" width="9.140625" style="94"/>
    <col min="13310" max="13310" width="95.5703125" style="94" customWidth="1"/>
    <col min="13311" max="13314" width="9.140625" style="94"/>
    <col min="13315" max="13315" width="5.7109375" style="94" customWidth="1"/>
    <col min="13316" max="13565" width="9.140625" style="94"/>
    <col min="13566" max="13566" width="95.5703125" style="94" customWidth="1"/>
    <col min="13567" max="13570" width="9.140625" style="94"/>
    <col min="13571" max="13571" width="5.7109375" style="94" customWidth="1"/>
    <col min="13572" max="13821" width="9.140625" style="94"/>
    <col min="13822" max="13822" width="95.5703125" style="94" customWidth="1"/>
    <col min="13823" max="13826" width="9.140625" style="94"/>
    <col min="13827" max="13827" width="5.7109375" style="94" customWidth="1"/>
    <col min="13828" max="14077" width="9.140625" style="94"/>
    <col min="14078" max="14078" width="95.5703125" style="94" customWidth="1"/>
    <col min="14079" max="14082" width="9.140625" style="94"/>
    <col min="14083" max="14083" width="5.7109375" style="94" customWidth="1"/>
    <col min="14084" max="14333" width="9.140625" style="94"/>
    <col min="14334" max="14334" width="95.5703125" style="94" customWidth="1"/>
    <col min="14335" max="14338" width="9.140625" style="94"/>
    <col min="14339" max="14339" width="5.7109375" style="94" customWidth="1"/>
    <col min="14340" max="14589" width="9.140625" style="94"/>
    <col min="14590" max="14590" width="95.5703125" style="94" customWidth="1"/>
    <col min="14591" max="14594" width="9.140625" style="94"/>
    <col min="14595" max="14595" width="5.7109375" style="94" customWidth="1"/>
    <col min="14596" max="14845" width="9.140625" style="94"/>
    <col min="14846" max="14846" width="95.5703125" style="94" customWidth="1"/>
    <col min="14847" max="14850" width="9.140625" style="94"/>
    <col min="14851" max="14851" width="5.7109375" style="94" customWidth="1"/>
    <col min="14852" max="15101" width="9.140625" style="94"/>
    <col min="15102" max="15102" width="95.5703125" style="94" customWidth="1"/>
    <col min="15103" max="15106" width="9.140625" style="94"/>
    <col min="15107" max="15107" width="5.7109375" style="94" customWidth="1"/>
    <col min="15108" max="15357" width="9.140625" style="94"/>
    <col min="15358" max="15358" width="95.5703125" style="94" customWidth="1"/>
    <col min="15359" max="15362" width="9.140625" style="94"/>
    <col min="15363" max="15363" width="5.7109375" style="94" customWidth="1"/>
    <col min="15364" max="15613" width="9.140625" style="94"/>
    <col min="15614" max="15614" width="95.5703125" style="94" customWidth="1"/>
    <col min="15615" max="15618" width="9.140625" style="94"/>
    <col min="15619" max="15619" width="5.7109375" style="94" customWidth="1"/>
    <col min="15620" max="15869" width="9.140625" style="94"/>
    <col min="15870" max="15870" width="95.5703125" style="94" customWidth="1"/>
    <col min="15871" max="15874" width="9.140625" style="94"/>
    <col min="15875" max="15875" width="5.7109375" style="94" customWidth="1"/>
    <col min="15876" max="16125" width="9.140625" style="94"/>
    <col min="16126" max="16126" width="95.5703125" style="94" customWidth="1"/>
    <col min="16127" max="16130" width="9.140625" style="94"/>
    <col min="16131" max="16131" width="5.7109375" style="94" customWidth="1"/>
    <col min="16132" max="16384" width="9.140625" style="94"/>
  </cols>
  <sheetData>
    <row r="1" spans="1:4" ht="15.75">
      <c r="A1" s="228" t="s">
        <v>196</v>
      </c>
      <c r="B1" s="228"/>
      <c r="C1" s="228"/>
      <c r="D1" s="93"/>
    </row>
    <row r="2" spans="1:4" ht="15.75">
      <c r="A2" s="228" t="s">
        <v>197</v>
      </c>
      <c r="B2" s="228"/>
      <c r="C2" s="228"/>
      <c r="D2" s="93"/>
    </row>
    <row r="3" spans="1:4" ht="15.75">
      <c r="A3" s="228" t="s">
        <v>2188</v>
      </c>
      <c r="B3" s="228"/>
      <c r="C3" s="228"/>
      <c r="D3" s="93"/>
    </row>
    <row r="4" spans="1:4" ht="5.25" customHeight="1">
      <c r="A4" s="229"/>
      <c r="B4" s="229"/>
      <c r="C4" s="229"/>
      <c r="D4" s="93"/>
    </row>
    <row r="5" spans="1:4" s="114" customFormat="1" ht="18" customHeight="1">
      <c r="A5" s="230" t="s">
        <v>148</v>
      </c>
      <c r="B5" s="230"/>
      <c r="C5" s="230"/>
      <c r="D5" s="113"/>
    </row>
    <row r="6" spans="1:4" s="98" customFormat="1" ht="15.75">
      <c r="A6" s="95" t="s">
        <v>149</v>
      </c>
      <c r="B6" s="96"/>
      <c r="C6" s="97" t="s">
        <v>150</v>
      </c>
      <c r="D6" s="1"/>
    </row>
    <row r="7" spans="1:4">
      <c r="A7" s="127" t="s">
        <v>211</v>
      </c>
      <c r="B7" s="138"/>
      <c r="C7" s="128">
        <v>3</v>
      </c>
    </row>
    <row r="8" spans="1:4">
      <c r="A8" s="127" t="s">
        <v>213</v>
      </c>
      <c r="B8" s="138"/>
      <c r="C8" s="129">
        <v>4</v>
      </c>
    </row>
    <row r="9" spans="1:4" s="98" customFormat="1">
      <c r="A9" s="127" t="s">
        <v>212</v>
      </c>
      <c r="B9" s="126"/>
      <c r="C9" s="129">
        <v>5</v>
      </c>
      <c r="D9" s="1"/>
    </row>
    <row r="10" spans="1:4" s="98" customFormat="1">
      <c r="A10" s="127" t="s">
        <v>151</v>
      </c>
      <c r="B10" s="126"/>
      <c r="C10" s="129">
        <v>6</v>
      </c>
      <c r="D10" s="1"/>
    </row>
    <row r="11" spans="1:4" s="98" customFormat="1">
      <c r="A11" s="127" t="s">
        <v>152</v>
      </c>
      <c r="B11" s="126"/>
      <c r="C11" s="129">
        <f t="shared" ref="C11:C55" si="0">C10+1</f>
        <v>7</v>
      </c>
      <c r="D11" s="1"/>
    </row>
    <row r="12" spans="1:4" s="98" customFormat="1">
      <c r="A12" s="127" t="s">
        <v>153</v>
      </c>
      <c r="B12" s="126"/>
      <c r="C12" s="129">
        <f>C11+1</f>
        <v>8</v>
      </c>
      <c r="D12" s="1"/>
    </row>
    <row r="13" spans="1:4" s="98" customFormat="1">
      <c r="A13" s="127" t="s">
        <v>154</v>
      </c>
      <c r="B13" s="126"/>
      <c r="C13" s="129">
        <f t="shared" si="0"/>
        <v>9</v>
      </c>
      <c r="D13" s="1"/>
    </row>
    <row r="14" spans="1:4" s="98" customFormat="1">
      <c r="A14" s="127" t="s">
        <v>155</v>
      </c>
      <c r="B14" s="126"/>
      <c r="C14" s="129">
        <f t="shared" si="0"/>
        <v>10</v>
      </c>
      <c r="D14" s="1"/>
    </row>
    <row r="15" spans="1:4" s="98" customFormat="1">
      <c r="A15" s="127" t="s">
        <v>156</v>
      </c>
      <c r="B15" s="126"/>
      <c r="C15" s="129">
        <f t="shared" si="0"/>
        <v>11</v>
      </c>
      <c r="D15" s="1"/>
    </row>
    <row r="16" spans="1:4" s="98" customFormat="1">
      <c r="A16" s="127" t="s">
        <v>157</v>
      </c>
      <c r="B16" s="126"/>
      <c r="C16" s="129">
        <f t="shared" si="0"/>
        <v>12</v>
      </c>
      <c r="D16" s="1"/>
    </row>
    <row r="17" spans="1:4" s="98" customFormat="1">
      <c r="A17" s="127" t="s">
        <v>158</v>
      </c>
      <c r="B17" s="126"/>
      <c r="C17" s="129">
        <f t="shared" si="0"/>
        <v>13</v>
      </c>
      <c r="D17" s="1"/>
    </row>
    <row r="18" spans="1:4" s="98" customFormat="1">
      <c r="A18" s="127" t="s">
        <v>159</v>
      </c>
      <c r="B18" s="126"/>
      <c r="C18" s="129">
        <f t="shared" si="0"/>
        <v>14</v>
      </c>
      <c r="D18" s="1"/>
    </row>
    <row r="19" spans="1:4" s="98" customFormat="1">
      <c r="A19" s="127" t="s">
        <v>160</v>
      </c>
      <c r="B19" s="126"/>
      <c r="C19" s="129">
        <f t="shared" si="0"/>
        <v>15</v>
      </c>
      <c r="D19" s="1"/>
    </row>
    <row r="20" spans="1:4" s="98" customFormat="1">
      <c r="A20" s="127" t="s">
        <v>161</v>
      </c>
      <c r="B20" s="126"/>
      <c r="C20" s="129">
        <f t="shared" si="0"/>
        <v>16</v>
      </c>
      <c r="D20" s="1"/>
    </row>
    <row r="21" spans="1:4" s="98" customFormat="1">
      <c r="A21" s="127" t="s">
        <v>162</v>
      </c>
      <c r="B21" s="126"/>
      <c r="C21" s="129">
        <f t="shared" si="0"/>
        <v>17</v>
      </c>
      <c r="D21" s="1"/>
    </row>
    <row r="22" spans="1:4" s="98" customFormat="1">
      <c r="A22" s="127" t="s">
        <v>163</v>
      </c>
      <c r="B22" s="126"/>
      <c r="C22" s="129">
        <f t="shared" si="0"/>
        <v>18</v>
      </c>
      <c r="D22" s="1"/>
    </row>
    <row r="23" spans="1:4" s="98" customFormat="1">
      <c r="A23" s="127" t="s">
        <v>164</v>
      </c>
      <c r="B23" s="126"/>
      <c r="C23" s="129">
        <f t="shared" si="0"/>
        <v>19</v>
      </c>
      <c r="D23" s="1"/>
    </row>
    <row r="24" spans="1:4" s="98" customFormat="1">
      <c r="A24" s="127" t="s">
        <v>165</v>
      </c>
      <c r="B24" s="126"/>
      <c r="C24" s="129">
        <f t="shared" si="0"/>
        <v>20</v>
      </c>
      <c r="D24" s="1"/>
    </row>
    <row r="25" spans="1:4" s="98" customFormat="1">
      <c r="A25" s="127" t="s">
        <v>166</v>
      </c>
      <c r="B25" s="126"/>
      <c r="C25" s="129">
        <f t="shared" si="0"/>
        <v>21</v>
      </c>
      <c r="D25" s="1"/>
    </row>
    <row r="26" spans="1:4" s="98" customFormat="1">
      <c r="A26" s="127" t="s">
        <v>167</v>
      </c>
      <c r="B26" s="126"/>
      <c r="C26" s="129">
        <f t="shared" si="0"/>
        <v>22</v>
      </c>
      <c r="D26" s="1"/>
    </row>
    <row r="27" spans="1:4" s="98" customFormat="1">
      <c r="A27" s="127" t="s">
        <v>168</v>
      </c>
      <c r="B27" s="183"/>
      <c r="C27" s="184">
        <f t="shared" si="0"/>
        <v>23</v>
      </c>
      <c r="D27" s="185"/>
    </row>
    <row r="28" spans="1:4" s="98" customFormat="1">
      <c r="A28" s="127" t="s">
        <v>169</v>
      </c>
      <c r="B28" s="126"/>
      <c r="C28" s="129">
        <f t="shared" si="0"/>
        <v>24</v>
      </c>
      <c r="D28" s="1"/>
    </row>
    <row r="29" spans="1:4" s="98" customFormat="1">
      <c r="A29" s="127" t="s">
        <v>170</v>
      </c>
      <c r="B29" s="126"/>
      <c r="C29" s="129">
        <f t="shared" si="0"/>
        <v>25</v>
      </c>
      <c r="D29" s="1"/>
    </row>
    <row r="30" spans="1:4" s="98" customFormat="1">
      <c r="A30" s="127" t="s">
        <v>171</v>
      </c>
      <c r="B30" s="126"/>
      <c r="C30" s="129">
        <f t="shared" si="0"/>
        <v>26</v>
      </c>
      <c r="D30" s="1"/>
    </row>
    <row r="31" spans="1:4" s="98" customFormat="1">
      <c r="A31" s="127" t="s">
        <v>172</v>
      </c>
      <c r="B31" s="126"/>
      <c r="C31" s="129">
        <f t="shared" si="0"/>
        <v>27</v>
      </c>
      <c r="D31" s="1"/>
    </row>
    <row r="32" spans="1:4" s="98" customFormat="1">
      <c r="A32" s="127" t="s">
        <v>173</v>
      </c>
      <c r="B32" s="126"/>
      <c r="C32" s="129">
        <f t="shared" si="0"/>
        <v>28</v>
      </c>
      <c r="D32" s="1"/>
    </row>
    <row r="33" spans="1:4" s="98" customFormat="1">
      <c r="A33" s="127" t="s">
        <v>174</v>
      </c>
      <c r="B33" s="126"/>
      <c r="C33" s="129">
        <f t="shared" si="0"/>
        <v>29</v>
      </c>
      <c r="D33" s="1"/>
    </row>
    <row r="34" spans="1:4" s="98" customFormat="1">
      <c r="A34" s="127" t="s">
        <v>175</v>
      </c>
      <c r="B34" s="126"/>
      <c r="C34" s="129">
        <f t="shared" si="0"/>
        <v>30</v>
      </c>
      <c r="D34" s="1"/>
    </row>
    <row r="35" spans="1:4" s="98" customFormat="1">
      <c r="A35" s="127" t="s">
        <v>176</v>
      </c>
      <c r="B35" s="126"/>
      <c r="C35" s="129">
        <f t="shared" si="0"/>
        <v>31</v>
      </c>
      <c r="D35" s="1"/>
    </row>
    <row r="36" spans="1:4" s="98" customFormat="1">
      <c r="A36" s="127" t="s">
        <v>177</v>
      </c>
      <c r="B36" s="126"/>
      <c r="C36" s="129">
        <f t="shared" si="0"/>
        <v>32</v>
      </c>
      <c r="D36" s="1"/>
    </row>
    <row r="37" spans="1:4" s="98" customFormat="1">
      <c r="A37" s="127" t="s">
        <v>178</v>
      </c>
      <c r="B37" s="126"/>
      <c r="C37" s="129">
        <f t="shared" si="0"/>
        <v>33</v>
      </c>
      <c r="D37" s="1"/>
    </row>
    <row r="38" spans="1:4" s="98" customFormat="1">
      <c r="A38" s="127" t="s">
        <v>179</v>
      </c>
      <c r="B38" s="126"/>
      <c r="C38" s="129">
        <f t="shared" si="0"/>
        <v>34</v>
      </c>
      <c r="D38" s="1"/>
    </row>
    <row r="39" spans="1:4" s="98" customFormat="1">
      <c r="A39" s="127" t="s">
        <v>180</v>
      </c>
      <c r="B39" s="126"/>
      <c r="C39" s="129">
        <f t="shared" si="0"/>
        <v>35</v>
      </c>
      <c r="D39" s="1"/>
    </row>
    <row r="40" spans="1:4" s="98" customFormat="1">
      <c r="A40" s="127" t="s">
        <v>181</v>
      </c>
      <c r="B40" s="126"/>
      <c r="C40" s="129">
        <f t="shared" si="0"/>
        <v>36</v>
      </c>
      <c r="D40" s="1"/>
    </row>
    <row r="41" spans="1:4" s="98" customFormat="1">
      <c r="A41" s="127" t="s">
        <v>182</v>
      </c>
      <c r="B41" s="126"/>
      <c r="C41" s="129">
        <f t="shared" si="0"/>
        <v>37</v>
      </c>
      <c r="D41" s="1"/>
    </row>
    <row r="42" spans="1:4" s="98" customFormat="1">
      <c r="A42" s="127" t="s">
        <v>183</v>
      </c>
      <c r="B42" s="126"/>
      <c r="C42" s="129">
        <f t="shared" si="0"/>
        <v>38</v>
      </c>
      <c r="D42" s="1"/>
    </row>
    <row r="43" spans="1:4" s="98" customFormat="1">
      <c r="A43" s="127" t="s">
        <v>184</v>
      </c>
      <c r="B43" s="126"/>
      <c r="C43" s="129">
        <f t="shared" si="0"/>
        <v>39</v>
      </c>
      <c r="D43" s="1"/>
    </row>
    <row r="44" spans="1:4" s="98" customFormat="1">
      <c r="A44" s="127" t="s">
        <v>185</v>
      </c>
      <c r="B44" s="126"/>
      <c r="C44" s="129">
        <f t="shared" si="0"/>
        <v>40</v>
      </c>
      <c r="D44" s="1"/>
    </row>
    <row r="45" spans="1:4" s="98" customFormat="1">
      <c r="A45" s="127" t="s">
        <v>186</v>
      </c>
      <c r="B45" s="126"/>
      <c r="C45" s="129">
        <f t="shared" si="0"/>
        <v>41</v>
      </c>
      <c r="D45" s="1"/>
    </row>
    <row r="46" spans="1:4" s="98" customFormat="1">
      <c r="A46" s="127" t="s">
        <v>187</v>
      </c>
      <c r="B46" s="126"/>
      <c r="C46" s="129">
        <f t="shared" si="0"/>
        <v>42</v>
      </c>
      <c r="D46" s="1"/>
    </row>
    <row r="47" spans="1:4" s="98" customFormat="1">
      <c r="A47" s="127" t="s">
        <v>188</v>
      </c>
      <c r="B47" s="126"/>
      <c r="C47" s="129">
        <f t="shared" si="0"/>
        <v>43</v>
      </c>
      <c r="D47" s="1"/>
    </row>
    <row r="48" spans="1:4" s="98" customFormat="1">
      <c r="A48" s="127" t="s">
        <v>189</v>
      </c>
      <c r="B48" s="126"/>
      <c r="C48" s="129">
        <f t="shared" si="0"/>
        <v>44</v>
      </c>
      <c r="D48" s="1"/>
    </row>
    <row r="49" spans="1:4" s="98" customFormat="1">
      <c r="A49" s="127" t="s">
        <v>190</v>
      </c>
      <c r="B49" s="126"/>
      <c r="C49" s="129">
        <f t="shared" si="0"/>
        <v>45</v>
      </c>
      <c r="D49" s="1"/>
    </row>
    <row r="50" spans="1:4" s="98" customFormat="1">
      <c r="A50" s="127" t="s">
        <v>191</v>
      </c>
      <c r="B50" s="126"/>
      <c r="C50" s="129">
        <f t="shared" si="0"/>
        <v>46</v>
      </c>
      <c r="D50" s="1"/>
    </row>
    <row r="51" spans="1:4" s="98" customFormat="1">
      <c r="A51" s="127" t="s">
        <v>192</v>
      </c>
      <c r="B51" s="126"/>
      <c r="C51" s="129">
        <f t="shared" si="0"/>
        <v>47</v>
      </c>
      <c r="D51" s="1"/>
    </row>
    <row r="52" spans="1:4" s="98" customFormat="1">
      <c r="A52" s="127" t="s">
        <v>193</v>
      </c>
      <c r="B52" s="126"/>
      <c r="C52" s="129">
        <f t="shared" si="0"/>
        <v>48</v>
      </c>
      <c r="D52" s="1"/>
    </row>
    <row r="53" spans="1:4" s="98" customFormat="1">
      <c r="A53" s="127" t="s">
        <v>194</v>
      </c>
      <c r="B53" s="126"/>
      <c r="C53" s="129">
        <f t="shared" si="0"/>
        <v>49</v>
      </c>
      <c r="D53" s="1"/>
    </row>
    <row r="54" spans="1:4" s="98" customFormat="1">
      <c r="A54" s="127" t="s">
        <v>195</v>
      </c>
      <c r="B54" s="126"/>
      <c r="C54" s="129">
        <f t="shared" si="0"/>
        <v>50</v>
      </c>
      <c r="D54" s="1"/>
    </row>
    <row r="55" spans="1:4" s="98" customFormat="1">
      <c r="A55" s="186" t="s">
        <v>215</v>
      </c>
      <c r="B55" s="187"/>
      <c r="C55" s="129">
        <f t="shared" si="0"/>
        <v>51</v>
      </c>
      <c r="D55" s="1"/>
    </row>
    <row r="56" spans="1:4">
      <c r="A56" s="93"/>
      <c r="C56" s="99"/>
      <c r="D56" s="93"/>
    </row>
    <row r="57" spans="1:4">
      <c r="A57" s="93"/>
      <c r="C57" s="99"/>
      <c r="D57" s="93"/>
    </row>
    <row r="58" spans="1:4">
      <c r="A58" s="93"/>
      <c r="C58" s="99"/>
      <c r="D58" s="93"/>
    </row>
    <row r="59" spans="1:4">
      <c r="A59" s="93"/>
      <c r="C59" s="99"/>
      <c r="D59" s="93"/>
    </row>
    <row r="60" spans="1:4">
      <c r="A60" s="93"/>
      <c r="C60" s="99"/>
      <c r="D60" s="93"/>
    </row>
    <row r="61" spans="1:4">
      <c r="A61" s="93"/>
      <c r="C61" s="99"/>
      <c r="D61" s="93"/>
    </row>
    <row r="62" spans="1:4">
      <c r="A62" s="93"/>
      <c r="C62" s="99"/>
      <c r="D62" s="93"/>
    </row>
    <row r="63" spans="1:4">
      <c r="A63" s="93"/>
      <c r="C63" s="99"/>
      <c r="D63" s="93"/>
    </row>
    <row r="64" spans="1:4">
      <c r="A64" s="93"/>
      <c r="C64" s="99"/>
      <c r="D64" s="93"/>
    </row>
    <row r="65" spans="1:4">
      <c r="A65" s="93"/>
      <c r="C65" s="99"/>
      <c r="D65" s="93"/>
    </row>
    <row r="66" spans="1:4">
      <c r="A66" s="93"/>
      <c r="C66" s="99"/>
      <c r="D66" s="93"/>
    </row>
    <row r="67" spans="1:4">
      <c r="A67" s="93"/>
      <c r="C67" s="99"/>
      <c r="D67" s="93"/>
    </row>
    <row r="68" spans="1:4">
      <c r="A68" s="93"/>
      <c r="C68" s="99"/>
      <c r="D68" s="93"/>
    </row>
    <row r="69" spans="1:4">
      <c r="A69" s="93"/>
      <c r="C69" s="99"/>
      <c r="D69" s="93"/>
    </row>
    <row r="70" spans="1:4">
      <c r="A70" s="93"/>
      <c r="C70" s="99"/>
      <c r="D70" s="93"/>
    </row>
    <row r="71" spans="1:4">
      <c r="A71" s="93"/>
      <c r="C71" s="99"/>
      <c r="D71" s="93"/>
    </row>
    <row r="72" spans="1:4">
      <c r="A72" s="93"/>
      <c r="C72" s="99"/>
      <c r="D72" s="93"/>
    </row>
    <row r="73" spans="1:4">
      <c r="A73" s="93"/>
      <c r="C73" s="99"/>
      <c r="D73" s="93"/>
    </row>
    <row r="74" spans="1:4">
      <c r="A74" s="93"/>
      <c r="C74" s="99"/>
      <c r="D74" s="93"/>
    </row>
    <row r="75" spans="1:4">
      <c r="A75" s="93"/>
      <c r="C75" s="99"/>
      <c r="D75" s="93"/>
    </row>
    <row r="76" spans="1:4">
      <c r="A76" s="93"/>
      <c r="C76" s="99"/>
      <c r="D76" s="93"/>
    </row>
    <row r="77" spans="1:4">
      <c r="A77" s="93"/>
      <c r="C77" s="99"/>
      <c r="D77" s="93"/>
    </row>
    <row r="78" spans="1:4">
      <c r="A78" s="93"/>
      <c r="C78" s="99"/>
      <c r="D78" s="93"/>
    </row>
    <row r="79" spans="1:4">
      <c r="A79" s="93"/>
      <c r="C79" s="99"/>
      <c r="D79" s="93"/>
    </row>
    <row r="80" spans="1:4">
      <c r="A80" s="93"/>
      <c r="C80" s="99"/>
      <c r="D80" s="93"/>
    </row>
    <row r="81" spans="1:4">
      <c r="A81" s="93"/>
      <c r="C81" s="99"/>
      <c r="D81" s="93"/>
    </row>
    <row r="82" spans="1:4">
      <c r="A82" s="93"/>
      <c r="C82" s="99"/>
      <c r="D82" s="93"/>
    </row>
    <row r="83" spans="1:4">
      <c r="A83" s="93"/>
      <c r="C83" s="99"/>
      <c r="D83" s="93"/>
    </row>
    <row r="84" spans="1:4">
      <c r="A84" s="93"/>
      <c r="C84" s="99"/>
      <c r="D84" s="93"/>
    </row>
    <row r="85" spans="1:4">
      <c r="A85" s="93"/>
      <c r="C85" s="99"/>
      <c r="D85" s="93"/>
    </row>
    <row r="86" spans="1:4">
      <c r="A86" s="93"/>
      <c r="C86" s="99"/>
      <c r="D86" s="93"/>
    </row>
    <row r="87" spans="1:4">
      <c r="A87" s="93"/>
      <c r="C87" s="99"/>
      <c r="D87" s="93"/>
    </row>
    <row r="88" spans="1:4">
      <c r="A88" s="93"/>
      <c r="C88" s="99"/>
      <c r="D88" s="93"/>
    </row>
    <row r="89" spans="1:4">
      <c r="A89" s="93"/>
      <c r="C89" s="99"/>
      <c r="D89" s="93"/>
    </row>
    <row r="90" spans="1:4">
      <c r="A90" s="93"/>
      <c r="C90" s="99"/>
      <c r="D90" s="93"/>
    </row>
  </sheetData>
  <mergeCells count="5">
    <mergeCell ref="A1:C1"/>
    <mergeCell ref="A2:C2"/>
    <mergeCell ref="A3:C3"/>
    <mergeCell ref="A4:C4"/>
    <mergeCell ref="A5:C5"/>
  </mergeCells>
  <printOptions horizontalCentered="1" verticalCentered="1"/>
  <pageMargins left="0.64" right="0.16" top="0.25" bottom="0" header="0.5" footer="0.25"/>
  <pageSetup scale="95" orientation="portrait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67"/>
  <sheetViews>
    <sheetView view="pageBreakPreview" topLeftCell="A16" zoomScale="90" zoomScaleNormal="100" zoomScaleSheetLayoutView="90" workbookViewId="0">
      <selection activeCell="M27" sqref="M27"/>
    </sheetView>
  </sheetViews>
  <sheetFormatPr defaultRowHeight="12.75"/>
  <cols>
    <col min="1" max="1" width="22.85546875" style="1" customWidth="1"/>
    <col min="2" max="13" width="7.140625" style="1" customWidth="1"/>
    <col min="14" max="14" width="4.42578125" style="1" customWidth="1"/>
    <col min="15" max="16384" width="9.140625" style="1"/>
  </cols>
  <sheetData>
    <row r="1" spans="1:21" ht="18" customHeight="1">
      <c r="A1" s="130"/>
      <c r="B1" s="131"/>
      <c r="C1" s="131"/>
      <c r="D1" s="131"/>
      <c r="E1" s="131"/>
      <c r="F1" s="131"/>
      <c r="G1" s="130"/>
      <c r="H1" s="130"/>
      <c r="I1" s="131"/>
      <c r="J1" s="131"/>
      <c r="K1" s="131"/>
      <c r="L1" s="130"/>
      <c r="M1" s="143" t="s">
        <v>199</v>
      </c>
    </row>
    <row r="2" spans="1:21" ht="18" customHeight="1">
      <c r="A2" s="130"/>
      <c r="B2" s="135"/>
      <c r="C2" s="135"/>
      <c r="D2" s="135"/>
      <c r="E2" s="135"/>
      <c r="F2" s="135"/>
      <c r="G2" s="130"/>
      <c r="H2" s="130"/>
      <c r="I2" s="135"/>
      <c r="J2" s="135"/>
      <c r="K2" s="135"/>
      <c r="L2" s="130"/>
      <c r="M2" s="155" t="s">
        <v>2183</v>
      </c>
    </row>
    <row r="3" spans="1:21" s="5" customFormat="1" ht="18" customHeight="1">
      <c r="A3" s="133"/>
      <c r="B3" s="133"/>
      <c r="C3" s="133"/>
      <c r="D3" s="133"/>
      <c r="E3" s="133"/>
      <c r="F3" s="133"/>
      <c r="G3" s="133"/>
      <c r="H3" s="133"/>
      <c r="I3" s="133"/>
      <c r="J3" s="136"/>
      <c r="K3" s="136"/>
      <c r="L3" s="133"/>
      <c r="M3" s="155" t="s">
        <v>208</v>
      </c>
      <c r="N3" s="134"/>
      <c r="O3" s="134"/>
      <c r="P3" s="134"/>
      <c r="Q3" s="134"/>
      <c r="R3" s="134"/>
      <c r="S3" s="134"/>
      <c r="T3" s="134"/>
      <c r="U3" s="134"/>
    </row>
    <row r="4" spans="1:21" s="8" customFormat="1" ht="6.75" customHeight="1" thickBot="1">
      <c r="A4" s="38"/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</row>
    <row r="5" spans="1:21" s="8" customFormat="1" ht="11.25" customHeight="1" thickBot="1">
      <c r="A5" s="53" t="s">
        <v>19</v>
      </c>
      <c r="B5" s="50">
        <v>41275</v>
      </c>
      <c r="C5" s="47">
        <v>41306</v>
      </c>
      <c r="D5" s="47">
        <v>41334</v>
      </c>
      <c r="E5" s="47">
        <v>41365</v>
      </c>
      <c r="F5" s="47">
        <v>41395</v>
      </c>
      <c r="G5" s="47">
        <v>41426</v>
      </c>
      <c r="H5" s="47">
        <v>41456</v>
      </c>
      <c r="I5" s="47">
        <v>41487</v>
      </c>
      <c r="J5" s="47">
        <v>41518</v>
      </c>
      <c r="K5" s="47">
        <v>41548</v>
      </c>
      <c r="L5" s="47">
        <v>41579</v>
      </c>
      <c r="M5" s="51">
        <v>41609</v>
      </c>
    </row>
    <row r="6" spans="1:21" s="8" customFormat="1" ht="11.25" customHeight="1">
      <c r="A6" s="41" t="s">
        <v>129</v>
      </c>
      <c r="B6" s="57">
        <f t="shared" ref="B6:L6" si="0">B32</f>
        <v>33</v>
      </c>
      <c r="C6" s="57">
        <f t="shared" si="0"/>
        <v>28</v>
      </c>
      <c r="D6" s="57">
        <f t="shared" si="0"/>
        <v>26</v>
      </c>
      <c r="E6" s="57">
        <f t="shared" si="0"/>
        <v>21</v>
      </c>
      <c r="F6" s="57">
        <f t="shared" si="0"/>
        <v>21</v>
      </c>
      <c r="G6" s="57">
        <f t="shared" si="0"/>
        <v>27</v>
      </c>
      <c r="H6" s="57">
        <f t="shared" si="0"/>
        <v>5</v>
      </c>
      <c r="I6" s="57">
        <f t="shared" si="0"/>
        <v>15</v>
      </c>
      <c r="J6" s="57">
        <f t="shared" si="0"/>
        <v>24</v>
      </c>
      <c r="K6" s="57">
        <f t="shared" si="0"/>
        <v>11</v>
      </c>
      <c r="L6" s="156">
        <f t="shared" si="0"/>
        <v>0</v>
      </c>
      <c r="M6" s="168">
        <v>0</v>
      </c>
    </row>
    <row r="7" spans="1:21" s="8" customFormat="1" ht="11.25" customHeight="1">
      <c r="A7" s="42" t="s">
        <v>18</v>
      </c>
      <c r="B7" s="57">
        <f t="shared" ref="B7:K7" si="1">SUM(B10:B12)</f>
        <v>168</v>
      </c>
      <c r="C7" s="57">
        <f t="shared" si="1"/>
        <v>168</v>
      </c>
      <c r="D7" s="57">
        <f t="shared" si="1"/>
        <v>181</v>
      </c>
      <c r="E7" s="57">
        <f t="shared" si="1"/>
        <v>169</v>
      </c>
      <c r="F7" s="57">
        <f t="shared" si="1"/>
        <v>145</v>
      </c>
      <c r="G7" s="57">
        <f t="shared" si="1"/>
        <v>185</v>
      </c>
      <c r="H7" s="57">
        <f t="shared" si="1"/>
        <v>62</v>
      </c>
      <c r="I7" s="57">
        <f t="shared" si="1"/>
        <v>80</v>
      </c>
      <c r="J7" s="57">
        <f t="shared" si="1"/>
        <v>130</v>
      </c>
      <c r="K7" s="57">
        <f t="shared" si="1"/>
        <v>70</v>
      </c>
      <c r="L7" s="156">
        <v>0</v>
      </c>
      <c r="M7" s="171">
        <v>0</v>
      </c>
    </row>
    <row r="8" spans="1:21" s="8" customFormat="1" ht="11.25" customHeight="1" thickBot="1">
      <c r="A8" s="43" t="s">
        <v>14</v>
      </c>
      <c r="B8" s="58">
        <f t="shared" ref="B8:L8" si="2">SUM(B6:B7)</f>
        <v>201</v>
      </c>
      <c r="C8" s="58">
        <f t="shared" si="2"/>
        <v>196</v>
      </c>
      <c r="D8" s="58">
        <f t="shared" si="2"/>
        <v>207</v>
      </c>
      <c r="E8" s="58">
        <f t="shared" si="2"/>
        <v>190</v>
      </c>
      <c r="F8" s="58">
        <f t="shared" si="2"/>
        <v>166</v>
      </c>
      <c r="G8" s="58">
        <f t="shared" si="2"/>
        <v>212</v>
      </c>
      <c r="H8" s="58">
        <f t="shared" si="2"/>
        <v>67</v>
      </c>
      <c r="I8" s="58">
        <f t="shared" si="2"/>
        <v>95</v>
      </c>
      <c r="J8" s="58">
        <f t="shared" si="2"/>
        <v>154</v>
      </c>
      <c r="K8" s="58">
        <f t="shared" si="2"/>
        <v>81</v>
      </c>
      <c r="L8" s="157">
        <f t="shared" si="2"/>
        <v>0</v>
      </c>
      <c r="M8" s="172">
        <v>0</v>
      </c>
    </row>
    <row r="9" spans="1:21" s="8" customFormat="1" ht="11.25" customHeight="1" thickBot="1">
      <c r="A9" s="54" t="s">
        <v>18</v>
      </c>
      <c r="B9" s="50">
        <v>41275</v>
      </c>
      <c r="C9" s="47">
        <v>41306</v>
      </c>
      <c r="D9" s="47">
        <v>41334</v>
      </c>
      <c r="E9" s="47">
        <v>41365</v>
      </c>
      <c r="F9" s="47">
        <v>41395</v>
      </c>
      <c r="G9" s="47">
        <v>41426</v>
      </c>
      <c r="H9" s="47">
        <v>41456</v>
      </c>
      <c r="I9" s="47">
        <v>41487</v>
      </c>
      <c r="J9" s="47">
        <v>41518</v>
      </c>
      <c r="K9" s="47">
        <v>41548</v>
      </c>
      <c r="L9" s="47">
        <v>41579</v>
      </c>
      <c r="M9" s="51">
        <v>41609</v>
      </c>
    </row>
    <row r="10" spans="1:21" s="8" customFormat="1" ht="11.25" customHeight="1">
      <c r="A10" s="9" t="s">
        <v>128</v>
      </c>
      <c r="B10" s="57">
        <f t="shared" ref="B10:L10" si="3">B52</f>
        <v>85</v>
      </c>
      <c r="C10" s="57">
        <f t="shared" si="3"/>
        <v>105</v>
      </c>
      <c r="D10" s="57">
        <f t="shared" si="3"/>
        <v>108</v>
      </c>
      <c r="E10" s="57">
        <f t="shared" si="3"/>
        <v>101</v>
      </c>
      <c r="F10" s="57">
        <f t="shared" si="3"/>
        <v>86</v>
      </c>
      <c r="G10" s="59">
        <f t="shared" si="3"/>
        <v>101</v>
      </c>
      <c r="H10" s="59">
        <f t="shared" si="3"/>
        <v>31</v>
      </c>
      <c r="I10" s="59">
        <f t="shared" si="3"/>
        <v>46</v>
      </c>
      <c r="J10" s="59">
        <f t="shared" si="3"/>
        <v>76</v>
      </c>
      <c r="K10" s="59">
        <f t="shared" si="3"/>
        <v>42</v>
      </c>
      <c r="L10" s="158">
        <f t="shared" si="3"/>
        <v>0</v>
      </c>
      <c r="M10" s="168">
        <v>0</v>
      </c>
    </row>
    <row r="11" spans="1:21" s="8" customFormat="1" ht="11.25" customHeight="1">
      <c r="A11" s="9" t="s">
        <v>127</v>
      </c>
      <c r="B11" s="59">
        <f t="shared" ref="B11:L11" si="4">B65</f>
        <v>32</v>
      </c>
      <c r="C11" s="59">
        <f t="shared" si="4"/>
        <v>19</v>
      </c>
      <c r="D11" s="59">
        <f t="shared" si="4"/>
        <v>23</v>
      </c>
      <c r="E11" s="59">
        <f t="shared" si="4"/>
        <v>22</v>
      </c>
      <c r="F11" s="59">
        <f t="shared" si="4"/>
        <v>16</v>
      </c>
      <c r="G11" s="59">
        <f t="shared" si="4"/>
        <v>11</v>
      </c>
      <c r="H11" s="59">
        <f t="shared" si="4"/>
        <v>7</v>
      </c>
      <c r="I11" s="59">
        <f t="shared" si="4"/>
        <v>7</v>
      </c>
      <c r="J11" s="59">
        <f t="shared" si="4"/>
        <v>8</v>
      </c>
      <c r="K11" s="59">
        <f t="shared" si="4"/>
        <v>1</v>
      </c>
      <c r="L11" s="158">
        <f t="shared" si="4"/>
        <v>0</v>
      </c>
      <c r="M11" s="169">
        <v>0</v>
      </c>
    </row>
    <row r="12" spans="1:21" s="8" customFormat="1" ht="11.25" customHeight="1" thickBot="1">
      <c r="A12" s="2" t="s">
        <v>12</v>
      </c>
      <c r="B12" s="60">
        <f>COUNTIFS(Jan!$B:$B,2091,Jan!$F:$F,800)</f>
        <v>51</v>
      </c>
      <c r="C12" s="60">
        <v>44</v>
      </c>
      <c r="D12" s="60">
        <v>50</v>
      </c>
      <c r="E12" s="60">
        <v>46</v>
      </c>
      <c r="F12" s="60">
        <v>43</v>
      </c>
      <c r="G12" s="60">
        <v>73</v>
      </c>
      <c r="H12" s="60">
        <v>24</v>
      </c>
      <c r="I12" s="60">
        <v>27</v>
      </c>
      <c r="J12" s="60">
        <v>46</v>
      </c>
      <c r="K12" s="60">
        <v>27</v>
      </c>
      <c r="L12" s="60">
        <v>0</v>
      </c>
      <c r="M12" s="60">
        <v>0</v>
      </c>
    </row>
    <row r="13" spans="1:21" s="8" customFormat="1" ht="5.0999999999999996" customHeight="1" thickBot="1">
      <c r="A13" s="3"/>
      <c r="B13" s="17"/>
      <c r="C13" s="17"/>
      <c r="D13" s="17"/>
      <c r="E13" s="17"/>
      <c r="F13" s="17"/>
      <c r="G13" s="17"/>
      <c r="H13" s="17"/>
      <c r="I13" s="17"/>
      <c r="J13" s="17"/>
      <c r="K13" s="17"/>
      <c r="L13" s="17"/>
      <c r="M13" s="147"/>
    </row>
    <row r="14" spans="1:21" s="16" customFormat="1" ht="11.25" customHeight="1">
      <c r="A14" s="44" t="s">
        <v>131</v>
      </c>
      <c r="B14" s="120">
        <v>20783</v>
      </c>
      <c r="C14" s="120">
        <v>22026</v>
      </c>
      <c r="D14" s="120">
        <v>23156</v>
      </c>
      <c r="E14" s="120">
        <v>21087</v>
      </c>
      <c r="F14" s="120">
        <v>23079</v>
      </c>
      <c r="G14" s="120">
        <v>23393</v>
      </c>
      <c r="H14" s="119">
        <v>18452</v>
      </c>
      <c r="I14" s="61">
        <v>9821</v>
      </c>
      <c r="J14" s="61">
        <v>22151</v>
      </c>
      <c r="K14" s="118">
        <v>12236</v>
      </c>
      <c r="L14" s="160">
        <v>0</v>
      </c>
      <c r="M14" s="173">
        <v>0</v>
      </c>
      <c r="O14" s="22"/>
      <c r="P14" s="22"/>
      <c r="Q14" s="22"/>
    </row>
    <row r="15" spans="1:21" s="8" customFormat="1" ht="11.25" customHeight="1">
      <c r="A15" s="45" t="s">
        <v>132</v>
      </c>
      <c r="B15" s="62">
        <f>IFERROR((SUMIFS(Jan!$N:$N,Jan!$J:$J,1,Jan!$B:$B,2091)+SUMIFS(Jan!$N:$N,Jan!$D:$D,"&gt;1",Jan!$B:$B,2091))/(COUNTIFS(Jan!$J:$J,1,Jan!$B:$B,2091)+COUNTIFS(Jan!$D:$D,"&gt;1",Jan!$B:$B,2091)),"")</f>
        <v>28.391304347826086</v>
      </c>
      <c r="C15" s="62">
        <v>24.35</v>
      </c>
      <c r="D15" s="62">
        <v>24.53</v>
      </c>
      <c r="E15" s="62">
        <v>24.58</v>
      </c>
      <c r="F15" s="62">
        <v>25.99</v>
      </c>
      <c r="G15" s="62">
        <v>25.15</v>
      </c>
      <c r="H15" s="62">
        <v>25.08</v>
      </c>
      <c r="I15" s="62">
        <v>25.53</v>
      </c>
      <c r="J15" s="62">
        <v>24.43</v>
      </c>
      <c r="K15" s="62">
        <v>25.18</v>
      </c>
      <c r="L15" s="62">
        <v>0</v>
      </c>
      <c r="M15" s="62">
        <v>0</v>
      </c>
      <c r="N15" s="15"/>
      <c r="O15" s="1"/>
      <c r="P15" s="1"/>
      <c r="Q15" s="1"/>
    </row>
    <row r="16" spans="1:21" s="8" customFormat="1" ht="11.25" customHeight="1">
      <c r="A16" s="45" t="s">
        <v>133</v>
      </c>
      <c r="B16" s="62">
        <f>IFERROR(AVERAGEIFS(Jan!$N:$N,Jan!$F:$F,800,Jan!$B:$B,2091),"")</f>
        <v>29.333333333333332</v>
      </c>
      <c r="C16" s="62">
        <v>26.19</v>
      </c>
      <c r="D16" s="62">
        <v>28.68</v>
      </c>
      <c r="E16" s="62">
        <v>26.84</v>
      </c>
      <c r="F16" s="62">
        <v>27.82</v>
      </c>
      <c r="G16" s="62">
        <v>26.84</v>
      </c>
      <c r="H16" s="62">
        <v>26.29</v>
      </c>
      <c r="I16" s="62">
        <v>27.61</v>
      </c>
      <c r="J16" s="62">
        <v>26.22</v>
      </c>
      <c r="K16" s="62">
        <v>25.48</v>
      </c>
      <c r="L16" s="62">
        <v>0</v>
      </c>
      <c r="M16" s="62">
        <v>0</v>
      </c>
      <c r="O16" s="1"/>
      <c r="P16" s="1"/>
      <c r="Q16" s="1"/>
    </row>
    <row r="17" spans="1:17" s="8" customFormat="1" ht="11.25" customHeight="1">
      <c r="A17" s="45" t="s">
        <v>134</v>
      </c>
      <c r="B17" s="63">
        <f>IFERROR((SUMIFS(Jan!$M:$M,Jan!$J:$J,1,Jan!$B:$B,2091)+SUMIFS(Jan!$M:$M,Jan!$D:$D,"&gt;1",Jan!$B:$B,2091))/(COUNTIFS(Jan!$J:$J,1,Jan!$B:$B,2091)+COUNTIFS(Jan!$D:$D,"&gt;1",Jan!$B:$B,2091)),"")</f>
        <v>0.70289855072463747</v>
      </c>
      <c r="C17" s="63">
        <v>2.75</v>
      </c>
      <c r="D17" s="63">
        <v>1.69</v>
      </c>
      <c r="E17" s="63">
        <v>1.35</v>
      </c>
      <c r="F17" s="63">
        <v>1.1399999999999999</v>
      </c>
      <c r="G17" s="63">
        <v>1.55</v>
      </c>
      <c r="H17" s="63">
        <v>2.58</v>
      </c>
      <c r="I17" s="63">
        <v>2.63</v>
      </c>
      <c r="J17" s="63">
        <v>2.12</v>
      </c>
      <c r="K17" s="63">
        <v>2.25</v>
      </c>
      <c r="L17" s="63">
        <v>0</v>
      </c>
      <c r="M17" s="63">
        <v>0</v>
      </c>
      <c r="O17" s="1"/>
      <c r="P17" s="1"/>
      <c r="Q17" s="1"/>
    </row>
    <row r="18" spans="1:17" s="8" customFormat="1" ht="11.25" customHeight="1" thickBot="1">
      <c r="A18" s="43" t="s">
        <v>135</v>
      </c>
      <c r="B18" s="64">
        <f>IFERROR(AVERAGEIFS(Jan!$M:$M,Jan!$F:$F,800,Jan!$B:$B,2091),"")</f>
        <v>0.73529411764705888</v>
      </c>
      <c r="C18" s="64">
        <v>1.37</v>
      </c>
      <c r="D18" s="64">
        <v>1.21</v>
      </c>
      <c r="E18" s="64">
        <v>0.73</v>
      </c>
      <c r="F18" s="64">
        <v>0.62</v>
      </c>
      <c r="G18" s="64">
        <v>0.69</v>
      </c>
      <c r="H18" s="64">
        <v>0.73</v>
      </c>
      <c r="I18" s="64">
        <v>0.7</v>
      </c>
      <c r="J18" s="64">
        <v>1.52</v>
      </c>
      <c r="K18" s="64">
        <v>0.7</v>
      </c>
      <c r="L18" s="64">
        <v>0</v>
      </c>
      <c r="M18" s="64">
        <v>0</v>
      </c>
    </row>
    <row r="19" spans="1:17" s="8" customFormat="1" ht="5.0999999999999996" customHeight="1" thickBot="1">
      <c r="A19" s="3"/>
      <c r="B19" s="17"/>
      <c r="C19" s="17"/>
      <c r="D19" s="17"/>
      <c r="E19" s="17"/>
      <c r="F19" s="17"/>
      <c r="G19" s="17"/>
      <c r="H19" s="17"/>
      <c r="I19" s="17"/>
      <c r="J19" s="17"/>
      <c r="K19" s="17"/>
      <c r="L19" s="17"/>
      <c r="M19" s="147"/>
    </row>
    <row r="20" spans="1:17" s="8" customFormat="1" ht="11.25" customHeight="1">
      <c r="A20" s="42" t="s">
        <v>52</v>
      </c>
      <c r="B20" s="65">
        <v>31</v>
      </c>
      <c r="C20" s="65">
        <v>28</v>
      </c>
      <c r="D20" s="65">
        <v>31</v>
      </c>
      <c r="E20" s="65">
        <v>30</v>
      </c>
      <c r="F20" s="65">
        <v>31</v>
      </c>
      <c r="G20" s="65">
        <v>30</v>
      </c>
      <c r="H20" s="65">
        <v>31</v>
      </c>
      <c r="I20" s="65">
        <v>31</v>
      </c>
      <c r="J20" s="65">
        <v>30</v>
      </c>
      <c r="K20" s="65">
        <v>31</v>
      </c>
      <c r="L20" s="161">
        <v>30</v>
      </c>
      <c r="M20" s="174">
        <v>31</v>
      </c>
    </row>
    <row r="21" spans="1:17" s="8" customFormat="1" ht="11.25" customHeight="1">
      <c r="A21" s="9" t="s">
        <v>15</v>
      </c>
      <c r="B21" s="66">
        <f>B12/B20</f>
        <v>1.6451612903225807</v>
      </c>
      <c r="C21" s="66">
        <f t="shared" ref="C21:M21" si="5">C12/C20</f>
        <v>1.5714285714285714</v>
      </c>
      <c r="D21" s="66">
        <f>D12/D20</f>
        <v>1.6129032258064515</v>
      </c>
      <c r="E21" s="66">
        <f>E12/E20</f>
        <v>1.5333333333333334</v>
      </c>
      <c r="F21" s="66">
        <f>F12/F20</f>
        <v>1.3870967741935485</v>
      </c>
      <c r="G21" s="66">
        <f>G12/G20</f>
        <v>2.4333333333333331</v>
      </c>
      <c r="H21" s="66">
        <f t="shared" si="5"/>
        <v>0.77419354838709675</v>
      </c>
      <c r="I21" s="66">
        <f t="shared" si="5"/>
        <v>0.87096774193548387</v>
      </c>
      <c r="J21" s="66">
        <f t="shared" si="5"/>
        <v>1.5333333333333334</v>
      </c>
      <c r="K21" s="66">
        <f t="shared" si="5"/>
        <v>0.87096774193548387</v>
      </c>
      <c r="L21" s="162">
        <f t="shared" si="5"/>
        <v>0</v>
      </c>
      <c r="M21" s="175">
        <f t="shared" si="5"/>
        <v>0</v>
      </c>
    </row>
    <row r="22" spans="1:17" s="8" customFormat="1" ht="11.25" customHeight="1">
      <c r="A22" s="9" t="s">
        <v>130</v>
      </c>
      <c r="B22" s="67">
        <f t="shared" ref="B22:G22" si="6">IFERROR(B12/B7,0)</f>
        <v>0.30357142857142855</v>
      </c>
      <c r="C22" s="67">
        <f t="shared" si="6"/>
        <v>0.26190476190476192</v>
      </c>
      <c r="D22" s="67">
        <f t="shared" si="6"/>
        <v>0.27624309392265195</v>
      </c>
      <c r="E22" s="67">
        <f t="shared" si="6"/>
        <v>0.27218934911242604</v>
      </c>
      <c r="F22" s="67">
        <f t="shared" si="6"/>
        <v>0.29655172413793102</v>
      </c>
      <c r="G22" s="67">
        <f t="shared" si="6"/>
        <v>0.39459459459459462</v>
      </c>
      <c r="H22" s="67">
        <f t="shared" ref="H22:M22" si="7">IFERROR(H12/H7,0)</f>
        <v>0.38709677419354838</v>
      </c>
      <c r="I22" s="67">
        <f t="shared" si="7"/>
        <v>0.33750000000000002</v>
      </c>
      <c r="J22" s="67">
        <f t="shared" si="7"/>
        <v>0.35384615384615387</v>
      </c>
      <c r="K22" s="116">
        <f t="shared" si="7"/>
        <v>0.38571428571428573</v>
      </c>
      <c r="L22" s="67">
        <f t="shared" si="7"/>
        <v>0</v>
      </c>
      <c r="M22" s="176">
        <f t="shared" si="7"/>
        <v>0</v>
      </c>
      <c r="N22" s="1"/>
    </row>
    <row r="23" spans="1:17" s="8" customFormat="1" ht="11.25" customHeight="1" thickBot="1">
      <c r="A23" s="9" t="s">
        <v>53</v>
      </c>
      <c r="B23" s="67">
        <f t="shared" ref="B23:G23" si="8">IFERROR(B12/(B11+B12),0)</f>
        <v>0.61445783132530118</v>
      </c>
      <c r="C23" s="67">
        <f t="shared" si="8"/>
        <v>0.69841269841269837</v>
      </c>
      <c r="D23" s="67">
        <f t="shared" si="8"/>
        <v>0.68493150684931503</v>
      </c>
      <c r="E23" s="67">
        <f t="shared" si="8"/>
        <v>0.67647058823529416</v>
      </c>
      <c r="F23" s="67">
        <f t="shared" si="8"/>
        <v>0.72881355932203384</v>
      </c>
      <c r="G23" s="67">
        <f t="shared" si="8"/>
        <v>0.86904761904761907</v>
      </c>
      <c r="H23" s="67">
        <f t="shared" ref="H23:M23" si="9">IFERROR(H12/(H11+H12),0)</f>
        <v>0.77419354838709675</v>
      </c>
      <c r="I23" s="67">
        <f t="shared" si="9"/>
        <v>0.79411764705882348</v>
      </c>
      <c r="J23" s="67">
        <f t="shared" si="9"/>
        <v>0.85185185185185186</v>
      </c>
      <c r="K23" s="117">
        <f t="shared" si="9"/>
        <v>0.9642857142857143</v>
      </c>
      <c r="L23" s="163">
        <f t="shared" si="9"/>
        <v>0</v>
      </c>
      <c r="M23" s="177">
        <f t="shared" si="9"/>
        <v>0</v>
      </c>
      <c r="N23" s="4"/>
    </row>
    <row r="24" spans="1:17" s="8" customFormat="1" ht="11.25" customHeight="1" thickBot="1">
      <c r="A24" s="56" t="s">
        <v>21</v>
      </c>
      <c r="B24" s="50">
        <v>41275</v>
      </c>
      <c r="C24" s="47">
        <v>41306</v>
      </c>
      <c r="D24" s="47">
        <v>41334</v>
      </c>
      <c r="E24" s="47">
        <v>41365</v>
      </c>
      <c r="F24" s="47">
        <v>41395</v>
      </c>
      <c r="G24" s="47">
        <v>41426</v>
      </c>
      <c r="H24" s="47">
        <v>41456</v>
      </c>
      <c r="I24" s="47">
        <v>41487</v>
      </c>
      <c r="J24" s="47">
        <v>41518</v>
      </c>
      <c r="K24" s="47">
        <v>41548</v>
      </c>
      <c r="L24" s="47">
        <v>41579</v>
      </c>
      <c r="M24" s="51">
        <v>41609</v>
      </c>
    </row>
    <row r="25" spans="1:17" s="8" customFormat="1" ht="11.25" customHeight="1">
      <c r="A25" s="18" t="s">
        <v>5</v>
      </c>
      <c r="B25" s="68">
        <f>COUNTIFS(Jan!$B:$B,2091,Jan!$J:$J,18)</f>
        <v>3</v>
      </c>
      <c r="C25" s="68">
        <v>9</v>
      </c>
      <c r="D25" s="68">
        <v>9</v>
      </c>
      <c r="E25" s="68">
        <v>4</v>
      </c>
      <c r="F25" s="68">
        <v>3</v>
      </c>
      <c r="G25" s="68">
        <v>7</v>
      </c>
      <c r="H25" s="68">
        <v>4</v>
      </c>
      <c r="I25" s="68">
        <v>7</v>
      </c>
      <c r="J25" s="68">
        <v>9</v>
      </c>
      <c r="K25" s="68">
        <v>4</v>
      </c>
      <c r="L25" s="68">
        <f>COUNTIFS(Nov!$B:$B,2091,Nov!$J:$J,18)</f>
        <v>0</v>
      </c>
      <c r="M25" s="68">
        <v>0</v>
      </c>
    </row>
    <row r="26" spans="1:17" s="8" customFormat="1" ht="11.25" customHeight="1">
      <c r="A26" s="46" t="s">
        <v>40</v>
      </c>
      <c r="B26" s="57">
        <f>COUNTIFS(Jan!$B:$B,2091,Jan!$J:$J,41)</f>
        <v>0</v>
      </c>
      <c r="C26" s="57">
        <f>COUNTIFS(Feb!$B:$B,2091,Feb!$J:$J,41)</f>
        <v>0</v>
      </c>
      <c r="D26" s="57">
        <f>COUNTIFS(Mar!$B:$B,2091,Mar!$J:$J,41)</f>
        <v>0</v>
      </c>
      <c r="E26" s="57">
        <v>6</v>
      </c>
      <c r="F26" s="57">
        <f>COUNTIFS(May!$B:$B,2091,May!$J:$J,41)</f>
        <v>0</v>
      </c>
      <c r="G26" s="57">
        <f>COUNTIFS(Jun!$B:$B,2091,Jun!$J:$J,41)</f>
        <v>0</v>
      </c>
      <c r="H26" s="57">
        <f>COUNTIFS(Jul!$B:$B,2091,Jul!$J:$J,41)</f>
        <v>0</v>
      </c>
      <c r="I26" s="57">
        <f>COUNTIFS(Aug!$B:$B,2091,Aug!$J:$J,41)</f>
        <v>0</v>
      </c>
      <c r="J26" s="57">
        <f>COUNTIFS(Sep!$B:$B,2091,Sep!$J:$J,41)</f>
        <v>0</v>
      </c>
      <c r="K26" s="57">
        <f>COUNTIFS(Oct!$B:$B,2091,Oct!$J:$J,41)</f>
        <v>0</v>
      </c>
      <c r="L26" s="57">
        <f>COUNTIFS(Nov!$B:$B,2091,Nov!$J:$J,41)</f>
        <v>0</v>
      </c>
      <c r="M26" s="57">
        <v>0</v>
      </c>
    </row>
    <row r="27" spans="1:17" s="8" customFormat="1" ht="11.25" customHeight="1">
      <c r="A27" s="9" t="s">
        <v>11</v>
      </c>
      <c r="B27" s="179">
        <f>COUNTIFS(Jan!$B:$B,2091,Jan!$J:$J,17)</f>
        <v>29</v>
      </c>
      <c r="C27" s="206">
        <v>18</v>
      </c>
      <c r="D27" s="206">
        <v>16</v>
      </c>
      <c r="E27" s="206">
        <v>11</v>
      </c>
      <c r="F27" s="206">
        <v>18</v>
      </c>
      <c r="G27" s="206">
        <v>20</v>
      </c>
      <c r="H27" s="206">
        <v>1</v>
      </c>
      <c r="I27" s="206">
        <v>7</v>
      </c>
      <c r="J27" s="206">
        <v>15</v>
      </c>
      <c r="K27" s="206">
        <v>6</v>
      </c>
      <c r="L27" s="179">
        <f>COUNTIFS(Nov!$B:$B,2091,Nov!$J:$J,17)</f>
        <v>0</v>
      </c>
      <c r="M27" s="206">
        <v>0</v>
      </c>
    </row>
    <row r="28" spans="1:17" s="8" customFormat="1" ht="11.25" customHeight="1">
      <c r="A28" s="9" t="s">
        <v>143</v>
      </c>
      <c r="B28" s="59">
        <f>COUNTIFS(Jan!$B:$B,2091,Jan!$F:$F,455)</f>
        <v>0</v>
      </c>
      <c r="C28" s="59">
        <f>COUNTIFS(Feb!$B:$B,2091,Feb!$F:$F,455)</f>
        <v>0</v>
      </c>
      <c r="D28" s="59">
        <f>COUNTIFS(Mar!$B:$B,2091,Mar!$F:$F,455)</f>
        <v>0</v>
      </c>
      <c r="E28" s="59">
        <v>0</v>
      </c>
      <c r="F28" s="59">
        <f>COUNTIFS(May!$B:$B,2091,May!$F:$F,455)</f>
        <v>0</v>
      </c>
      <c r="G28" s="59">
        <f>COUNTIFS(Jun!$B:$B,2091,Jun!$F:$F,455)</f>
        <v>0</v>
      </c>
      <c r="H28" s="59">
        <f>COUNTIFS(Jul!$B:$B,2091,Jul!$F:$F,455)</f>
        <v>0</v>
      </c>
      <c r="I28" s="59">
        <f>COUNTIFS(Aug!$B:$B,2091,Aug!$F:$F,455)</f>
        <v>0</v>
      </c>
      <c r="J28" s="59">
        <f>COUNTIFS(Sep!$B:$B,2091,Sep!$F:$F,455)</f>
        <v>0</v>
      </c>
      <c r="K28" s="59">
        <f>COUNTIFS(Oct!$B:$B,2091,Oct!$F:$F,455)</f>
        <v>0</v>
      </c>
      <c r="L28" s="59">
        <f>COUNTIFS(Nov!$B:$B,2091,Nov!$F:$F,455)</f>
        <v>0</v>
      </c>
      <c r="M28" s="59">
        <v>0</v>
      </c>
    </row>
    <row r="29" spans="1:17" s="8" customFormat="1" ht="11.25" customHeight="1">
      <c r="A29" s="9" t="s">
        <v>23</v>
      </c>
      <c r="B29" s="59">
        <f>COUNTIFS(Jan!$B:$B,2091,Jan!$J:$J,31)</f>
        <v>0</v>
      </c>
      <c r="C29" s="59">
        <f>COUNTIFS(Feb!$B:$B,2091,Feb!$J:$J,31)</f>
        <v>0</v>
      </c>
      <c r="D29" s="59">
        <f>COUNTIFS(Mar!$B:$B,2091,Mar!$J:$J,31)</f>
        <v>0</v>
      </c>
      <c r="E29" s="59">
        <f>COUNTIFS(Apr!$B:$B,2091,Apr!$J:$J,31)</f>
        <v>0</v>
      </c>
      <c r="F29" s="59">
        <f>COUNTIFS(May!$B:$B,2091,May!$J:$J,31)</f>
        <v>0</v>
      </c>
      <c r="G29" s="59">
        <f>COUNTIFS(Jun!$B:$B,2091,Jun!$J:$J,31)</f>
        <v>0</v>
      </c>
      <c r="H29" s="59">
        <f>COUNTIFS(Jul!$B:$B,2091,Jul!$J:$J,31)</f>
        <v>0</v>
      </c>
      <c r="I29" s="59">
        <f>COUNTIFS(Aug!$B:$B,2091,Aug!$J:$J,31)</f>
        <v>0</v>
      </c>
      <c r="J29" s="59">
        <f>COUNTIFS(Sep!$B:$B,2091,Sep!$J:$J,31)</f>
        <v>0</v>
      </c>
      <c r="K29" s="59">
        <f>COUNTIFS(Oct!$B:$B,2091,Oct!$J:$J,31)</f>
        <v>0</v>
      </c>
      <c r="L29" s="59">
        <f>COUNTIFS(Nov!$B:$B,2091,Nov!$J:$J,31)</f>
        <v>0</v>
      </c>
      <c r="M29" s="59">
        <v>0</v>
      </c>
    </row>
    <row r="30" spans="1:17" s="8" customFormat="1" ht="11.25" customHeight="1">
      <c r="A30" s="9" t="s">
        <v>37</v>
      </c>
      <c r="B30" s="59">
        <f>COUNTIFS(Jan!$B:$B,2091,Jan!$J:$J,4400)</f>
        <v>1</v>
      </c>
      <c r="C30" s="59">
        <v>1</v>
      </c>
      <c r="D30" s="59">
        <v>1</v>
      </c>
      <c r="E30" s="59">
        <f>COUNTIFS(Apr!$B:$B,2091,Apr!$J:$J,4400)</f>
        <v>0</v>
      </c>
      <c r="F30" s="59">
        <f>COUNTIFS(May!$B:$B,2091,May!$J:$J,4400)</f>
        <v>0</v>
      </c>
      <c r="G30" s="59">
        <f>COUNTIFS(Jun!$B:$B,2091,Jun!$J:$J,4400)</f>
        <v>0</v>
      </c>
      <c r="H30" s="59">
        <f>COUNTIFS(Jul!$B:$B,2091,Jul!$J:$J,4400)</f>
        <v>0</v>
      </c>
      <c r="I30" s="59">
        <v>1</v>
      </c>
      <c r="J30" s="59">
        <f>COUNTIFS(Sep!$B:$B,2091,Sep!$J:$J,4400)</f>
        <v>0</v>
      </c>
      <c r="K30" s="59">
        <v>1</v>
      </c>
      <c r="L30" s="59">
        <f>COUNTIFS(Nov!$B:$B,2091,Nov!$J:$J,4400)</f>
        <v>0</v>
      </c>
      <c r="M30" s="59">
        <v>0</v>
      </c>
    </row>
    <row r="31" spans="1:17" s="8" customFormat="1" ht="11.25" customHeight="1">
      <c r="A31" s="10" t="s">
        <v>24</v>
      </c>
      <c r="B31" s="59">
        <f>COUNTIFS(Jan!$B:$B,2091,Jan!$J:$J,30)</f>
        <v>0</v>
      </c>
      <c r="C31" s="59">
        <f>COUNTIFS(Feb!$B:$B,2091,Feb!$J:$J,30)</f>
        <v>0</v>
      </c>
      <c r="D31" s="59">
        <f>COUNTIFS(Mar!$B:$B,2091,Mar!$J:$J,30)</f>
        <v>0</v>
      </c>
      <c r="E31" s="59">
        <f>COUNTIFS(Apr!$B:$B,2091,Apr!$J:$J,30)</f>
        <v>0</v>
      </c>
      <c r="F31" s="59">
        <f>COUNTIFS(May!$B:$B,2091,May!$J:$J,30)</f>
        <v>0</v>
      </c>
      <c r="G31" s="59">
        <f>COUNTIFS(Jun!$B:$B,2091,Jun!$J:$J,30)</f>
        <v>0</v>
      </c>
      <c r="H31" s="59">
        <f>COUNTIFS(Jul!$B:$B,2091,Jul!$J:$J,30)</f>
        <v>0</v>
      </c>
      <c r="I31" s="59">
        <f>COUNTIFS(Aug!$B:$B,2091,Aug!$J:$J,30)</f>
        <v>0</v>
      </c>
      <c r="J31" s="59">
        <f>COUNTIFS(Sep!$B:$B,2091,Sep!$J:$J,30)</f>
        <v>0</v>
      </c>
      <c r="K31" s="59">
        <f>COUNTIFS(Oct!$B:$B,2091,Oct!$J:$J,30)</f>
        <v>0</v>
      </c>
      <c r="L31" s="59">
        <f>COUNTIFS(Nov!$B:$B,2091,Nov!$J:$J,30)</f>
        <v>0</v>
      </c>
      <c r="M31" s="59">
        <v>0</v>
      </c>
    </row>
    <row r="32" spans="1:17" s="14" customFormat="1" ht="11.25" customHeight="1" thickBot="1">
      <c r="A32" s="2" t="s">
        <v>140</v>
      </c>
      <c r="B32" s="60">
        <f>SUM(B25:B31)</f>
        <v>33</v>
      </c>
      <c r="C32" s="60">
        <f t="shared" ref="C32:L32" si="10">SUM(C25:C31)</f>
        <v>28</v>
      </c>
      <c r="D32" s="60">
        <f>SUM(D25:D31)</f>
        <v>26</v>
      </c>
      <c r="E32" s="60">
        <f>SUM(E25:E31)</f>
        <v>21</v>
      </c>
      <c r="F32" s="60">
        <f>SUM(F25:F31)</f>
        <v>21</v>
      </c>
      <c r="G32" s="60">
        <f>SUM(G25:G31)</f>
        <v>27</v>
      </c>
      <c r="H32" s="60">
        <f t="shared" si="10"/>
        <v>5</v>
      </c>
      <c r="I32" s="60">
        <f t="shared" si="10"/>
        <v>15</v>
      </c>
      <c r="J32" s="60">
        <f t="shared" si="10"/>
        <v>24</v>
      </c>
      <c r="K32" s="60">
        <f t="shared" si="10"/>
        <v>11</v>
      </c>
      <c r="L32" s="159">
        <f t="shared" si="10"/>
        <v>0</v>
      </c>
      <c r="M32" s="170">
        <v>0</v>
      </c>
    </row>
    <row r="33" spans="1:13" ht="12" customHeight="1" thickBot="1">
      <c r="A33" s="55" t="s">
        <v>136</v>
      </c>
      <c r="B33" s="50">
        <v>41275</v>
      </c>
      <c r="C33" s="47">
        <v>41306</v>
      </c>
      <c r="D33" s="47">
        <v>41334</v>
      </c>
      <c r="E33" s="47">
        <v>41365</v>
      </c>
      <c r="F33" s="47">
        <v>41395</v>
      </c>
      <c r="G33" s="47">
        <v>41426</v>
      </c>
      <c r="H33" s="47">
        <v>41456</v>
      </c>
      <c r="I33" s="47">
        <v>41487</v>
      </c>
      <c r="J33" s="47">
        <v>41518</v>
      </c>
      <c r="K33" s="47">
        <v>41548</v>
      </c>
      <c r="L33" s="47">
        <v>41579</v>
      </c>
      <c r="M33" s="51">
        <v>41609</v>
      </c>
    </row>
    <row r="34" spans="1:13" s="8" customFormat="1" ht="11.25" customHeight="1">
      <c r="A34" s="46" t="s">
        <v>33</v>
      </c>
      <c r="B34" s="57">
        <f>COUNTIFS(Jan!$B:$B,2091,Jan!$J:$J,40)</f>
        <v>0</v>
      </c>
      <c r="C34" s="57">
        <f>COUNTIFS(Feb!$B:$B,2091,Feb!$J:$J,40)</f>
        <v>0</v>
      </c>
      <c r="D34" s="57">
        <f>COUNTIFS(Mar!$B:$B,2091,Mar!$J:$J,40)</f>
        <v>0</v>
      </c>
      <c r="E34" s="57">
        <f>COUNTIFS(Apr!$B:$B,2091,Apr!$J:$J,40)</f>
        <v>0</v>
      </c>
      <c r="F34" s="57">
        <v>1</v>
      </c>
      <c r="G34" s="57">
        <f>COUNTIFS(Jun!$B:$B,2091,Jun!$J:$J,40)</f>
        <v>0</v>
      </c>
      <c r="H34" s="57">
        <f>COUNTIFS(Jul!$B:$B,2091,Jul!$J:$J,40)</f>
        <v>0</v>
      </c>
      <c r="I34" s="57">
        <f>COUNTIFS(Aug!$B:$B,2091,Aug!$J:$J,40)</f>
        <v>0</v>
      </c>
      <c r="J34" s="57">
        <f>COUNTIFS(Sep!$B:$B,2091,Sep!$J:$J,40)</f>
        <v>0</v>
      </c>
      <c r="K34" s="57">
        <f>COUNTIFS(Oct!$B:$B,2091,Oct!$J:$J,40)</f>
        <v>0</v>
      </c>
      <c r="L34" s="57">
        <f>COUNTIFS(Nov!$B:$B,2091,Nov!$J:$J,40)</f>
        <v>0</v>
      </c>
      <c r="M34" s="57">
        <v>0</v>
      </c>
    </row>
    <row r="35" spans="1:13" s="8" customFormat="1" ht="11.25" customHeight="1">
      <c r="A35" s="10" t="s">
        <v>4</v>
      </c>
      <c r="B35" s="59">
        <f>COUNTIFS(Jan!$B:$B,2091,Jan!$J:$J,15)</f>
        <v>5</v>
      </c>
      <c r="C35" s="59">
        <v>2</v>
      </c>
      <c r="D35" s="59">
        <v>1</v>
      </c>
      <c r="E35" s="59">
        <v>4</v>
      </c>
      <c r="F35" s="59">
        <v>4</v>
      </c>
      <c r="G35" s="59">
        <f>COUNTIFS(Jun!$B:$B,2091,Jun!$J:$J,15)</f>
        <v>0</v>
      </c>
      <c r="H35" s="59">
        <f>COUNTIFS(Jul!$B:$B,2091,Jul!$J:$J,15)</f>
        <v>0</v>
      </c>
      <c r="I35" s="59">
        <f>COUNTIFS(Aug!$B:$B,2091,Aug!$J:$J,15)</f>
        <v>0</v>
      </c>
      <c r="J35" s="59">
        <v>3</v>
      </c>
      <c r="K35" s="59">
        <f>COUNTIFS(Oct!$B:$B,2091,Oct!$J:$J,15)</f>
        <v>0</v>
      </c>
      <c r="L35" s="59">
        <f>COUNTIFS(Nov!$B:$B,2091,Nov!$J:$J,15)</f>
        <v>0</v>
      </c>
      <c r="M35" s="59">
        <v>0</v>
      </c>
    </row>
    <row r="36" spans="1:13" s="8" customFormat="1" ht="11.25" customHeight="1">
      <c r="A36" s="10" t="s">
        <v>39</v>
      </c>
      <c r="B36" s="59">
        <f>COUNTIFS(Jan!$B:$B,2091,Jan!$J:$J,29)</f>
        <v>10</v>
      </c>
      <c r="C36" s="59">
        <v>9</v>
      </c>
      <c r="D36" s="59">
        <v>2</v>
      </c>
      <c r="E36" s="59">
        <v>5</v>
      </c>
      <c r="F36" s="59">
        <v>6</v>
      </c>
      <c r="G36" s="59">
        <v>10</v>
      </c>
      <c r="H36" s="59">
        <v>3</v>
      </c>
      <c r="I36" s="59">
        <v>4</v>
      </c>
      <c r="J36" s="59">
        <v>4</v>
      </c>
      <c r="K36" s="59">
        <v>1</v>
      </c>
      <c r="L36" s="59">
        <f>COUNTIFS(Nov!$B:$B,2091,Nov!$J:$J,29)</f>
        <v>0</v>
      </c>
      <c r="M36" s="59">
        <v>0</v>
      </c>
    </row>
    <row r="37" spans="1:13" s="8" customFormat="1" ht="11.25" customHeight="1">
      <c r="A37" s="10" t="s">
        <v>3</v>
      </c>
      <c r="B37" s="59">
        <f>COUNTIFS(Jan!$B:$B,2091,Jan!$J:$J,13)</f>
        <v>2</v>
      </c>
      <c r="C37" s="59">
        <v>2</v>
      </c>
      <c r="D37" s="59">
        <v>1</v>
      </c>
      <c r="E37" s="59">
        <v>1</v>
      </c>
      <c r="F37" s="59">
        <f>COUNTIFS(May!$B:$B,2091,May!$J:$J,13)</f>
        <v>0</v>
      </c>
      <c r="G37" s="59">
        <v>1</v>
      </c>
      <c r="H37" s="59">
        <f>COUNTIFS(Jul!$B:$B,2091,Jul!$J:$J,13)</f>
        <v>0</v>
      </c>
      <c r="I37" s="59">
        <v>1</v>
      </c>
      <c r="J37" s="59">
        <v>1</v>
      </c>
      <c r="K37" s="59">
        <f>COUNTIFS(Oct!$B:$B,2091,Oct!$J:$J,13)</f>
        <v>0</v>
      </c>
      <c r="L37" s="59">
        <f>COUNTIFS(Nov!$B:$B,2091,Nov!$J:$J,13)</f>
        <v>0</v>
      </c>
      <c r="M37" s="59">
        <v>0</v>
      </c>
    </row>
    <row r="38" spans="1:13" s="8" customFormat="1" ht="11.25" customHeight="1">
      <c r="A38" s="9" t="s">
        <v>218</v>
      </c>
      <c r="B38" s="59">
        <f>COUNTIFS(Jan!$B:$B,2091,Jan!$J:$J,43)</f>
        <v>12</v>
      </c>
      <c r="C38" s="59">
        <v>12</v>
      </c>
      <c r="D38" s="59">
        <v>19</v>
      </c>
      <c r="E38" s="59">
        <v>15</v>
      </c>
      <c r="F38" s="59">
        <v>8</v>
      </c>
      <c r="G38" s="59">
        <v>14</v>
      </c>
      <c r="H38" s="59">
        <v>3</v>
      </c>
      <c r="I38" s="59">
        <v>6</v>
      </c>
      <c r="J38" s="59">
        <v>18</v>
      </c>
      <c r="K38" s="59">
        <v>10</v>
      </c>
      <c r="L38" s="59">
        <f>COUNTIFS(Nov!$B:$B,2091,Nov!$J:$J,43)</f>
        <v>0</v>
      </c>
      <c r="M38" s="59">
        <v>0</v>
      </c>
    </row>
    <row r="39" spans="1:13" s="8" customFormat="1" ht="11.25" customHeight="1">
      <c r="A39" s="10" t="s">
        <v>25</v>
      </c>
      <c r="B39" s="59">
        <f>COUNTIFS(Jan!$B:$B,2091,Jan!$J:$J,24)</f>
        <v>12</v>
      </c>
      <c r="C39" s="59">
        <v>15</v>
      </c>
      <c r="D39" s="59">
        <v>16</v>
      </c>
      <c r="E39" s="59">
        <v>22</v>
      </c>
      <c r="F39" s="59">
        <v>13</v>
      </c>
      <c r="G39" s="59">
        <v>16</v>
      </c>
      <c r="H39" s="59">
        <v>3</v>
      </c>
      <c r="I39" s="59">
        <v>6</v>
      </c>
      <c r="J39" s="59">
        <v>8</v>
      </c>
      <c r="K39" s="59">
        <v>5</v>
      </c>
      <c r="L39" s="59">
        <f>COUNTIFS(Nov!$B:$B,2091,Nov!$J:$J,24)</f>
        <v>0</v>
      </c>
      <c r="M39" s="59">
        <v>0</v>
      </c>
    </row>
    <row r="40" spans="1:13" s="8" customFormat="1" ht="11.25" customHeight="1">
      <c r="A40" s="10" t="s">
        <v>34</v>
      </c>
      <c r="B40" s="59">
        <f>COUNTIFS(Jan!$B:$B,2091,Jan!$J:$J,9)</f>
        <v>0</v>
      </c>
      <c r="C40" s="59">
        <v>2</v>
      </c>
      <c r="D40" s="59">
        <f>COUNTIFS(Mar!$B:$B,2091,Mar!$J:$J,9)</f>
        <v>0</v>
      </c>
      <c r="E40" s="59">
        <f>COUNTIFS(Apr!$B:$B,2091,Apr!$J:$J,9)</f>
        <v>0</v>
      </c>
      <c r="F40" s="59">
        <f>COUNTIFS(May!$B:$B,2091,May!$J:$J,9)</f>
        <v>0</v>
      </c>
      <c r="G40" s="59">
        <f>COUNTIFS(Jun!$B:$B,2091,Jun!$J:$J,9)</f>
        <v>0</v>
      </c>
      <c r="H40" s="59">
        <f>COUNTIFS(Jul!$B:$B,2091,Jul!$J:$J,9)</f>
        <v>0</v>
      </c>
      <c r="I40" s="59">
        <f>COUNTIFS(Aug!$B:$B,2091,Aug!$J:$J,9)</f>
        <v>0</v>
      </c>
      <c r="J40" s="59">
        <f>COUNTIFS(Sep!$B:$B,2091,Sep!$J:$J,9)</f>
        <v>0</v>
      </c>
      <c r="K40" s="59">
        <f>COUNTIFS(Oct!$B:$B,2091,Oct!$J:$J,9)</f>
        <v>0</v>
      </c>
      <c r="L40" s="59">
        <f>COUNTIFS(Nov!$B:$B,2091,Nov!$J:$J,9)</f>
        <v>0</v>
      </c>
      <c r="M40" s="59">
        <v>0</v>
      </c>
    </row>
    <row r="41" spans="1:13" s="8" customFormat="1" ht="11.25" customHeight="1">
      <c r="A41" s="10" t="s">
        <v>31</v>
      </c>
      <c r="B41" s="59">
        <f>COUNTIFS(Jan!$B:$B,2091,Jan!$J:$J,10)</f>
        <v>18</v>
      </c>
      <c r="C41" s="59">
        <v>32</v>
      </c>
      <c r="D41" s="59">
        <v>38</v>
      </c>
      <c r="E41" s="59">
        <v>27</v>
      </c>
      <c r="F41" s="59">
        <v>36</v>
      </c>
      <c r="G41" s="59">
        <v>36</v>
      </c>
      <c r="H41" s="59">
        <v>11</v>
      </c>
      <c r="I41" s="59">
        <v>17</v>
      </c>
      <c r="J41" s="59">
        <v>19</v>
      </c>
      <c r="K41" s="59">
        <v>3</v>
      </c>
      <c r="L41" s="59">
        <f>COUNTIFS(Nov!$B:$B,2091,Nov!$J:$J,10)</f>
        <v>0</v>
      </c>
      <c r="M41" s="59">
        <v>0</v>
      </c>
    </row>
    <row r="42" spans="1:13" s="8" customFormat="1" ht="11.25" customHeight="1">
      <c r="A42" s="10" t="s">
        <v>144</v>
      </c>
      <c r="B42" s="59">
        <f>COUNTIFS(Jan!$B:$B,2091,Jan!$F:$F,462)</f>
        <v>0</v>
      </c>
      <c r="C42" s="59">
        <f>COUNTIFS(Feb!$B:$B,2091,Feb!$F:$F,462)</f>
        <v>0</v>
      </c>
      <c r="D42" s="59">
        <f>COUNTIFS(Mar!$B:$B,2091,Mar!$F:$F,462)</f>
        <v>0</v>
      </c>
      <c r="E42" s="59">
        <f>COUNTIFS(Apr!$B:$B,2091,Apr!$F:$F,462)</f>
        <v>0</v>
      </c>
      <c r="F42" s="59">
        <f>COUNTIFS(May!$B:$B,2091,May!$F:$F,462)</f>
        <v>0</v>
      </c>
      <c r="G42" s="59">
        <f>COUNTIFS(Jun!$B:$B,2091,Jun!$F:$F,462)</f>
        <v>0</v>
      </c>
      <c r="H42" s="59">
        <f>COUNTIFS(Jul!$B:$B,2091,Jul!$F:$F,462)</f>
        <v>0</v>
      </c>
      <c r="I42" s="59">
        <f>COUNTIFS(Aug!$B:$B,2091,Aug!$F:$F,462)</f>
        <v>0</v>
      </c>
      <c r="J42" s="59">
        <f>COUNTIFS(Sep!$B:$B,2091,Sep!$F:$F,462)</f>
        <v>0</v>
      </c>
      <c r="K42" s="59">
        <f>COUNTIFS(Oct!$B:$B,2091,Oct!$F:$F,462)</f>
        <v>0</v>
      </c>
      <c r="L42" s="59">
        <f>COUNTIFS(Nov!$B:$B,2091,Nov!$F:$F,462)</f>
        <v>0</v>
      </c>
      <c r="M42" s="59">
        <v>0</v>
      </c>
    </row>
    <row r="43" spans="1:13" s="8" customFormat="1" ht="11.25" customHeight="1">
      <c r="A43" s="10" t="s">
        <v>1</v>
      </c>
      <c r="B43" s="59">
        <f>COUNTIFS(Jan!$B:$B,2091,Jan!$J:$J,11)</f>
        <v>0</v>
      </c>
      <c r="C43" s="59">
        <v>5</v>
      </c>
      <c r="D43" s="59">
        <v>2</v>
      </c>
      <c r="E43" s="59">
        <v>2</v>
      </c>
      <c r="F43" s="59">
        <v>1</v>
      </c>
      <c r="G43" s="59">
        <v>1</v>
      </c>
      <c r="H43" s="59">
        <f>COUNTIFS(Jul!$B:$B,2091,Jul!$J:$J,11)</f>
        <v>0</v>
      </c>
      <c r="I43" s="59">
        <f>COUNTIFS(Aug!$B:$B,2091,Aug!$J:$J,11)</f>
        <v>0</v>
      </c>
      <c r="J43" s="59">
        <v>9</v>
      </c>
      <c r="K43" s="59">
        <v>11</v>
      </c>
      <c r="L43" s="59">
        <f>COUNTIFS(Nov!$B:$B,2091,Nov!$J:$J,11)</f>
        <v>0</v>
      </c>
      <c r="M43" s="59">
        <v>0</v>
      </c>
    </row>
    <row r="44" spans="1:13" s="8" customFormat="1" ht="11.25" customHeight="1">
      <c r="A44" s="10" t="s">
        <v>26</v>
      </c>
      <c r="B44" s="59">
        <f>COUNTIFS(Jan!$B:$B,2091,Jan!$J:$J,20)</f>
        <v>1</v>
      </c>
      <c r="C44" s="59">
        <v>1</v>
      </c>
      <c r="D44" s="59">
        <f>COUNTIFS(Mar!$B:$B,2091,Mar!$J:$J,20)</f>
        <v>0</v>
      </c>
      <c r="E44" s="59">
        <f>COUNTIFS(Apr!$B:$B,2091,Apr!$J:$J,20)</f>
        <v>0</v>
      </c>
      <c r="F44" s="59">
        <f>COUNTIFS(May!$B:$B,2091,May!$J:$J,20)</f>
        <v>0</v>
      </c>
      <c r="G44" s="59">
        <f>COUNTIFS(Jun!$B:$B,2091,Jun!$J:$J,20)</f>
        <v>0</v>
      </c>
      <c r="H44" s="59">
        <v>1</v>
      </c>
      <c r="I44" s="59">
        <f>COUNTIFS(Aug!$B:$B,2091,Aug!$J:$J,20)</f>
        <v>0</v>
      </c>
      <c r="J44" s="59">
        <f>COUNTIFS(Sep!$B:$B,2091,Sep!$J:$J,20)</f>
        <v>0</v>
      </c>
      <c r="K44" s="59">
        <f>COUNTIFS(Oct!$B:$B,2091,Oct!$J:$J,20)</f>
        <v>0</v>
      </c>
      <c r="L44" s="59">
        <f>COUNTIFS(Nov!$B:$B,2091,Nov!$J:$J,20)</f>
        <v>0</v>
      </c>
      <c r="M44" s="59">
        <v>0</v>
      </c>
    </row>
    <row r="45" spans="1:13" s="8" customFormat="1" ht="11.25" customHeight="1">
      <c r="A45" s="10" t="s">
        <v>32</v>
      </c>
      <c r="B45" s="59">
        <f>COUNTIFS(Jan!$B:$B,2091,Jan!$J:$J,2)</f>
        <v>19</v>
      </c>
      <c r="C45" s="59">
        <v>17</v>
      </c>
      <c r="D45" s="59">
        <v>24</v>
      </c>
      <c r="E45" s="59">
        <v>21</v>
      </c>
      <c r="F45" s="59">
        <v>8</v>
      </c>
      <c r="G45" s="59">
        <v>18</v>
      </c>
      <c r="H45" s="59">
        <v>9</v>
      </c>
      <c r="I45" s="59">
        <v>9</v>
      </c>
      <c r="J45" s="59">
        <v>8</v>
      </c>
      <c r="K45" s="59">
        <v>6</v>
      </c>
      <c r="L45" s="59">
        <f>COUNTIFS(Nov!$B:$B,2091,Nov!$J:$J,2)</f>
        <v>0</v>
      </c>
      <c r="M45" s="59">
        <v>0</v>
      </c>
    </row>
    <row r="46" spans="1:13" s="8" customFormat="1" ht="11.25" customHeight="1">
      <c r="A46" s="10" t="s">
        <v>28</v>
      </c>
      <c r="B46" s="59">
        <f>COUNTIFS(Jan!$B:$B,2091,Jan!$J:$J,1700)+COUNTIFS(Jan!$B:$B,2091,Jan!$F:$F,1700)+COUNTIFS(Jan!$B:$B,2091,Jan!$J:$J,19)</f>
        <v>0</v>
      </c>
      <c r="C46" s="59">
        <f>COUNTIFS(Feb!$B:$B,2091,Feb!$J:$J,1700)+COUNTIFS(Feb!$B:$B,2091,Feb!$F:$F,1700)+COUNTIFS(Feb!$B:$B,2091,Feb!$J:$J,19)</f>
        <v>0</v>
      </c>
      <c r="D46" s="59">
        <f>COUNTIFS(Mar!$B:$B,2091,Mar!$J:$J,1700)+COUNTIFS(Mar!$B:$B,2091,Mar!$F:$F,1700)+COUNTIFS(Mar!$B:$B,2091,Mar!$J:$J,19)</f>
        <v>0</v>
      </c>
      <c r="E46" s="59">
        <f>COUNTIFS(Apr!$B:$B,2091,Apr!$J:$J,1700)+COUNTIFS(Apr!$B:$B,2091,Apr!$F:$F,1700)+COUNTIFS(Apr!$B:$B,2091,Apr!$J:$J,19)</f>
        <v>0</v>
      </c>
      <c r="F46" s="59">
        <f>COUNTIFS(May!$B:$B,2091,May!$J:$J,1700)+COUNTIFS(May!$B:$B,2091,May!$F:$F,1700)+COUNTIFS(May!$B:$B,2091,May!$J:$J,19)</f>
        <v>0</v>
      </c>
      <c r="G46" s="59">
        <f>COUNTIFS(Jun!$B:$B,2091,Jun!$J:$J,1700)+COUNTIFS(Jun!$B:$B,2091,Jun!$F:$F,1700)+COUNTIFS(Jun!$B:$B,2091,Jun!$J:$J,19)</f>
        <v>0</v>
      </c>
      <c r="H46" s="59">
        <f>COUNTIFS(Jul!$B:$B,2091,Jul!$J:$J,1700)+COUNTIFS(Jul!$B:$B,2091,Jul!$F:$F,1700)+COUNTIFS(Jul!$B:$B,2091,Jul!$J:$J,19)</f>
        <v>0</v>
      </c>
      <c r="I46" s="59">
        <f>COUNTIFS(Aug!$B:$B,2091,Aug!$J:$J,1700)+COUNTIFS(Aug!$B:$B,2091,Aug!$F:$F,1700)+COUNTIFS(Aug!$B:$B,2091,Aug!$J:$J,19)</f>
        <v>0</v>
      </c>
      <c r="J46" s="59">
        <f>COUNTIFS(Sep!$B:$B,2091,Sep!$J:$J,1700)+COUNTIFS(Sep!$B:$B,2091,Sep!$F:$F,1700)+COUNTIFS(Sep!$B:$B,2091,Sep!$J:$J,19)</f>
        <v>0</v>
      </c>
      <c r="K46" s="59">
        <f>COUNTIFS(Oct!$B:$B,2091,Oct!$J:$J,1700)+COUNTIFS(Oct!$B:$B,2091,Oct!$F:$F,1700)+COUNTIFS(Oct!$B:$B,2091,Oct!$J:$J,19)</f>
        <v>0</v>
      </c>
      <c r="L46" s="59">
        <f>COUNTIFS(Nov!$B:$B,2091,Nov!$J:$J,1700)+COUNTIFS(Nov!$B:$B,2091,Nov!$F:$F,1700)+COUNTIFS(Nov!$B:$B,2091,Nov!$J:$J,19)</f>
        <v>0</v>
      </c>
      <c r="M46" s="59">
        <v>0</v>
      </c>
    </row>
    <row r="47" spans="1:13" s="8" customFormat="1" ht="11.25" customHeight="1">
      <c r="A47" s="10" t="s">
        <v>0</v>
      </c>
      <c r="B47" s="59">
        <f>COUNTIFS(Jan!$B:$B,2091,Jan!$J:$J,3)</f>
        <v>4</v>
      </c>
      <c r="C47" s="59">
        <v>4</v>
      </c>
      <c r="D47" s="59">
        <v>3</v>
      </c>
      <c r="E47" s="59">
        <v>2</v>
      </c>
      <c r="F47" s="59">
        <v>5</v>
      </c>
      <c r="G47" s="59">
        <v>1</v>
      </c>
      <c r="H47" s="59">
        <v>1</v>
      </c>
      <c r="I47" s="59">
        <v>3</v>
      </c>
      <c r="J47" s="59">
        <v>2</v>
      </c>
      <c r="K47" s="59">
        <v>3</v>
      </c>
      <c r="L47" s="59">
        <f>COUNTIFS(Nov!$B:$B,2091,Nov!$J:$J,3)</f>
        <v>0</v>
      </c>
      <c r="M47" s="59">
        <v>0</v>
      </c>
    </row>
    <row r="48" spans="1:13" s="8" customFormat="1" ht="11.25" customHeight="1">
      <c r="A48" s="10" t="s">
        <v>35</v>
      </c>
      <c r="B48" s="59">
        <f>COUNTIFS(Jan!$B:$B,2091,Jan!$J:$J,7400)</f>
        <v>0</v>
      </c>
      <c r="C48" s="59">
        <f>COUNTIFS(Feb!$B:$B,2091,Feb!$J:$J,7400)</f>
        <v>0</v>
      </c>
      <c r="D48" s="59">
        <f>COUNTIFS(Mar!$B:$B,2091,Mar!$J:$J,7400)</f>
        <v>0</v>
      </c>
      <c r="E48" s="59">
        <f>COUNTIFS(Apr!$B:$B,2091,Apr!$J:$J,7400)</f>
        <v>0</v>
      </c>
      <c r="F48" s="59">
        <f>COUNTIFS(May!$B:$B,2091,May!$J:$J,7400)</f>
        <v>0</v>
      </c>
      <c r="G48" s="59">
        <f>COUNTIFS(Jun!$B:$B,2091,Jun!$J:$J,7400)</f>
        <v>0</v>
      </c>
      <c r="H48" s="59">
        <f>COUNTIFS(Jul!$B:$B,2091,Jul!$J:$J,7400)</f>
        <v>0</v>
      </c>
      <c r="I48" s="59">
        <f>COUNTIFS(Aug!$B:$B,2091,Aug!$J:$J,7400)</f>
        <v>0</v>
      </c>
      <c r="J48" s="59">
        <f>COUNTIFS(Sep!$B:$B,2091,Sep!$J:$J,7400)</f>
        <v>0</v>
      </c>
      <c r="K48" s="59">
        <f>COUNTIFS(Oct!$B:$B,2091,Oct!$J:$J,7400)</f>
        <v>0</v>
      </c>
      <c r="L48" s="59">
        <f>COUNTIFS(Nov!$B:$B,2091,Nov!$J:$J,7400)</f>
        <v>0</v>
      </c>
      <c r="M48" s="59">
        <v>0</v>
      </c>
    </row>
    <row r="49" spans="1:13" s="8" customFormat="1" ht="11.25" customHeight="1">
      <c r="A49" s="10" t="s">
        <v>2</v>
      </c>
      <c r="B49" s="59">
        <f>COUNTIFS(Jan!$B:$B,2091,Jan!$J:$J,14)</f>
        <v>2</v>
      </c>
      <c r="C49" s="59">
        <v>4</v>
      </c>
      <c r="D49" s="59">
        <v>2</v>
      </c>
      <c r="E49" s="59">
        <v>2</v>
      </c>
      <c r="F49" s="59">
        <v>3</v>
      </c>
      <c r="G49" s="59">
        <v>3</v>
      </c>
      <c r="H49" s="59">
        <f>COUNTIFS(Jul!$B:$B,2091,Jul!$J:$J,14)</f>
        <v>0</v>
      </c>
      <c r="I49" s="59">
        <f>COUNTIFS(Aug!$B:$B,2091,Aug!$J:$J,14)</f>
        <v>0</v>
      </c>
      <c r="J49" s="59">
        <v>4</v>
      </c>
      <c r="K49" s="59">
        <v>3</v>
      </c>
      <c r="L49" s="59">
        <f>COUNTIFS(Nov!$B:$B,2091,Nov!$J:$J,14)</f>
        <v>0</v>
      </c>
      <c r="M49" s="59">
        <v>0</v>
      </c>
    </row>
    <row r="50" spans="1:13" s="8" customFormat="1" ht="11.25" customHeight="1">
      <c r="A50" s="10" t="s">
        <v>142</v>
      </c>
      <c r="B50" s="59">
        <f>COUNTIFS(Jan!$B:$B,2091,Jan!$F:$F,466)</f>
        <v>0</v>
      </c>
      <c r="C50" s="59">
        <f>COUNTIFS(Feb!$B:$B,2091,Feb!$F:$F,466)</f>
        <v>0</v>
      </c>
      <c r="D50" s="59">
        <f>COUNTIFS(Mar!$B:$B,2091,Mar!$F:$F,466)</f>
        <v>0</v>
      </c>
      <c r="E50" s="59">
        <f>COUNTIFS(Apr!$B:$B,2091,Apr!$F:$F,466)</f>
        <v>0</v>
      </c>
      <c r="F50" s="59">
        <v>1</v>
      </c>
      <c r="G50" s="59">
        <v>1</v>
      </c>
      <c r="H50" s="59">
        <f>COUNTIFS(Jul!$B:$B,2091,Jul!$F:$F,466)</f>
        <v>0</v>
      </c>
      <c r="I50" s="59">
        <f>COUNTIFS(Aug!$B:$B,2091,Aug!$F:$F,466)</f>
        <v>0</v>
      </c>
      <c r="J50" s="59">
        <f>COUNTIFS(Sep!$B:$B,2091,Sep!$F:$F,466)</f>
        <v>0</v>
      </c>
      <c r="K50" s="59">
        <f>COUNTIFS(Oct!$B:$B,2091,Oct!$F:$F,466)</f>
        <v>0</v>
      </c>
      <c r="L50" s="59">
        <f>COUNTIFS(Nov!$B:$B,2091,Nov!$F:$F,466)</f>
        <v>0</v>
      </c>
      <c r="M50" s="59">
        <v>0</v>
      </c>
    </row>
    <row r="51" spans="1:13" s="8" customFormat="1" ht="11.25" customHeight="1">
      <c r="A51" s="10" t="s">
        <v>27</v>
      </c>
      <c r="B51" s="59">
        <f>COUNTIFS(Jan!$B:$B,2091,Jan!$J:$J,25)</f>
        <v>0</v>
      </c>
      <c r="C51" s="59">
        <f>COUNTIFS(Feb!$B:$B,2091,Feb!$J:$J,25)</f>
        <v>0</v>
      </c>
      <c r="D51" s="59">
        <f>COUNTIFS(Mar!$B:$B,2091,Mar!$J:$J,25)</f>
        <v>0</v>
      </c>
      <c r="E51" s="59">
        <f>COUNTIFS(Apr!$B:$B,2091,Apr!$J:$J,25)</f>
        <v>0</v>
      </c>
      <c r="F51" s="59">
        <f>COUNTIFS(May!$B:$B,2091,May!$J:$J,25)</f>
        <v>0</v>
      </c>
      <c r="G51" s="59">
        <f>COUNTIFS(Jun!$B:$B,2091,Jun!$J:$J,25)</f>
        <v>0</v>
      </c>
      <c r="H51" s="59">
        <f>COUNTIFS(Jul!$B:$B,2091,Jul!$J:$J,25)</f>
        <v>0</v>
      </c>
      <c r="I51" s="59">
        <f>COUNTIFS(Aug!$B:$B,2091,Aug!$J:$J,25)</f>
        <v>0</v>
      </c>
      <c r="J51" s="59">
        <f>COUNTIFS(Sep!$B:$B,2091,Sep!$J:$J,25)</f>
        <v>0</v>
      </c>
      <c r="K51" s="59">
        <f>COUNTIFS(Oct!$B:$B,2091,Oct!$J:$J,25)</f>
        <v>0</v>
      </c>
      <c r="L51" s="59">
        <f>COUNTIFS(Nov!$B:$B,2091,Nov!$J:$J,25)</f>
        <v>0</v>
      </c>
      <c r="M51" s="59">
        <v>0</v>
      </c>
    </row>
    <row r="52" spans="1:13" s="8" customFormat="1" ht="11.25" customHeight="1" thickBot="1">
      <c r="A52" s="11" t="s">
        <v>16</v>
      </c>
      <c r="B52" s="60">
        <f t="shared" ref="B52:G52" si="11">SUM(B34:B51)</f>
        <v>85</v>
      </c>
      <c r="C52" s="60">
        <f t="shared" si="11"/>
        <v>105</v>
      </c>
      <c r="D52" s="60">
        <f t="shared" si="11"/>
        <v>108</v>
      </c>
      <c r="E52" s="60">
        <f t="shared" si="11"/>
        <v>101</v>
      </c>
      <c r="F52" s="60">
        <f t="shared" si="11"/>
        <v>86</v>
      </c>
      <c r="G52" s="60">
        <f t="shared" si="11"/>
        <v>101</v>
      </c>
      <c r="H52" s="60">
        <f t="shared" ref="H52:M52" si="12">SUM(H34:H51)</f>
        <v>31</v>
      </c>
      <c r="I52" s="60">
        <f t="shared" si="12"/>
        <v>46</v>
      </c>
      <c r="J52" s="60">
        <f t="shared" si="12"/>
        <v>76</v>
      </c>
      <c r="K52" s="60">
        <f t="shared" si="12"/>
        <v>42</v>
      </c>
      <c r="L52" s="159">
        <f t="shared" si="12"/>
        <v>0</v>
      </c>
      <c r="M52" s="170">
        <f t="shared" si="12"/>
        <v>0</v>
      </c>
    </row>
    <row r="53" spans="1:13" ht="12" customHeight="1" thickBot="1">
      <c r="A53" s="55" t="s">
        <v>137</v>
      </c>
      <c r="B53" s="50">
        <v>41275</v>
      </c>
      <c r="C53" s="47">
        <v>41306</v>
      </c>
      <c r="D53" s="47">
        <v>41334</v>
      </c>
      <c r="E53" s="47">
        <v>41365</v>
      </c>
      <c r="F53" s="47">
        <v>41395</v>
      </c>
      <c r="G53" s="47">
        <v>41426</v>
      </c>
      <c r="H53" s="47">
        <v>41456</v>
      </c>
      <c r="I53" s="47">
        <v>41487</v>
      </c>
      <c r="J53" s="47">
        <v>41518</v>
      </c>
      <c r="K53" s="47">
        <v>41548</v>
      </c>
      <c r="L53" s="47">
        <v>41579</v>
      </c>
      <c r="M53" s="51">
        <v>41609</v>
      </c>
    </row>
    <row r="54" spans="1:13" s="8" customFormat="1" ht="11.25" customHeight="1">
      <c r="A54" s="10" t="s">
        <v>30</v>
      </c>
      <c r="B54" s="57">
        <f>COUNTIFS(Jan!$B:$B,2091,Jan!$J:$J,7)</f>
        <v>7</v>
      </c>
      <c r="C54" s="57">
        <v>3</v>
      </c>
      <c r="D54" s="57">
        <v>5</v>
      </c>
      <c r="E54" s="57">
        <v>3</v>
      </c>
      <c r="F54" s="57">
        <v>7</v>
      </c>
      <c r="G54" s="57">
        <v>6</v>
      </c>
      <c r="H54" s="57">
        <v>3</v>
      </c>
      <c r="I54" s="57">
        <v>2</v>
      </c>
      <c r="J54" s="57">
        <v>3</v>
      </c>
      <c r="K54" s="57">
        <v>1</v>
      </c>
      <c r="L54" s="57">
        <f>COUNTIFS(Nov!$B:$B,2091,Nov!$J:$J,7)</f>
        <v>0</v>
      </c>
      <c r="M54" s="57">
        <v>0</v>
      </c>
    </row>
    <row r="55" spans="1:13" s="8" customFormat="1" ht="11.25" customHeight="1">
      <c r="A55" s="10" t="s">
        <v>29</v>
      </c>
      <c r="B55" s="59">
        <f>COUNTIFS(Jan!$B:$B,2091,Jan!$J:$J,8)</f>
        <v>0</v>
      </c>
      <c r="C55" s="59">
        <f>COUNTIFS(Feb!$B:$B,2091,Feb!$J:$J,8)</f>
        <v>0</v>
      </c>
      <c r="D55" s="59">
        <v>1</v>
      </c>
      <c r="E55" s="59">
        <f>COUNTIFS(Apr!$B:$B,2091,Apr!$J:$J,8)</f>
        <v>0</v>
      </c>
      <c r="F55" s="59">
        <f>COUNTIFS(May!$B:$B,2091,May!$J:$J,8)</f>
        <v>0</v>
      </c>
      <c r="G55" s="59">
        <f>COUNTIFS(Jun!$B:$B,2091,Jun!$J:$J,8)</f>
        <v>0</v>
      </c>
      <c r="H55" s="59">
        <f>COUNTIFS(Jul!$B:$B,2091,Jul!$J:$J,8)</f>
        <v>0</v>
      </c>
      <c r="I55" s="59">
        <f>COUNTIFS(Aug!$B:$B,2091,Aug!$J:$J,8)</f>
        <v>0</v>
      </c>
      <c r="J55" s="59">
        <f>COUNTIFS(Sep!$B:$B,2091,Sep!$J:$J,8)</f>
        <v>0</v>
      </c>
      <c r="K55" s="59">
        <f>COUNTIFS(Oct!$B:$B,2091,Oct!$J:$J,8)</f>
        <v>0</v>
      </c>
      <c r="L55" s="59">
        <f>COUNTIFS(Nov!$B:$B,2091,Nov!$J:$J,8)</f>
        <v>0</v>
      </c>
      <c r="M55" s="59">
        <v>0</v>
      </c>
    </row>
    <row r="56" spans="1:13" s="8" customFormat="1" ht="11.25" customHeight="1">
      <c r="A56" s="10" t="s">
        <v>7</v>
      </c>
      <c r="B56" s="59">
        <f>COUNTIFS(Jan!$B:$B,2091,Jan!$J:$J,12)</f>
        <v>6</v>
      </c>
      <c r="C56" s="59">
        <v>3</v>
      </c>
      <c r="D56" s="59">
        <v>8</v>
      </c>
      <c r="E56" s="59">
        <v>9</v>
      </c>
      <c r="F56" s="59">
        <v>2</v>
      </c>
      <c r="G56" s="59">
        <v>2</v>
      </c>
      <c r="H56" s="59">
        <v>4</v>
      </c>
      <c r="I56" s="59">
        <v>4</v>
      </c>
      <c r="J56" s="59">
        <v>5</v>
      </c>
      <c r="K56" s="59">
        <f>COUNTIFS(Oct!$B:$B,2091,Oct!$J:$J,12)</f>
        <v>0</v>
      </c>
      <c r="L56" s="59">
        <f>COUNTIFS(Nov!$B:$B,2091,Nov!$J:$J,12)</f>
        <v>0</v>
      </c>
      <c r="M56" s="59">
        <v>0</v>
      </c>
    </row>
    <row r="57" spans="1:13" s="8" customFormat="1" ht="11.25" customHeight="1">
      <c r="A57" s="10" t="s">
        <v>10</v>
      </c>
      <c r="B57" s="59">
        <f>COUNTIFS(Jan!$B:$B,2091,Jan!$J:$J,5100)</f>
        <v>0</v>
      </c>
      <c r="C57" s="59">
        <f>COUNTIFS(Feb!$B:$B,2091,Feb!$J:$J,5100)</f>
        <v>0</v>
      </c>
      <c r="D57" s="59">
        <f>COUNTIFS(Mar!$B:$B,2091,Mar!$J:$J,5100)</f>
        <v>0</v>
      </c>
      <c r="E57" s="59">
        <f>COUNTIFS(Apr!$B:$B,2091,Apr!$J:$J,5100)</f>
        <v>0</v>
      </c>
      <c r="F57" s="59">
        <f>COUNTIFS(May!$B:$B,2091,May!$J:$J,5100)</f>
        <v>0</v>
      </c>
      <c r="G57" s="59">
        <f>COUNTIFS(Jun!$B:$B,2091,Jun!$J:$J,5100)</f>
        <v>0</v>
      </c>
      <c r="H57" s="59">
        <f>COUNTIFS(Jul!$B:$B,2091,Jul!$J:$J,5100)</f>
        <v>0</v>
      </c>
      <c r="I57" s="59">
        <f>COUNTIFS(Aug!$B:$B,2091,Aug!$J:$J,5100)</f>
        <v>0</v>
      </c>
      <c r="J57" s="59">
        <f>COUNTIFS(Sep!$B:$B,2091,Sep!$J:$J,5100)</f>
        <v>0</v>
      </c>
      <c r="K57" s="59">
        <f>COUNTIFS(Oct!$B:$B,2091,Oct!$J:$J,5100)</f>
        <v>0</v>
      </c>
      <c r="L57" s="59">
        <f>COUNTIFS(Nov!$B:$B,2091,Nov!$J:$J,5100)</f>
        <v>0</v>
      </c>
      <c r="M57" s="59">
        <v>0</v>
      </c>
    </row>
    <row r="58" spans="1:13" s="8" customFormat="1" ht="11.25" customHeight="1">
      <c r="A58" s="10" t="s">
        <v>36</v>
      </c>
      <c r="B58" s="59">
        <f>COUNTIFS(Jan!$B:$B,2091,Jan!$J:$J,6200)</f>
        <v>0</v>
      </c>
      <c r="C58" s="59">
        <f>COUNTIFS(Feb!$B:$B,2091,Feb!$J:$J,6200)</f>
        <v>0</v>
      </c>
      <c r="D58" s="59">
        <f>COUNTIFS(Mar!$B:$B,2091,Mar!$J:$J,6200)</f>
        <v>0</v>
      </c>
      <c r="E58" s="59">
        <f>COUNTIFS(Apr!$B:$B,2091,Apr!$J:$J,6200)</f>
        <v>0</v>
      </c>
      <c r="F58" s="59">
        <f>COUNTIFS(May!$B:$B,2091,May!$J:$J,6200)</f>
        <v>0</v>
      </c>
      <c r="G58" s="59">
        <f>COUNTIFS(Jun!$B:$B,2091,Jun!$J:$J,6200)</f>
        <v>0</v>
      </c>
      <c r="H58" s="59">
        <f>COUNTIFS(Jul!$B:$B,2091,Jul!$J:$J,6200)</f>
        <v>0</v>
      </c>
      <c r="I58" s="59">
        <f>COUNTIFS(Aug!$B:$B,2091,Aug!$J:$J,6200)</f>
        <v>0</v>
      </c>
      <c r="J58" s="59">
        <f>COUNTIFS(Sep!$B:$B,2091,Sep!$J:$J,6200)</f>
        <v>0</v>
      </c>
      <c r="K58" s="59">
        <f>COUNTIFS(Oct!$B:$B,2091,Oct!$J:$J,6200)</f>
        <v>0</v>
      </c>
      <c r="L58" s="59">
        <f>COUNTIFS(Nov!$B:$B,2091,Nov!$J:$J,6200)</f>
        <v>0</v>
      </c>
      <c r="M58" s="59">
        <v>0</v>
      </c>
    </row>
    <row r="59" spans="1:13" s="8" customFormat="1" ht="11.25" customHeight="1">
      <c r="A59" s="10" t="s">
        <v>145</v>
      </c>
      <c r="B59" s="59">
        <f>COUNTIFS(Jan!$B:$B,2091,Jan!$J:$J,28)</f>
        <v>0</v>
      </c>
      <c r="C59" s="59">
        <f>COUNTIFS(Feb!$B:$B,2091,Feb!$J:$J,28)</f>
        <v>0</v>
      </c>
      <c r="D59" s="59">
        <f>COUNTIFS(Mar!$B:$B,2091,Mar!$J:$J,28)</f>
        <v>0</v>
      </c>
      <c r="E59" s="59">
        <f>COUNTIFS(Apr!$B:$B,2091,Apr!$J:$J,28)</f>
        <v>0</v>
      </c>
      <c r="F59" s="59">
        <f>COUNTIFS(May!$B:$B,2091,May!$J:$J,28)</f>
        <v>0</v>
      </c>
      <c r="G59" s="59">
        <f>COUNTIFS(Jun!$B:$B,2091,Jun!$J:$J,28)</f>
        <v>0</v>
      </c>
      <c r="H59" s="59">
        <f>COUNTIFS(Jul!$B:$B,2091,Jul!$J:$J,28)</f>
        <v>0</v>
      </c>
      <c r="I59" s="59">
        <f>COUNTIFS(Aug!$B:$B,2091,Aug!$J:$J,28)</f>
        <v>0</v>
      </c>
      <c r="J59" s="59">
        <f>COUNTIFS(Sep!$B:$B,2091,Sep!$J:$J,28)</f>
        <v>0</v>
      </c>
      <c r="K59" s="59">
        <f>COUNTIFS(Oct!$B:$B,2091,Oct!$J:$J,28)</f>
        <v>0</v>
      </c>
      <c r="L59" s="59">
        <f>COUNTIFS(Nov!$B:$B,2091,Nov!$J:$J,28)</f>
        <v>0</v>
      </c>
      <c r="M59" s="59">
        <v>0</v>
      </c>
    </row>
    <row r="60" spans="1:13" s="8" customFormat="1" ht="11.25" customHeight="1">
      <c r="A60" s="10" t="s">
        <v>38</v>
      </c>
      <c r="B60" s="59">
        <f>COUNTIFS(Jan!$B:$B,2091,Jan!$J:$J,6100)</f>
        <v>0</v>
      </c>
      <c r="C60" s="59">
        <f>COUNTIFS(Feb!$B:$B,2091,Feb!$J:$J,6100)</f>
        <v>0</v>
      </c>
      <c r="D60" s="59">
        <f>COUNTIFS(Mar!$B:$B,2091,Mar!$J:$J,6100)</f>
        <v>0</v>
      </c>
      <c r="E60" s="59">
        <f>COUNTIFS(Apr!$B:$B,2091,Apr!$J:$J,6100)</f>
        <v>0</v>
      </c>
      <c r="F60" s="59">
        <v>1</v>
      </c>
      <c r="G60" s="59">
        <f>COUNTIFS(Jun!$B:$B,2091,Jun!$J:$J,6100)</f>
        <v>0</v>
      </c>
      <c r="H60" s="59">
        <f>COUNTIFS(Jul!$B:$B,2091,Jul!$J:$J,6100)</f>
        <v>0</v>
      </c>
      <c r="I60" s="59">
        <f>COUNTIFS(Aug!$B:$B,2091,Aug!$J:$J,6100)</f>
        <v>0</v>
      </c>
      <c r="J60" s="59">
        <f>COUNTIFS(Sep!$B:$B,2091,Sep!$J:$J,6100)</f>
        <v>0</v>
      </c>
      <c r="K60" s="59">
        <f>COUNTIFS(Oct!$B:$B,2091,Oct!$J:$J,6100)</f>
        <v>0</v>
      </c>
      <c r="L60" s="59">
        <f>COUNTIFS(Nov!$B:$B,2091,Nov!$J:$J,6100)</f>
        <v>0</v>
      </c>
      <c r="M60" s="59">
        <v>0</v>
      </c>
    </row>
    <row r="61" spans="1:13" s="8" customFormat="1" ht="11.25" customHeight="1">
      <c r="A61" s="10" t="s">
        <v>9</v>
      </c>
      <c r="B61" s="59">
        <f>COUNTIFS(Jan!$B:$B,2091,Jan!$J:$J,6)</f>
        <v>1</v>
      </c>
      <c r="C61" s="59">
        <f>COUNTIFS(Feb!$B:$B,2091,Feb!$J:$J,6)</f>
        <v>0</v>
      </c>
      <c r="D61" s="59">
        <f>COUNTIFS(Mar!$B:$B,2091,Mar!$J:$J,6)</f>
        <v>0</v>
      </c>
      <c r="E61" s="59">
        <f>COUNTIFS(Apr!$B:$B,2091,Apr!$J:$J,6)</f>
        <v>0</v>
      </c>
      <c r="F61" s="59">
        <f>COUNTIFS(May!$B:$B,2091,May!$J:$J,6)</f>
        <v>0</v>
      </c>
      <c r="G61" s="59">
        <f>COUNTIFS(Jun!$B:$B,2091,Jun!$J:$J,6)</f>
        <v>0</v>
      </c>
      <c r="H61" s="59">
        <f>COUNTIFS(Jul!$B:$B,2091,Jul!$J:$J,6)</f>
        <v>0</v>
      </c>
      <c r="I61" s="59">
        <f>COUNTIFS(Aug!$B:$B,2091,Aug!$J:$J,6)</f>
        <v>0</v>
      </c>
      <c r="J61" s="59">
        <f>COUNTIFS(Sep!$B:$B,2091,Sep!$J:$J,6)</f>
        <v>0</v>
      </c>
      <c r="K61" s="59">
        <f>COUNTIFS(Oct!$B:$B,2091,Oct!$J:$J,6)</f>
        <v>0</v>
      </c>
      <c r="L61" s="59">
        <f>COUNTIFS(Nov!$B:$B,2091,Nov!$J:$J,6)</f>
        <v>0</v>
      </c>
      <c r="M61" s="59">
        <v>0</v>
      </c>
    </row>
    <row r="62" spans="1:13" s="8" customFormat="1" ht="11.25" customHeight="1">
      <c r="A62" s="10" t="s">
        <v>8</v>
      </c>
      <c r="B62" s="59">
        <f>COUNTIFS(Jan!$B:$B,2091,Jan!$J:$J,4)</f>
        <v>0</v>
      </c>
      <c r="C62" s="59">
        <f>COUNTIFS(Feb!$B:$B,2091,Feb!$J:$J,4)</f>
        <v>0</v>
      </c>
      <c r="D62" s="59">
        <f>COUNTIFS(Mar!$B:$B,2091,Mar!$J:$J,4)</f>
        <v>0</v>
      </c>
      <c r="E62" s="59">
        <f>COUNTIFS(Apr!$B:$B,2091,Apr!$J:$J,4)</f>
        <v>0</v>
      </c>
      <c r="F62" s="59">
        <f>COUNTIFS(May!$B:$B,2091,May!$J:$J,4)</f>
        <v>0</v>
      </c>
      <c r="G62" s="59">
        <f>COUNTIFS(Jun!$B:$B,2091,Jun!$J:$J,4)</f>
        <v>0</v>
      </c>
      <c r="H62" s="59">
        <f>COUNTIFS(Jul!$B:$B,2091,Jul!$J:$J,4)</f>
        <v>0</v>
      </c>
      <c r="I62" s="59">
        <f>COUNTIFS(Aug!$B:$B,2091,Aug!$J:$J,4)</f>
        <v>0</v>
      </c>
      <c r="J62" s="59">
        <f>COUNTIFS(Sep!$B:$B,2091,Sep!$J:$J,4)</f>
        <v>0</v>
      </c>
      <c r="K62" s="59">
        <f>COUNTIFS(Oct!$B:$B,2091,Oct!$J:$J,4)</f>
        <v>0</v>
      </c>
      <c r="L62" s="59">
        <f>COUNTIFS(Nov!$B:$B,2091,Nov!$J:$J,4)</f>
        <v>0</v>
      </c>
      <c r="M62" s="59">
        <v>0</v>
      </c>
    </row>
    <row r="63" spans="1:13" s="8" customFormat="1" ht="11.25" customHeight="1">
      <c r="A63" s="10" t="s">
        <v>6</v>
      </c>
      <c r="B63" s="59">
        <f>COUNTIFS(Jan!$B:$B,2091,Jan!$J:$J,5)</f>
        <v>0</v>
      </c>
      <c r="C63" s="59">
        <f>COUNTIFS(Feb!$B:$B,2091,Feb!$J:$J,5)</f>
        <v>0</v>
      </c>
      <c r="D63" s="59">
        <f>COUNTIFS(Mar!$B:$B,2091,Mar!$J:$J,5)</f>
        <v>0</v>
      </c>
      <c r="E63" s="59">
        <f>COUNTIFS(Apr!$B:$B,2091,Apr!$J:$J,5)</f>
        <v>0</v>
      </c>
      <c r="F63" s="59">
        <f>COUNTIFS(May!$B:$B,2091,May!$J:$J,5)</f>
        <v>0</v>
      </c>
      <c r="G63" s="59">
        <f>COUNTIFS(Jun!$B:$B,2091,Jun!$J:$J,5)</f>
        <v>0</v>
      </c>
      <c r="H63" s="59">
        <f>COUNTIFS(Jul!$B:$B,2091,Jul!$J:$J,5)</f>
        <v>0</v>
      </c>
      <c r="I63" s="59">
        <f>COUNTIFS(Aug!$B:$B,2091,Aug!$J:$J,5)</f>
        <v>0</v>
      </c>
      <c r="J63" s="59">
        <f>COUNTIFS(Sep!$B:$B,2091,Sep!$J:$J,5)</f>
        <v>0</v>
      </c>
      <c r="K63" s="59">
        <f>COUNTIFS(Oct!$B:$B,2091,Oct!$J:$J,5)</f>
        <v>0</v>
      </c>
      <c r="L63" s="59">
        <f>COUNTIFS(Nov!$B:$B,2091,Nov!$J:$J,5)</f>
        <v>0</v>
      </c>
      <c r="M63" s="59">
        <v>0</v>
      </c>
    </row>
    <row r="64" spans="1:13" s="8" customFormat="1" ht="11.25" customHeight="1">
      <c r="A64" s="52" t="s">
        <v>141</v>
      </c>
      <c r="B64" s="69">
        <f>COUNTIFS(Jan!$B:$B,2091,Jan!$F:$F,456)</f>
        <v>18</v>
      </c>
      <c r="C64" s="69">
        <v>13</v>
      </c>
      <c r="D64" s="69">
        <v>9</v>
      </c>
      <c r="E64" s="69">
        <v>10</v>
      </c>
      <c r="F64" s="69">
        <v>6</v>
      </c>
      <c r="G64" s="69">
        <v>3</v>
      </c>
      <c r="H64" s="69">
        <f>COUNTIFS(Jul!$B:$B,2091,Jul!$F:$F,456)</f>
        <v>0</v>
      </c>
      <c r="I64" s="69">
        <v>1</v>
      </c>
      <c r="J64" s="69">
        <f>COUNTIFS(Sep!$B:$B,2091,Sep!$F:$F,456)</f>
        <v>0</v>
      </c>
      <c r="K64" s="69">
        <f>COUNTIFS(Oct!$B:$B,2091,Oct!$F:$F,456)</f>
        <v>0</v>
      </c>
      <c r="L64" s="69">
        <f>COUNTIFS(Nov!$B:$B,2091,Nov!$F:$F,456)</f>
        <v>0</v>
      </c>
      <c r="M64" s="69">
        <v>0</v>
      </c>
    </row>
    <row r="65" spans="1:13" s="8" customFormat="1" ht="11.25" customHeight="1" thickBot="1">
      <c r="A65" s="12" t="s">
        <v>16</v>
      </c>
      <c r="B65" s="70">
        <f>SUM(B54:B64)</f>
        <v>32</v>
      </c>
      <c r="C65" s="70">
        <f t="shared" ref="C65:M65" si="13">SUM(C54:C64)</f>
        <v>19</v>
      </c>
      <c r="D65" s="70">
        <f>SUM(D54:D64)</f>
        <v>23</v>
      </c>
      <c r="E65" s="70">
        <f>SUM(E54:E64)</f>
        <v>22</v>
      </c>
      <c r="F65" s="70">
        <f>SUM(F54:F64)</f>
        <v>16</v>
      </c>
      <c r="G65" s="70">
        <f>SUM(G54:G64)</f>
        <v>11</v>
      </c>
      <c r="H65" s="70">
        <f t="shared" si="13"/>
        <v>7</v>
      </c>
      <c r="I65" s="70">
        <f t="shared" si="13"/>
        <v>7</v>
      </c>
      <c r="J65" s="70">
        <f t="shared" si="13"/>
        <v>8</v>
      </c>
      <c r="K65" s="70">
        <f t="shared" si="13"/>
        <v>1</v>
      </c>
      <c r="L65" s="165">
        <f t="shared" si="13"/>
        <v>0</v>
      </c>
      <c r="M65" s="170">
        <f t="shared" si="13"/>
        <v>0</v>
      </c>
    </row>
    <row r="66" spans="1:13" s="8" customFormat="1" ht="15.75" customHeight="1">
      <c r="A66" s="6"/>
      <c r="B66" s="7"/>
      <c r="C66" s="7"/>
      <c r="D66" s="7"/>
      <c r="E66" s="7"/>
      <c r="F66" s="7"/>
      <c r="G66" s="7"/>
      <c r="H66" s="7"/>
      <c r="I66" s="7"/>
      <c r="J66" s="7"/>
      <c r="K66" s="7"/>
      <c r="L66" s="7"/>
      <c r="M66" s="7"/>
    </row>
    <row r="67" spans="1:13" ht="12" customHeight="1">
      <c r="A67" s="6"/>
      <c r="B67" s="7"/>
      <c r="C67" s="7"/>
      <c r="D67" s="7"/>
      <c r="E67" s="7"/>
      <c r="F67" s="7"/>
      <c r="G67" s="7"/>
      <c r="H67" s="7"/>
      <c r="I67" s="7"/>
      <c r="J67" s="7"/>
      <c r="K67" s="7"/>
      <c r="L67" s="7"/>
      <c r="M67" s="7"/>
    </row>
  </sheetData>
  <phoneticPr fontId="0" type="noConversion"/>
  <printOptions horizontalCentered="1" verticalCentered="1"/>
  <pageMargins left="0.14000000000000001" right="0.16" top="0.25" bottom="0.5" header="0.5" footer="0.25"/>
  <pageSetup scale="95" firstPageNumber="3" orientation="portrait" useFirstPageNumber="1" r:id="rId1"/>
  <headerFooter alignWithMargins="0">
    <oddFooter>&amp;R20 of 51</oddFooter>
  </headerFooter>
  <ignoredErrors>
    <ignoredError sqref="M65 M52" formulaRange="1"/>
  </ignoredErrors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67"/>
  <sheetViews>
    <sheetView view="pageBreakPreview" topLeftCell="A16" zoomScale="90" zoomScaleNormal="100" zoomScaleSheetLayoutView="90" workbookViewId="0">
      <selection activeCell="M65" sqref="M65"/>
    </sheetView>
  </sheetViews>
  <sheetFormatPr defaultRowHeight="12.75"/>
  <cols>
    <col min="1" max="1" width="22.85546875" style="1" customWidth="1"/>
    <col min="2" max="13" width="7.140625" style="1" customWidth="1"/>
    <col min="14" max="14" width="4.42578125" style="1" customWidth="1"/>
    <col min="15" max="16384" width="9.140625" style="1"/>
  </cols>
  <sheetData>
    <row r="1" spans="1:21" ht="18" customHeight="1">
      <c r="A1" s="130"/>
      <c r="B1" s="131"/>
      <c r="C1" s="131"/>
      <c r="D1" s="131"/>
      <c r="E1" s="131"/>
      <c r="F1" s="131"/>
      <c r="G1" s="130"/>
      <c r="H1" s="130"/>
      <c r="I1" s="131"/>
      <c r="J1" s="131"/>
      <c r="K1" s="131"/>
      <c r="L1" s="130"/>
      <c r="M1" s="143" t="s">
        <v>22</v>
      </c>
    </row>
    <row r="2" spans="1:21" ht="18" customHeight="1">
      <c r="A2" s="130"/>
      <c r="B2" s="135"/>
      <c r="C2" s="135"/>
      <c r="D2" s="135"/>
      <c r="E2" s="135"/>
      <c r="F2" s="135"/>
      <c r="G2" s="130"/>
      <c r="H2" s="130"/>
      <c r="I2" s="135"/>
      <c r="J2" s="135"/>
      <c r="K2" s="135"/>
      <c r="L2" s="130"/>
      <c r="M2" s="155" t="s">
        <v>13</v>
      </c>
    </row>
    <row r="3" spans="1:21" s="5" customFormat="1" ht="18" customHeight="1">
      <c r="A3" s="133"/>
      <c r="B3" s="133"/>
      <c r="C3" s="133"/>
      <c r="D3" s="133"/>
      <c r="E3" s="133"/>
      <c r="F3" s="133"/>
      <c r="G3" s="133"/>
      <c r="H3" s="133"/>
      <c r="I3" s="133"/>
      <c r="J3" s="136"/>
      <c r="K3" s="136"/>
      <c r="L3" s="133"/>
      <c r="M3" s="155" t="s">
        <v>61</v>
      </c>
      <c r="N3" s="134"/>
      <c r="O3" s="134"/>
      <c r="P3" s="134"/>
      <c r="Q3" s="134"/>
      <c r="R3" s="134"/>
      <c r="S3" s="134"/>
      <c r="T3" s="134"/>
      <c r="U3" s="134"/>
    </row>
    <row r="4" spans="1:21" s="8" customFormat="1" ht="6.75" customHeight="1" thickBot="1">
      <c r="A4" s="38"/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</row>
    <row r="5" spans="1:21" s="8" customFormat="1" ht="11.25" customHeight="1" thickBot="1">
      <c r="A5" s="53" t="s">
        <v>19</v>
      </c>
      <c r="B5" s="50">
        <v>41275</v>
      </c>
      <c r="C5" s="47">
        <v>41306</v>
      </c>
      <c r="D5" s="47">
        <v>41334</v>
      </c>
      <c r="E5" s="47">
        <v>41365</v>
      </c>
      <c r="F5" s="47">
        <v>41395</v>
      </c>
      <c r="G5" s="47">
        <v>41426</v>
      </c>
      <c r="H5" s="47">
        <v>41456</v>
      </c>
      <c r="I5" s="47">
        <v>41487</v>
      </c>
      <c r="J5" s="47">
        <v>41518</v>
      </c>
      <c r="K5" s="47">
        <v>41548</v>
      </c>
      <c r="L5" s="47">
        <v>41579</v>
      </c>
      <c r="M5" s="51">
        <v>41609</v>
      </c>
    </row>
    <row r="6" spans="1:21" s="8" customFormat="1" ht="11.25" customHeight="1">
      <c r="A6" s="41" t="s">
        <v>129</v>
      </c>
      <c r="B6" s="57">
        <f t="shared" ref="B6:M6" si="0">B32</f>
        <v>0</v>
      </c>
      <c r="C6" s="57">
        <f t="shared" si="0"/>
        <v>0</v>
      </c>
      <c r="D6" s="57">
        <f t="shared" si="0"/>
        <v>0</v>
      </c>
      <c r="E6" s="57">
        <f t="shared" si="0"/>
        <v>0</v>
      </c>
      <c r="F6" s="57">
        <f t="shared" si="0"/>
        <v>0</v>
      </c>
      <c r="G6" s="57">
        <f t="shared" si="0"/>
        <v>0</v>
      </c>
      <c r="H6" s="57">
        <f t="shared" si="0"/>
        <v>0</v>
      </c>
      <c r="I6" s="57">
        <f t="shared" si="0"/>
        <v>0</v>
      </c>
      <c r="J6" s="57">
        <f t="shared" si="0"/>
        <v>0</v>
      </c>
      <c r="K6" s="57">
        <f t="shared" si="0"/>
        <v>1</v>
      </c>
      <c r="L6" s="156">
        <f t="shared" si="0"/>
        <v>25</v>
      </c>
      <c r="M6" s="168">
        <f t="shared" si="0"/>
        <v>44</v>
      </c>
    </row>
    <row r="7" spans="1:21" s="8" customFormat="1" ht="11.25" customHeight="1">
      <c r="A7" s="42" t="s">
        <v>18</v>
      </c>
      <c r="B7" s="57">
        <f t="shared" ref="B7:M7" si="1">SUM(B10:B12)</f>
        <v>0</v>
      </c>
      <c r="C7" s="57">
        <f t="shared" si="1"/>
        <v>0</v>
      </c>
      <c r="D7" s="57">
        <f t="shared" si="1"/>
        <v>0</v>
      </c>
      <c r="E7" s="57">
        <f t="shared" si="1"/>
        <v>0</v>
      </c>
      <c r="F7" s="57">
        <f t="shared" si="1"/>
        <v>0</v>
      </c>
      <c r="G7" s="57">
        <f t="shared" si="1"/>
        <v>0</v>
      </c>
      <c r="H7" s="57">
        <f t="shared" si="1"/>
        <v>0</v>
      </c>
      <c r="I7" s="57">
        <f t="shared" si="1"/>
        <v>0</v>
      </c>
      <c r="J7" s="57">
        <f t="shared" si="1"/>
        <v>0</v>
      </c>
      <c r="K7" s="57">
        <f t="shared" si="1"/>
        <v>5</v>
      </c>
      <c r="L7" s="156">
        <f t="shared" si="1"/>
        <v>45</v>
      </c>
      <c r="M7" s="171">
        <f t="shared" si="1"/>
        <v>38</v>
      </c>
    </row>
    <row r="8" spans="1:21" s="8" customFormat="1" ht="11.25" customHeight="1" thickBot="1">
      <c r="A8" s="43" t="s">
        <v>14</v>
      </c>
      <c r="B8" s="58">
        <f t="shared" ref="B8:M8" si="2">SUM(B6:B7)</f>
        <v>0</v>
      </c>
      <c r="C8" s="58">
        <f t="shared" si="2"/>
        <v>0</v>
      </c>
      <c r="D8" s="58">
        <f t="shared" si="2"/>
        <v>0</v>
      </c>
      <c r="E8" s="58">
        <f t="shared" si="2"/>
        <v>0</v>
      </c>
      <c r="F8" s="58">
        <f t="shared" si="2"/>
        <v>0</v>
      </c>
      <c r="G8" s="58">
        <f t="shared" si="2"/>
        <v>0</v>
      </c>
      <c r="H8" s="58">
        <f t="shared" si="2"/>
        <v>0</v>
      </c>
      <c r="I8" s="58">
        <f t="shared" si="2"/>
        <v>0</v>
      </c>
      <c r="J8" s="58">
        <f t="shared" si="2"/>
        <v>0</v>
      </c>
      <c r="K8" s="58">
        <f t="shared" si="2"/>
        <v>6</v>
      </c>
      <c r="L8" s="157">
        <f t="shared" si="2"/>
        <v>70</v>
      </c>
      <c r="M8" s="172">
        <f t="shared" si="2"/>
        <v>82</v>
      </c>
    </row>
    <row r="9" spans="1:21" s="8" customFormat="1" ht="11.25" customHeight="1" thickBot="1">
      <c r="A9" s="54" t="s">
        <v>18</v>
      </c>
      <c r="B9" s="50">
        <v>41275</v>
      </c>
      <c r="C9" s="47">
        <v>41306</v>
      </c>
      <c r="D9" s="47">
        <v>41334</v>
      </c>
      <c r="E9" s="47">
        <v>41365</v>
      </c>
      <c r="F9" s="47">
        <v>41395</v>
      </c>
      <c r="G9" s="47">
        <v>41426</v>
      </c>
      <c r="H9" s="47">
        <v>41456</v>
      </c>
      <c r="I9" s="47">
        <v>41487</v>
      </c>
      <c r="J9" s="47">
        <v>41518</v>
      </c>
      <c r="K9" s="47">
        <v>41548</v>
      </c>
      <c r="L9" s="47">
        <v>41579</v>
      </c>
      <c r="M9" s="51">
        <v>41609</v>
      </c>
    </row>
    <row r="10" spans="1:21" s="8" customFormat="1" ht="11.25" customHeight="1">
      <c r="A10" s="9" t="s">
        <v>128</v>
      </c>
      <c r="B10" s="57">
        <f t="shared" ref="B10:M10" si="3">B52</f>
        <v>0</v>
      </c>
      <c r="C10" s="57">
        <f t="shared" si="3"/>
        <v>0</v>
      </c>
      <c r="D10" s="57">
        <f t="shared" si="3"/>
        <v>0</v>
      </c>
      <c r="E10" s="57">
        <f t="shared" si="3"/>
        <v>0</v>
      </c>
      <c r="F10" s="57">
        <f t="shared" si="3"/>
        <v>0</v>
      </c>
      <c r="G10" s="59">
        <f t="shared" si="3"/>
        <v>0</v>
      </c>
      <c r="H10" s="59">
        <f t="shared" si="3"/>
        <v>0</v>
      </c>
      <c r="I10" s="59">
        <f t="shared" si="3"/>
        <v>0</v>
      </c>
      <c r="J10" s="59">
        <f t="shared" si="3"/>
        <v>0</v>
      </c>
      <c r="K10" s="59">
        <f t="shared" si="3"/>
        <v>1</v>
      </c>
      <c r="L10" s="158">
        <f t="shared" si="3"/>
        <v>33</v>
      </c>
      <c r="M10" s="168">
        <f t="shared" si="3"/>
        <v>23</v>
      </c>
    </row>
    <row r="11" spans="1:21" s="8" customFormat="1" ht="11.25" customHeight="1">
      <c r="A11" s="9" t="s">
        <v>127</v>
      </c>
      <c r="B11" s="59">
        <f t="shared" ref="B11:M11" si="4">B65</f>
        <v>0</v>
      </c>
      <c r="C11" s="59">
        <f t="shared" si="4"/>
        <v>0</v>
      </c>
      <c r="D11" s="59">
        <f t="shared" si="4"/>
        <v>0</v>
      </c>
      <c r="E11" s="59">
        <f t="shared" si="4"/>
        <v>0</v>
      </c>
      <c r="F11" s="59">
        <f t="shared" si="4"/>
        <v>0</v>
      </c>
      <c r="G11" s="59">
        <f t="shared" si="4"/>
        <v>0</v>
      </c>
      <c r="H11" s="59">
        <f t="shared" si="4"/>
        <v>0</v>
      </c>
      <c r="I11" s="59">
        <f t="shared" si="4"/>
        <v>0</v>
      </c>
      <c r="J11" s="59">
        <f t="shared" si="4"/>
        <v>0</v>
      </c>
      <c r="K11" s="59">
        <f t="shared" si="4"/>
        <v>0</v>
      </c>
      <c r="L11" s="158">
        <f t="shared" si="4"/>
        <v>0</v>
      </c>
      <c r="M11" s="169">
        <f t="shared" si="4"/>
        <v>2</v>
      </c>
    </row>
    <row r="12" spans="1:21" s="8" customFormat="1" ht="11.25" customHeight="1" thickBot="1">
      <c r="A12" s="2" t="s">
        <v>12</v>
      </c>
      <c r="B12" s="60">
        <f>COUNTIFS(Jan!$B:$B,2094,Jan!$F:$F,800)</f>
        <v>0</v>
      </c>
      <c r="C12" s="60">
        <f>COUNTIFS(Feb!$B:$B,2094,Feb!$F:$F,800)</f>
        <v>0</v>
      </c>
      <c r="D12" s="60">
        <f>COUNTIFS(Mar!$B:$B,2094,Mar!$F:$F,800)</f>
        <v>0</v>
      </c>
      <c r="E12" s="60">
        <f>COUNTIFS(Apr!$B:$B,2094,Apr!$F:$F,800)</f>
        <v>0</v>
      </c>
      <c r="F12" s="60">
        <f>COUNTIFS(May!$B:$B,2094,May!$F:$F,800)</f>
        <v>0</v>
      </c>
      <c r="G12" s="60">
        <f>COUNTIFS(Jun!$B:$B,2094,Jun!$F:$F,800)</f>
        <v>0</v>
      </c>
      <c r="H12" s="60">
        <f>COUNTIFS(Jul!$B:$B,2094,Jul!$F:$F,800)</f>
        <v>0</v>
      </c>
      <c r="I12" s="60">
        <f>COUNTIFS(Aug!$B:$B,2094,Aug!$F:$F,800)</f>
        <v>0</v>
      </c>
      <c r="J12" s="60">
        <f>COUNTIFS(Sep!$B:$B,2094,Sep!$F:$F,800)</f>
        <v>0</v>
      </c>
      <c r="K12" s="60">
        <v>4</v>
      </c>
      <c r="L12" s="60">
        <v>12</v>
      </c>
      <c r="M12" s="60">
        <v>13</v>
      </c>
    </row>
    <row r="13" spans="1:21" s="8" customFormat="1" ht="5.0999999999999996" customHeight="1" thickBot="1">
      <c r="A13" s="3"/>
      <c r="B13" s="17"/>
      <c r="C13" s="17"/>
      <c r="D13" s="17"/>
      <c r="E13" s="17"/>
      <c r="F13" s="17"/>
      <c r="G13" s="17"/>
      <c r="H13" s="17"/>
      <c r="I13" s="17"/>
      <c r="J13" s="17"/>
      <c r="K13" s="17"/>
      <c r="L13" s="17"/>
      <c r="M13" s="147"/>
    </row>
    <row r="14" spans="1:21" s="16" customFormat="1" ht="11.25" customHeight="1">
      <c r="A14" s="44" t="s">
        <v>131</v>
      </c>
      <c r="B14" s="120"/>
      <c r="C14" s="120"/>
      <c r="D14" s="120"/>
      <c r="E14" s="120"/>
      <c r="F14" s="120"/>
      <c r="G14" s="120"/>
      <c r="H14" s="119"/>
      <c r="I14" s="61"/>
      <c r="J14" s="61"/>
      <c r="K14" s="118">
        <v>4133</v>
      </c>
      <c r="L14" s="160">
        <v>9619</v>
      </c>
      <c r="M14" s="173">
        <v>12333</v>
      </c>
      <c r="O14" s="22"/>
      <c r="P14" s="22"/>
      <c r="Q14" s="22"/>
    </row>
    <row r="15" spans="1:21" s="8" customFormat="1" ht="11.25" customHeight="1">
      <c r="A15" s="45" t="s">
        <v>132</v>
      </c>
      <c r="B15" s="62" t="str">
        <f>IFERROR((SUMIFS(Jan!$N:$N,Jan!$J:$J,1,Jan!$B:$B,2094)+SUMIFS(Jan!$N:$N,Jan!$D:$D,"&gt;1",Jan!$B:$B,2094))/(COUNTIFS(Jan!$J:$J,1,Jan!$B:$B,2094)+COUNTIFS(Jan!$D:$D,"&gt;1",Jan!$B:$B,2094)),"")</f>
        <v/>
      </c>
      <c r="C15" s="62" t="str">
        <f ca="1">IFERROR((SUMIFS(Feb!$N:$N,Feb!$J:$J,1,Feb!$B:$B,2094)+SUMIFS(Feb!$N:$N,Feb!$D:$D,"&gt;1",Feb!$B:$B,2094))/(COUNTIFS(Feb!$J:$J,1,Feb!$B:$B,2094)+COUNTIFS(Feb!$D:$D,"&gt;1",Feb!$B:$B,2094)),"")</f>
        <v/>
      </c>
      <c r="D15" s="62" t="str">
        <f ca="1">IFERROR((SUMIFS(Mar!$N:$N,Mar!$J:$J,1,Mar!$B:$B,2094)+SUMIFS(Mar!$N:$N,Mar!$D:$D,"&gt;1",Mar!$B:$B,2094))/(COUNTIFS(Mar!$J:$J,1,Mar!$B:$B,2094)+COUNTIFS(Mar!$D:$D,"&gt;1",Mar!$B:$B,2094)),"")</f>
        <v/>
      </c>
      <c r="E15" s="62" t="str">
        <f ca="1">IFERROR((SUMIFS(Apr!$N:$N,Apr!$J:$J,1,Apr!$B:$B,2094)+SUMIFS(Apr!$N:$N,Apr!$D:$D,"&gt;1",Apr!$B:$B,2094))/(COUNTIFS(Apr!$J:$J,1,Apr!$B:$B,2094)+COUNTIFS(Apr!$D:$D,"&gt;1",Apr!$B:$B,2094)),"")</f>
        <v/>
      </c>
      <c r="F15" s="62" t="str">
        <f ca="1">IFERROR((SUMIFS(May!$N:$N,May!$J:$J,1,May!$B:$B,2094)+SUMIFS(May!$N:$N,May!$D:$D,"&gt;1",May!$B:$B,2094))/(COUNTIFS(May!$J:$J,1,May!$B:$B,2094)+COUNTIFS(May!$D:$D,"&gt;1",May!$B:$B,2094)),"")</f>
        <v/>
      </c>
      <c r="G15" s="62" t="str">
        <f ca="1">IFERROR((SUMIFS(Jun!$N:$N,Jun!$J:$J,1,Jun!$B:$B,2094)+SUMIFS(Jun!$N:$N,Jun!$D:$D,"&gt;1",Jun!$B:$B,2094))/(COUNTIFS(Jun!$J:$J,1,Jun!$B:$B,2094)+COUNTIFS(Jun!$D:$D,"&gt;1",Jun!$B:$B,2094)),"")</f>
        <v/>
      </c>
      <c r="H15" s="62" t="str">
        <f ca="1">IFERROR((SUMIFS(Jul!$N:$N,Jul!$J:$J,1,Jul!$B:$B,2094)+SUMIFS(Jul!$N:$N,Jul!$D:$D,"&gt;1",Jul!$B:$B,2094))/(COUNTIFS(Jul!$J:$J,1,Jul!$B:$B,2094)+COUNTIFS(Jul!$D:$D,"&gt;1",Jul!$B:$B,2094)),"")</f>
        <v/>
      </c>
      <c r="I15" s="62" t="str">
        <f ca="1">IFERROR((SUMIFS(Aug!$N:$N,Aug!$J:$J,1,Aug!$B:$B,2094)+SUMIFS(Aug!$N:$N,Aug!$D:$D,"&gt;1",Aug!$B:$B,2094))/(COUNTIFS(Aug!$J:$J,1,Aug!$B:$B,2094)+COUNTIFS(Aug!$D:$D,"&gt;1",Aug!$B:$B,2094)),"")</f>
        <v/>
      </c>
      <c r="J15" s="62" t="str">
        <f ca="1">IFERROR((SUMIFS(Sep!$N:$N,Sep!$J:$J,1,Sep!$B:$B,2094)+SUMIFS(Sep!$N:$N,Sep!$D:$D,"&gt;1",Sep!$B:$B,2094))/(COUNTIFS(Sep!$J:$J,1,Sep!$B:$B,2094)+COUNTIFS(Sep!$D:$D,"&gt;1",Sep!$B:$B,2094)),"")</f>
        <v/>
      </c>
      <c r="K15" s="62">
        <v>25.4</v>
      </c>
      <c r="L15" s="62">
        <v>25.16</v>
      </c>
      <c r="M15" s="62">
        <v>21.91</v>
      </c>
      <c r="N15" s="15"/>
      <c r="O15" s="1"/>
      <c r="P15" s="1"/>
      <c r="Q15" s="1"/>
    </row>
    <row r="16" spans="1:21" s="8" customFormat="1" ht="11.25" customHeight="1">
      <c r="A16" s="45" t="s">
        <v>133</v>
      </c>
      <c r="B16" s="62" t="str">
        <f>IFERROR(AVERAGEIFS(Jan!$N:$N,Jan!$F:$F,800,Jan!$B:$B,2094),"")</f>
        <v/>
      </c>
      <c r="C16" s="62" t="str">
        <f ca="1">IFERROR(AVERAGEIFS(Feb!$N:$N,Feb!$F:$F,800,Feb!$B:$B,2094),"")</f>
        <v/>
      </c>
      <c r="D16" s="62" t="str">
        <f ca="1">IFERROR(AVERAGEIFS(Mar!$N:$N,Mar!$F:$F,800,Mar!$B:$B,2094),"")</f>
        <v/>
      </c>
      <c r="E16" s="62" t="str">
        <f ca="1">IFERROR(AVERAGEIFS(Apr!$N:$N,Apr!$F:$F,800,Apr!$B:$B,2094),"")</f>
        <v/>
      </c>
      <c r="F16" s="62" t="str">
        <f ca="1">IFERROR(AVERAGEIFS(May!$N:$N,May!$F:$F,800,May!$B:$B,2094),"")</f>
        <v/>
      </c>
      <c r="G16" s="62" t="str">
        <f ca="1">IFERROR(AVERAGEIFS(Jun!$N:$N,Jun!$F:$F,800,Jun!$B:$B,2094),"")</f>
        <v/>
      </c>
      <c r="H16" s="62" t="str">
        <f ca="1">IFERROR(AVERAGEIFS(Jul!$N:$N,Jul!$F:$F,800,Jul!$B:$B,2094),"")</f>
        <v/>
      </c>
      <c r="I16" s="62" t="str">
        <f ca="1">IFERROR(AVERAGEIFS(Aug!$N:$N,Aug!$F:$F,800,Aug!$B:$B,2094),"")</f>
        <v/>
      </c>
      <c r="J16" s="62" t="str">
        <f ca="1">IFERROR(AVERAGEIFS(Sep!$N:$N,Sep!$F:$F,800,Sep!$B:$B,2094),"")</f>
        <v/>
      </c>
      <c r="K16" s="62">
        <v>26.25</v>
      </c>
      <c r="L16" s="62">
        <v>23.42</v>
      </c>
      <c r="M16" s="62">
        <v>26.21</v>
      </c>
      <c r="O16" s="1"/>
      <c r="P16" s="1"/>
      <c r="Q16" s="1"/>
    </row>
    <row r="17" spans="1:17" s="8" customFormat="1" ht="11.25" customHeight="1">
      <c r="A17" s="45" t="s">
        <v>134</v>
      </c>
      <c r="B17" s="63" t="str">
        <f>IFERROR((SUMIFS(Jan!$M:$M,Jan!$J:$J,1,Jan!$B:$B,2094)+SUMIFS(Jan!$M:$M,Jan!$D:$D,"&gt;1",Jan!$B:$B,2094))/(COUNTIFS(Jan!$J:$J,1,Jan!$B:$B,2094)+COUNTIFS(Jan!$D:$D,"&gt;1",Jan!$B:$B,2094)),"")</f>
        <v/>
      </c>
      <c r="C17" s="63" t="str">
        <f ca="1">IFERROR((SUMIFS(Feb!$M:$M,Feb!$J:$J,1,Feb!$B:$B,2094)+SUMIFS(Feb!$M:$M,Feb!$D:$D,"&gt;1",Feb!$B:$B,2094))/(COUNTIFS(Feb!$J:$J,1,Feb!$B:$B,2094)+COUNTIFS(Feb!$D:$D,"&gt;1",Feb!$B:$B,2094)),"")</f>
        <v/>
      </c>
      <c r="D17" s="63" t="str">
        <f ca="1">IFERROR((SUMIFS(Mar!$M:$M,Mar!$J:$J,1,Mar!$B:$B,2094)+SUMIFS(Mar!$M:$M,Mar!$D:$D,"&gt;1",Mar!$B:$B,2094))/(COUNTIFS(Mar!$J:$J,1,Mar!$B:$B,2094)+COUNTIFS(Mar!$D:$D,"&gt;1",Mar!$B:$B,2094)),"")</f>
        <v/>
      </c>
      <c r="E17" s="63" t="str">
        <f ca="1">IFERROR((SUMIFS(Apr!$M:$M,Apr!$J:$J,1,Apr!$B:$B,2094)+SUMIFS(Apr!$M:$M,Apr!$D:$D,"&gt;1",Apr!$B:$B,2094))/(COUNTIFS(Apr!$J:$J,1,Apr!$B:$B,2094)+COUNTIFS(Apr!$D:$D,"&gt;1",Apr!$B:$B,2094)),"")</f>
        <v/>
      </c>
      <c r="F17" s="63" t="str">
        <f ca="1">IFERROR((SUMIFS(May!$M:$M,May!$J:$J,1,May!$B:$B,2094)+SUMIFS(May!$M:$M,May!$D:$D,"&gt;1",May!$B:$B,2094))/(COUNTIFS(May!$J:$J,1,May!$B:$B,2094)+COUNTIFS(May!$D:$D,"&gt;1",May!$B:$B,2094)),"")</f>
        <v/>
      </c>
      <c r="G17" s="63" t="str">
        <f ca="1">IFERROR((SUMIFS(Jun!$M:$M,Jun!$J:$J,1,Jun!$B:$B,2094)+SUMIFS(Jun!$M:$M,Jun!$D:$D,"&gt;1",Jun!$B:$B,2094))/(COUNTIFS(Jun!$J:$J,1,Jun!$B:$B,2094)+COUNTIFS(Jun!$D:$D,"&gt;1",Jun!$B:$B,2094)),"")</f>
        <v/>
      </c>
      <c r="H17" s="63" t="str">
        <f ca="1">IFERROR((SUMIFS(Jul!$M:$M,Jul!$J:$J,1,Jul!$B:$B,2094)+SUMIFS(Jul!$M:$M,Jul!$D:$D,"&gt;1",Jul!$B:$B,2094))/(COUNTIFS(Jul!$J:$J,1,Jul!$B:$B,2094)+COUNTIFS(Jul!$D:$D,"&gt;1",Jul!$B:$B,2094)),"")</f>
        <v/>
      </c>
      <c r="I17" s="63" t="str">
        <f ca="1">IFERROR((SUMIFS(Aug!$M:$M,Aug!$J:$J,1,Aug!$B:$B,2094)+SUMIFS(Aug!$M:$M,Aug!$D:$D,"&gt;1",Aug!$B:$B,2094))/(COUNTIFS(Aug!$J:$J,1,Aug!$B:$B,2094)+COUNTIFS(Aug!$D:$D,"&gt;1",Aug!$B:$B,2094)),"")</f>
        <v/>
      </c>
      <c r="J17" s="63" t="str">
        <f ca="1">IFERROR((SUMIFS(Sep!$M:$M,Sep!$J:$J,1,Sep!$B:$B,2094)+SUMIFS(Sep!$M:$M,Sep!$D:$D,"&gt;1",Sep!$B:$B,2094))/(COUNTIFS(Sep!$J:$J,1,Sep!$B:$B,2094)+COUNTIFS(Sep!$D:$D,"&gt;1",Sep!$B:$B,2094)),"")</f>
        <v/>
      </c>
      <c r="K17" s="63">
        <v>0.9</v>
      </c>
      <c r="L17" s="63">
        <v>4.29</v>
      </c>
      <c r="M17" s="63">
        <v>6.65</v>
      </c>
      <c r="O17" s="1"/>
      <c r="P17" s="1"/>
      <c r="Q17" s="1"/>
    </row>
    <row r="18" spans="1:17" s="8" customFormat="1" ht="11.25" customHeight="1" thickBot="1">
      <c r="A18" s="43" t="s">
        <v>135</v>
      </c>
      <c r="B18" s="64" t="str">
        <f>IFERROR(AVERAGEIFS(Jan!$M:$M,Jan!$F:$F,800,Jan!$B:$B,2094),"")</f>
        <v/>
      </c>
      <c r="C18" s="64" t="str">
        <f ca="1">IFERROR(AVERAGEIFS(Feb!$M:$M,Feb!$F:$F,800,Feb!$B:$B,2094),"")</f>
        <v/>
      </c>
      <c r="D18" s="64" t="str">
        <f ca="1">IFERROR(AVERAGEIFS(Mar!$M:$M,Mar!$F:$F,800,Mar!$B:$B,2094),"")</f>
        <v/>
      </c>
      <c r="E18" s="64" t="str">
        <f ca="1">IFERROR(AVERAGEIFS(Apr!$M:$M,Apr!$F:$F,800,Apr!$B:$B,2094),"")</f>
        <v/>
      </c>
      <c r="F18" s="64" t="str">
        <f ca="1">IFERROR(AVERAGEIFS(May!$M:$M,May!$F:$F,800,May!$B:$B,2094),"")</f>
        <v/>
      </c>
      <c r="G18" s="64" t="str">
        <f ca="1">IFERROR(AVERAGEIFS(Jun!$M:$M,Jun!$F:$F,800,Jun!$B:$B,2094),"")</f>
        <v/>
      </c>
      <c r="H18" s="64" t="str">
        <f ca="1">IFERROR(AVERAGEIFS(Jul!$M:$M,Jul!$F:$F,800,Jul!$B:$B,2094),"")</f>
        <v/>
      </c>
      <c r="I18" s="64" t="str">
        <f ca="1">IFERROR(AVERAGEIFS(Aug!$M:$M,Aug!$F:$F,800,Aug!$B:$B,2094),"")</f>
        <v/>
      </c>
      <c r="J18" s="64" t="str">
        <f ca="1">IFERROR(AVERAGEIFS(Sep!$M:$M,Sep!$F:$F,800,Sep!$B:$B,2094),"")</f>
        <v/>
      </c>
      <c r="K18" s="64">
        <v>0.83</v>
      </c>
      <c r="L18" s="64">
        <v>3.4</v>
      </c>
      <c r="M18" s="64">
        <v>3.73</v>
      </c>
    </row>
    <row r="19" spans="1:17" s="8" customFormat="1" ht="5.0999999999999996" customHeight="1" thickBot="1">
      <c r="A19" s="3"/>
      <c r="B19" s="17"/>
      <c r="C19" s="17"/>
      <c r="D19" s="17"/>
      <c r="E19" s="17"/>
      <c r="F19" s="17"/>
      <c r="G19" s="17"/>
      <c r="H19" s="17"/>
      <c r="I19" s="17"/>
      <c r="J19" s="17"/>
      <c r="K19" s="17"/>
      <c r="L19" s="17"/>
      <c r="M19" s="147"/>
    </row>
    <row r="20" spans="1:17" s="8" customFormat="1" ht="11.25" customHeight="1">
      <c r="A20" s="42" t="s">
        <v>52</v>
      </c>
      <c r="B20" s="65">
        <v>31</v>
      </c>
      <c r="C20" s="65">
        <v>28</v>
      </c>
      <c r="D20" s="65">
        <v>31</v>
      </c>
      <c r="E20" s="65">
        <v>30</v>
      </c>
      <c r="F20" s="65">
        <v>31</v>
      </c>
      <c r="G20" s="65">
        <v>30</v>
      </c>
      <c r="H20" s="65">
        <v>31</v>
      </c>
      <c r="I20" s="65">
        <v>31</v>
      </c>
      <c r="J20" s="65">
        <v>30</v>
      </c>
      <c r="K20" s="65">
        <v>31</v>
      </c>
      <c r="L20" s="161">
        <v>30</v>
      </c>
      <c r="M20" s="174">
        <v>31</v>
      </c>
    </row>
    <row r="21" spans="1:17" s="8" customFormat="1" ht="11.25" customHeight="1">
      <c r="A21" s="9" t="s">
        <v>15</v>
      </c>
      <c r="B21" s="66">
        <f>B12/B20</f>
        <v>0</v>
      </c>
      <c r="C21" s="66">
        <f t="shared" ref="C21:M21" si="5">C12/C20</f>
        <v>0</v>
      </c>
      <c r="D21" s="66">
        <f>D12/D20</f>
        <v>0</v>
      </c>
      <c r="E21" s="66">
        <f>E12/E20</f>
        <v>0</v>
      </c>
      <c r="F21" s="66">
        <f>F12/F20</f>
        <v>0</v>
      </c>
      <c r="G21" s="66">
        <f>G12/G20</f>
        <v>0</v>
      </c>
      <c r="H21" s="66">
        <f t="shared" si="5"/>
        <v>0</v>
      </c>
      <c r="I21" s="66">
        <f t="shared" si="5"/>
        <v>0</v>
      </c>
      <c r="J21" s="66">
        <f t="shared" si="5"/>
        <v>0</v>
      </c>
      <c r="K21" s="66">
        <f t="shared" si="5"/>
        <v>0.12903225806451613</v>
      </c>
      <c r="L21" s="162">
        <f t="shared" si="5"/>
        <v>0.4</v>
      </c>
      <c r="M21" s="175">
        <f t="shared" si="5"/>
        <v>0.41935483870967744</v>
      </c>
    </row>
    <row r="22" spans="1:17" s="8" customFormat="1" ht="11.25" customHeight="1">
      <c r="A22" s="9" t="s">
        <v>130</v>
      </c>
      <c r="B22" s="67">
        <f t="shared" ref="B22:G22" si="6">IFERROR(B12/B7,0)</f>
        <v>0</v>
      </c>
      <c r="C22" s="67">
        <f t="shared" si="6"/>
        <v>0</v>
      </c>
      <c r="D22" s="67">
        <f t="shared" si="6"/>
        <v>0</v>
      </c>
      <c r="E22" s="67">
        <f t="shared" si="6"/>
        <v>0</v>
      </c>
      <c r="F22" s="67">
        <f t="shared" si="6"/>
        <v>0</v>
      </c>
      <c r="G22" s="67">
        <f t="shared" si="6"/>
        <v>0</v>
      </c>
      <c r="H22" s="67">
        <f t="shared" ref="H22:M22" si="7">IFERROR(H12/H7,0)</f>
        <v>0</v>
      </c>
      <c r="I22" s="67">
        <f t="shared" si="7"/>
        <v>0</v>
      </c>
      <c r="J22" s="67">
        <f t="shared" si="7"/>
        <v>0</v>
      </c>
      <c r="K22" s="116">
        <f t="shared" si="7"/>
        <v>0.8</v>
      </c>
      <c r="L22" s="67">
        <f t="shared" si="7"/>
        <v>0.26666666666666666</v>
      </c>
      <c r="M22" s="176">
        <f t="shared" si="7"/>
        <v>0.34210526315789475</v>
      </c>
      <c r="N22" s="1"/>
    </row>
    <row r="23" spans="1:17" s="8" customFormat="1" ht="11.25" customHeight="1" thickBot="1">
      <c r="A23" s="9" t="s">
        <v>53</v>
      </c>
      <c r="B23" s="67">
        <f t="shared" ref="B23:G23" si="8">IFERROR(B12/(B11+B12),0)</f>
        <v>0</v>
      </c>
      <c r="C23" s="67">
        <f t="shared" si="8"/>
        <v>0</v>
      </c>
      <c r="D23" s="67">
        <f t="shared" si="8"/>
        <v>0</v>
      </c>
      <c r="E23" s="67">
        <f t="shared" si="8"/>
        <v>0</v>
      </c>
      <c r="F23" s="67">
        <f t="shared" si="8"/>
        <v>0</v>
      </c>
      <c r="G23" s="67">
        <f t="shared" si="8"/>
        <v>0</v>
      </c>
      <c r="H23" s="67">
        <f t="shared" ref="H23:M23" si="9">IFERROR(H12/(H11+H12),0)</f>
        <v>0</v>
      </c>
      <c r="I23" s="67">
        <f t="shared" si="9"/>
        <v>0</v>
      </c>
      <c r="J23" s="67">
        <f t="shared" si="9"/>
        <v>0</v>
      </c>
      <c r="K23" s="117">
        <f t="shared" si="9"/>
        <v>1</v>
      </c>
      <c r="L23" s="163">
        <f t="shared" si="9"/>
        <v>1</v>
      </c>
      <c r="M23" s="177">
        <f t="shared" si="9"/>
        <v>0.8666666666666667</v>
      </c>
      <c r="N23" s="4"/>
    </row>
    <row r="24" spans="1:17" s="8" customFormat="1" ht="11.25" customHeight="1" thickBot="1">
      <c r="A24" s="53" t="s">
        <v>21</v>
      </c>
      <c r="B24" s="50">
        <v>41275</v>
      </c>
      <c r="C24" s="47">
        <v>41306</v>
      </c>
      <c r="D24" s="47">
        <v>41334</v>
      </c>
      <c r="E24" s="47">
        <v>41365</v>
      </c>
      <c r="F24" s="47">
        <v>41395</v>
      </c>
      <c r="G24" s="47">
        <v>41426</v>
      </c>
      <c r="H24" s="47">
        <v>41456</v>
      </c>
      <c r="I24" s="47">
        <v>41487</v>
      </c>
      <c r="J24" s="47">
        <v>41518</v>
      </c>
      <c r="K24" s="47">
        <v>41548</v>
      </c>
      <c r="L24" s="47">
        <v>41579</v>
      </c>
      <c r="M24" s="51">
        <v>41609</v>
      </c>
    </row>
    <row r="25" spans="1:17" s="8" customFormat="1" ht="11.25" customHeight="1">
      <c r="A25" s="18" t="s">
        <v>5</v>
      </c>
      <c r="B25" s="68">
        <f>COUNTIFS(Jan!$B:$B,2094,Jan!$J:$J,18)</f>
        <v>0</v>
      </c>
      <c r="C25" s="68">
        <f>COUNTIFS(Feb!$B:$B,2094,Feb!$J:$J,18)</f>
        <v>0</v>
      </c>
      <c r="D25" s="68">
        <f>COUNTIFS(Mar!$B:$B,2094,Mar!$J:$J,18)</f>
        <v>0</v>
      </c>
      <c r="E25" s="68">
        <f>COUNTIFS(Apr!$B:$B,2094,Apr!$J:$J,18)</f>
        <v>0</v>
      </c>
      <c r="F25" s="68">
        <f>COUNTIFS(May!$B:$B,2094,May!$J:$J,18)</f>
        <v>0</v>
      </c>
      <c r="G25" s="68">
        <f>COUNTIFS(Jun!$B:$B,2094,Jun!$J:$J,18)</f>
        <v>0</v>
      </c>
      <c r="H25" s="68">
        <f>COUNTIFS(Jul!$B:$B,2094,Jul!$J:$J,18)</f>
        <v>0</v>
      </c>
      <c r="I25" s="68">
        <f>COUNTIFS(Aug!$B:$B,2094,Aug!$J:$J,18)</f>
        <v>0</v>
      </c>
      <c r="J25" s="68">
        <f>COUNTIFS(Sep!$B:$B,2094,Sep!$J:$J,18)</f>
        <v>0</v>
      </c>
      <c r="K25" s="68">
        <f>COUNTIFS(Oct!$B:$B,2094,Oct!$J:$J,18)</f>
        <v>0</v>
      </c>
      <c r="L25" s="68">
        <v>4</v>
      </c>
      <c r="M25" s="68">
        <v>9</v>
      </c>
    </row>
    <row r="26" spans="1:17" s="8" customFormat="1" ht="11.25" customHeight="1">
      <c r="A26" s="46" t="s">
        <v>40</v>
      </c>
      <c r="B26" s="57">
        <f>COUNTIFS(Jan!$B:$B,2094,Jan!$J:$J,41)</f>
        <v>0</v>
      </c>
      <c r="C26" s="57">
        <f>COUNTIFS(Feb!$B:$B,2094,Feb!$J:$J,41)</f>
        <v>0</v>
      </c>
      <c r="D26" s="57">
        <f>COUNTIFS(Mar!$B:$B,2094,Mar!$J:$J,41)</f>
        <v>0</v>
      </c>
      <c r="E26" s="57">
        <f>COUNTIFS(Apr!$B:$B,2094,Apr!$J:$J,41)</f>
        <v>0</v>
      </c>
      <c r="F26" s="57">
        <f>COUNTIFS(May!$B:$B,2094,May!$J:$J,41)</f>
        <v>0</v>
      </c>
      <c r="G26" s="57">
        <f>COUNTIFS(Jun!$B:$B,2094,Jun!$J:$J,41)</f>
        <v>0</v>
      </c>
      <c r="H26" s="57">
        <f>COUNTIFS(Jul!$B:$B,2094,Jul!$J:$J,41)</f>
        <v>0</v>
      </c>
      <c r="I26" s="57">
        <f>COUNTIFS(Aug!$B:$B,2094,Aug!$J:$J,41)</f>
        <v>0</v>
      </c>
      <c r="J26" s="57">
        <f>COUNTIFS(Sep!$B:$B,2094,Sep!$J:$J,41)</f>
        <v>0</v>
      </c>
      <c r="K26" s="57">
        <f>COUNTIFS(Oct!$B:$B,2094,Oct!$J:$J,41)</f>
        <v>0</v>
      </c>
      <c r="L26" s="57">
        <f>COUNTIFS(Nov!$B:$B,2094,Nov!$J:$J,41)</f>
        <v>0</v>
      </c>
      <c r="M26" s="57">
        <v>0</v>
      </c>
    </row>
    <row r="27" spans="1:17" s="8" customFormat="1" ht="11.25" customHeight="1">
      <c r="A27" s="9" t="s">
        <v>11</v>
      </c>
      <c r="B27" s="179">
        <f>COUNTIFS(Jan!$B:$B,2094,Jan!$J:$J,17)</f>
        <v>0</v>
      </c>
      <c r="C27" s="179">
        <f>COUNTIFS(Feb!$B:$B,2094,Feb!$J:$J,17)</f>
        <v>0</v>
      </c>
      <c r="D27" s="179">
        <f>COUNTIFS(Mar!$B:$B,2094,Mar!$J:$J,17)</f>
        <v>0</v>
      </c>
      <c r="E27" s="179">
        <f>COUNTIFS(Apr!$B:$B,2094,Apr!$J:$J,17)</f>
        <v>0</v>
      </c>
      <c r="F27" s="179">
        <f>COUNTIFS(May!$B:$B,2094,May!$J:$J,17)</f>
        <v>0</v>
      </c>
      <c r="G27" s="179">
        <f>COUNTIFS(Jun!$B:$B,2094,Jun!$J:$J,17)</f>
        <v>0</v>
      </c>
      <c r="H27" s="179">
        <f>COUNTIFS(Jul!$B:$B,2094,Jul!$J:$J,17)</f>
        <v>0</v>
      </c>
      <c r="I27" s="179">
        <f>COUNTIFS(Aug!$B:$B,2094,Aug!$J:$J,17)</f>
        <v>0</v>
      </c>
      <c r="J27" s="179">
        <f>COUNTIFS(Sep!$B:$B,2094,Sep!$J:$J,17)</f>
        <v>0</v>
      </c>
      <c r="K27" s="206">
        <v>1</v>
      </c>
      <c r="L27" s="206">
        <v>20</v>
      </c>
      <c r="M27" s="206">
        <v>34</v>
      </c>
    </row>
    <row r="28" spans="1:17" s="8" customFormat="1" ht="11.25" customHeight="1">
      <c r="A28" s="9" t="s">
        <v>143</v>
      </c>
      <c r="B28" s="59">
        <f>COUNTIFS(Jan!$B:$B,2094,Jan!$F:$F,455)</f>
        <v>0</v>
      </c>
      <c r="C28" s="59">
        <f>COUNTIFS(Feb!$B:$B,2094,Feb!$F:$F,455)</f>
        <v>0</v>
      </c>
      <c r="D28" s="59">
        <f>COUNTIFS(Mar!$B:$B,2094,Mar!$F:$F,455)</f>
        <v>0</v>
      </c>
      <c r="E28" s="59">
        <f>COUNTIFS(Apr!$B:$B,2094,Apr!$F:$F,455)</f>
        <v>0</v>
      </c>
      <c r="F28" s="59">
        <f>COUNTIFS(May!$B:$B,2094,May!$F:$F,455)</f>
        <v>0</v>
      </c>
      <c r="G28" s="59">
        <f>COUNTIFS(Jun!$B:$B,2094,Jun!$F:$F,455)</f>
        <v>0</v>
      </c>
      <c r="H28" s="59">
        <f>COUNTIFS(Jul!$B:$B,2094,Jul!$F:$F,455)</f>
        <v>0</v>
      </c>
      <c r="I28" s="59">
        <f>COUNTIFS(Aug!$B:$B,2094,Aug!$F:$F,455)</f>
        <v>0</v>
      </c>
      <c r="J28" s="59">
        <f>COUNTIFS(Sep!$B:$B,2094,Sep!$F:$F,455)</f>
        <v>0</v>
      </c>
      <c r="K28" s="59">
        <f>COUNTIFS(Oct!$B:$B,2094,Oct!$F:$F,455)</f>
        <v>0</v>
      </c>
      <c r="L28" s="59">
        <f>COUNTIFS(Nov!$B:$B,2094,Nov!$F:$F,455)</f>
        <v>0</v>
      </c>
      <c r="M28" s="59">
        <v>0</v>
      </c>
    </row>
    <row r="29" spans="1:17" s="8" customFormat="1" ht="11.25" customHeight="1">
      <c r="A29" s="9" t="s">
        <v>23</v>
      </c>
      <c r="B29" s="59">
        <f>COUNTIFS(Jan!$B:$B,2094,Jan!$J:$J,31)</f>
        <v>0</v>
      </c>
      <c r="C29" s="59">
        <f>COUNTIFS(Feb!$B:$B,2094,Feb!$J:$J,31)</f>
        <v>0</v>
      </c>
      <c r="D29" s="59">
        <f>COUNTIFS(Mar!$B:$B,2094,Mar!$J:$J,31)</f>
        <v>0</v>
      </c>
      <c r="E29" s="59">
        <f>COUNTIFS(Apr!$B:$B,2094,Apr!$J:$J,31)</f>
        <v>0</v>
      </c>
      <c r="F29" s="59">
        <f>COUNTIFS(May!$B:$B,2094,May!$J:$J,31)</f>
        <v>0</v>
      </c>
      <c r="G29" s="59">
        <f>COUNTIFS(Jun!$B:$B,2094,Jun!$J:$J,31)</f>
        <v>0</v>
      </c>
      <c r="H29" s="59">
        <f>COUNTIFS(Jul!$B:$B,2094,Jul!$J:$J,31)</f>
        <v>0</v>
      </c>
      <c r="I29" s="59">
        <f>COUNTIFS(Aug!$B:$B,2094,Aug!$J:$J,31)</f>
        <v>0</v>
      </c>
      <c r="J29" s="59">
        <f>COUNTIFS(Sep!$B:$B,2094,Sep!$J:$J,31)</f>
        <v>0</v>
      </c>
      <c r="K29" s="59">
        <f>COUNTIFS(Oct!$B:$B,2094,Oct!$J:$J,31)</f>
        <v>0</v>
      </c>
      <c r="L29" s="59">
        <f>COUNTIFS(Nov!$B:$B,2094,Nov!$J:$J,31)</f>
        <v>0</v>
      </c>
      <c r="M29" s="59">
        <v>0</v>
      </c>
    </row>
    <row r="30" spans="1:17" s="8" customFormat="1" ht="11.25" customHeight="1">
      <c r="A30" s="9" t="s">
        <v>37</v>
      </c>
      <c r="B30" s="59">
        <f>COUNTIFS(Jan!$B:$B,2094,Jan!$J:$J,4400)</f>
        <v>0</v>
      </c>
      <c r="C30" s="59">
        <f>COUNTIFS(Feb!$B:$B,2094,Feb!$J:$J,4400)</f>
        <v>0</v>
      </c>
      <c r="D30" s="59">
        <f>COUNTIFS(Mar!$B:$B,2094,Mar!$J:$J,4400)</f>
        <v>0</v>
      </c>
      <c r="E30" s="59">
        <f>COUNTIFS(Apr!$B:$B,2094,Apr!$J:$J,4400)</f>
        <v>0</v>
      </c>
      <c r="F30" s="59">
        <f>COUNTIFS(May!$B:$B,2094,May!$J:$J,4400)</f>
        <v>0</v>
      </c>
      <c r="G30" s="59">
        <f>COUNTIFS(Jun!$B:$B,2094,Jun!$J:$J,4400)</f>
        <v>0</v>
      </c>
      <c r="H30" s="59">
        <f>COUNTIFS(Jul!$B:$B,2094,Jul!$J:$J,4400)</f>
        <v>0</v>
      </c>
      <c r="I30" s="59">
        <f>COUNTIFS(Aug!$B:$B,2094,Aug!$J:$J,4400)</f>
        <v>0</v>
      </c>
      <c r="J30" s="59">
        <f>COUNTIFS(Sep!$B:$B,2094,Sep!$J:$J,4400)</f>
        <v>0</v>
      </c>
      <c r="K30" s="59">
        <f>COUNTIFS(Oct!$B:$B,2094,Oct!$J:$J,4400)</f>
        <v>0</v>
      </c>
      <c r="L30" s="59">
        <v>1</v>
      </c>
      <c r="M30" s="59">
        <v>1</v>
      </c>
    </row>
    <row r="31" spans="1:17" s="8" customFormat="1" ht="11.25" customHeight="1">
      <c r="A31" s="10" t="s">
        <v>24</v>
      </c>
      <c r="B31" s="59">
        <f>COUNTIFS(Jan!$B:$B,2094,Jan!$J:$J,30)</f>
        <v>0</v>
      </c>
      <c r="C31" s="59">
        <f>COUNTIFS(Feb!$B:$B,2094,Feb!$J:$J,30)</f>
        <v>0</v>
      </c>
      <c r="D31" s="59">
        <f>COUNTIFS(Mar!$B:$B,2094,Mar!$J:$J,30)</f>
        <v>0</v>
      </c>
      <c r="E31" s="59">
        <f>COUNTIFS(Apr!$B:$B,2094,Apr!$J:$J,30)</f>
        <v>0</v>
      </c>
      <c r="F31" s="59">
        <f>COUNTIFS(May!$B:$B,2094,May!$J:$J,30)</f>
        <v>0</v>
      </c>
      <c r="G31" s="59">
        <f>COUNTIFS(Jun!$B:$B,2094,Jun!$J:$J,30)</f>
        <v>0</v>
      </c>
      <c r="H31" s="59">
        <f>COUNTIFS(Jul!$B:$B,2094,Jul!$J:$J,30)</f>
        <v>0</v>
      </c>
      <c r="I31" s="59">
        <f>COUNTIFS(Aug!$B:$B,2094,Aug!$J:$J,30)</f>
        <v>0</v>
      </c>
      <c r="J31" s="59">
        <f>COUNTIFS(Sep!$B:$B,2094,Sep!$J:$J,30)</f>
        <v>0</v>
      </c>
      <c r="K31" s="59">
        <f>COUNTIFS(Oct!$B:$B,2094,Oct!$J:$J,30)</f>
        <v>0</v>
      </c>
      <c r="L31" s="59">
        <f>COUNTIFS(Nov!$B:$B,2094,Nov!$J:$J,30)</f>
        <v>0</v>
      </c>
      <c r="M31" s="59">
        <v>0</v>
      </c>
    </row>
    <row r="32" spans="1:17" s="14" customFormat="1" ht="11.25" customHeight="1" thickBot="1">
      <c r="A32" s="2" t="s">
        <v>140</v>
      </c>
      <c r="B32" s="60">
        <f>SUM(B25:B31)</f>
        <v>0</v>
      </c>
      <c r="C32" s="60">
        <f t="shared" ref="C32:M32" si="10">SUM(C25:C31)</f>
        <v>0</v>
      </c>
      <c r="D32" s="60">
        <f>SUM(D25:D31)</f>
        <v>0</v>
      </c>
      <c r="E32" s="60">
        <f>SUM(E25:E31)</f>
        <v>0</v>
      </c>
      <c r="F32" s="60">
        <f>SUM(F25:F31)</f>
        <v>0</v>
      </c>
      <c r="G32" s="60">
        <f>SUM(G25:G31)</f>
        <v>0</v>
      </c>
      <c r="H32" s="60">
        <f t="shared" si="10"/>
        <v>0</v>
      </c>
      <c r="I32" s="60">
        <f t="shared" si="10"/>
        <v>0</v>
      </c>
      <c r="J32" s="60">
        <f t="shared" si="10"/>
        <v>0</v>
      </c>
      <c r="K32" s="60">
        <f t="shared" si="10"/>
        <v>1</v>
      </c>
      <c r="L32" s="159">
        <f t="shared" si="10"/>
        <v>25</v>
      </c>
      <c r="M32" s="170">
        <f t="shared" si="10"/>
        <v>44</v>
      </c>
    </row>
    <row r="33" spans="1:13" ht="12" customHeight="1" thickBot="1">
      <c r="A33" s="55" t="s">
        <v>136</v>
      </c>
      <c r="B33" s="50">
        <v>41275</v>
      </c>
      <c r="C33" s="47">
        <v>41306</v>
      </c>
      <c r="D33" s="47">
        <v>41334</v>
      </c>
      <c r="E33" s="47">
        <v>41365</v>
      </c>
      <c r="F33" s="47">
        <v>41395</v>
      </c>
      <c r="G33" s="47">
        <v>41426</v>
      </c>
      <c r="H33" s="47">
        <v>41456</v>
      </c>
      <c r="I33" s="47">
        <v>41487</v>
      </c>
      <c r="J33" s="47">
        <v>41518</v>
      </c>
      <c r="K33" s="47">
        <v>41548</v>
      </c>
      <c r="L33" s="47">
        <v>41579</v>
      </c>
      <c r="M33" s="51">
        <v>41609</v>
      </c>
    </row>
    <row r="34" spans="1:13" s="8" customFormat="1" ht="11.25" customHeight="1">
      <c r="A34" s="46" t="s">
        <v>33</v>
      </c>
      <c r="B34" s="57">
        <f>COUNTIFS(Jan!$B:$B,2094,Jan!$J:$J,40)</f>
        <v>0</v>
      </c>
      <c r="C34" s="57">
        <f>COUNTIFS(Feb!$B:$B,2094,Feb!$J:$J,40)</f>
        <v>0</v>
      </c>
      <c r="D34" s="57">
        <f>COUNTIFS(Mar!$B:$B,2094,Mar!$J:$J,40)</f>
        <v>0</v>
      </c>
      <c r="E34" s="57">
        <f>COUNTIFS(Apr!$B:$B,2094,Apr!$J:$J,40)</f>
        <v>0</v>
      </c>
      <c r="F34" s="57">
        <f>COUNTIFS(May!$B:$B,2094,May!$J:$J,40)</f>
        <v>0</v>
      </c>
      <c r="G34" s="57">
        <f>COUNTIFS(Jun!$B:$B,2094,Jun!$J:$J,40)</f>
        <v>0</v>
      </c>
      <c r="H34" s="57">
        <f>COUNTIFS(Jul!$B:$B,2094,Jul!$J:$J,40)</f>
        <v>0</v>
      </c>
      <c r="I34" s="57">
        <f>COUNTIFS(Aug!$B:$B,2094,Aug!$J:$J,40)</f>
        <v>0</v>
      </c>
      <c r="J34" s="57">
        <f>COUNTIFS(Sep!$B:$B,2094,Sep!$J:$J,40)</f>
        <v>0</v>
      </c>
      <c r="K34" s="57">
        <f>COUNTIFS(Oct!$B:$B,2094,Oct!$J:$J,40)</f>
        <v>0</v>
      </c>
      <c r="L34" s="57">
        <f>COUNTIFS(Nov!$B:$B,2094,Nov!$J:$J,40)</f>
        <v>0</v>
      </c>
      <c r="M34" s="57">
        <v>0</v>
      </c>
    </row>
    <row r="35" spans="1:13" s="8" customFormat="1" ht="11.25" customHeight="1">
      <c r="A35" s="10" t="s">
        <v>4</v>
      </c>
      <c r="B35" s="59">
        <f>COUNTIFS(Jan!$B:$B,2094,Jan!$J:$J,15)</f>
        <v>0</v>
      </c>
      <c r="C35" s="59">
        <f>COUNTIFS(Feb!$B:$B,2094,Feb!$J:$J,15)</f>
        <v>0</v>
      </c>
      <c r="D35" s="59">
        <f>COUNTIFS(Mar!$B:$B,2094,Mar!$J:$J,15)</f>
        <v>0</v>
      </c>
      <c r="E35" s="59">
        <f>COUNTIFS(Apr!$B:$B,2094,Apr!$J:$J,15)</f>
        <v>0</v>
      </c>
      <c r="F35" s="59">
        <f>COUNTIFS(May!$B:$B,2094,May!$J:$J,15)</f>
        <v>0</v>
      </c>
      <c r="G35" s="59">
        <f>COUNTIFS(Jun!$B:$B,2094,Jun!$J:$J,15)</f>
        <v>0</v>
      </c>
      <c r="H35" s="59">
        <f>COUNTIFS(Jul!$B:$B,2094,Jul!$J:$J,15)</f>
        <v>0</v>
      </c>
      <c r="I35" s="59">
        <f>COUNTIFS(Aug!$B:$B,2094,Aug!$J:$J,15)</f>
        <v>0</v>
      </c>
      <c r="J35" s="59">
        <f>COUNTIFS(Sep!$B:$B,2094,Sep!$J:$J,15)</f>
        <v>0</v>
      </c>
      <c r="K35" s="59">
        <f>COUNTIFS(Oct!$B:$B,2094,Oct!$J:$J,15)</f>
        <v>0</v>
      </c>
      <c r="L35" s="59">
        <v>3</v>
      </c>
      <c r="M35" s="59">
        <v>1</v>
      </c>
    </row>
    <row r="36" spans="1:13" s="8" customFormat="1" ht="11.25" customHeight="1">
      <c r="A36" s="10" t="s">
        <v>39</v>
      </c>
      <c r="B36" s="59">
        <f>COUNTIFS(Jan!$B:$B,2094,Jan!$J:$J,29)</f>
        <v>0</v>
      </c>
      <c r="C36" s="59">
        <f>COUNTIFS(Feb!$B:$B,2094,Feb!$J:$J,29)</f>
        <v>0</v>
      </c>
      <c r="D36" s="59">
        <f>COUNTIFS(Mar!$B:$B,2094,Mar!$J:$J,29)</f>
        <v>0</v>
      </c>
      <c r="E36" s="59">
        <f>COUNTIFS(Apr!$B:$B,2094,Apr!$J:$J,29)</f>
        <v>0</v>
      </c>
      <c r="F36" s="59">
        <f>COUNTIFS(May!$B:$B,2094,May!$J:$J,29)</f>
        <v>0</v>
      </c>
      <c r="G36" s="59">
        <f>COUNTIFS(Jun!$B:$B,2094,Jun!$J:$J,29)</f>
        <v>0</v>
      </c>
      <c r="H36" s="59">
        <f>COUNTIFS(Jul!$B:$B,2094,Jul!$J:$J,29)</f>
        <v>0</v>
      </c>
      <c r="I36" s="59">
        <f>COUNTIFS(Aug!$B:$B,2094,Aug!$J:$J,29)</f>
        <v>0</v>
      </c>
      <c r="J36" s="59">
        <f>COUNTIFS(Sep!$B:$B,2094,Sep!$J:$J,29)</f>
        <v>0</v>
      </c>
      <c r="K36" s="59">
        <f>COUNTIFS(Oct!$B:$B,2094,Oct!$J:$J,29)</f>
        <v>0</v>
      </c>
      <c r="L36" s="59">
        <v>5</v>
      </c>
      <c r="M36" s="59">
        <v>0</v>
      </c>
    </row>
    <row r="37" spans="1:13" s="8" customFormat="1" ht="11.25" customHeight="1">
      <c r="A37" s="10" t="s">
        <v>3</v>
      </c>
      <c r="B37" s="59">
        <f>COUNTIFS(Jan!$B:$B,2094,Jan!$J:$J,13)</f>
        <v>0</v>
      </c>
      <c r="C37" s="59">
        <f>COUNTIFS(Feb!$B:$B,2094,Feb!$J:$J,13)</f>
        <v>0</v>
      </c>
      <c r="D37" s="59">
        <f>COUNTIFS(Mar!$B:$B,2094,Mar!$J:$J,13)</f>
        <v>0</v>
      </c>
      <c r="E37" s="59">
        <f>COUNTIFS(Apr!$B:$B,2094,Apr!$J:$J,13)</f>
        <v>0</v>
      </c>
      <c r="F37" s="59">
        <f>COUNTIFS(May!$B:$B,2094,May!$J:$J,13)</f>
        <v>0</v>
      </c>
      <c r="G37" s="59">
        <f>COUNTIFS(Jun!$B:$B,2094,Jun!$J:$J,13)</f>
        <v>0</v>
      </c>
      <c r="H37" s="59">
        <f>COUNTIFS(Jul!$B:$B,2094,Jul!$J:$J,13)</f>
        <v>0</v>
      </c>
      <c r="I37" s="59">
        <f>COUNTIFS(Aug!$B:$B,2094,Aug!$J:$J,13)</f>
        <v>0</v>
      </c>
      <c r="J37" s="59">
        <f>COUNTIFS(Sep!$B:$B,2094,Sep!$J:$J,13)</f>
        <v>0</v>
      </c>
      <c r="K37" s="59">
        <f>COUNTIFS(Oct!$B:$B,2094,Oct!$J:$J,13)</f>
        <v>0</v>
      </c>
      <c r="L37" s="59">
        <v>1</v>
      </c>
      <c r="M37" s="59">
        <v>0</v>
      </c>
    </row>
    <row r="38" spans="1:13" s="8" customFormat="1" ht="11.25" customHeight="1">
      <c r="A38" s="9" t="s">
        <v>218</v>
      </c>
      <c r="B38" s="59">
        <f>COUNTIFS(Jan!$B:$B,2094,Jan!$J:$J,43)</f>
        <v>0</v>
      </c>
      <c r="C38" s="59">
        <f>COUNTIFS(Feb!$B:$B,2094,Feb!$J:$J,43)</f>
        <v>0</v>
      </c>
      <c r="D38" s="59">
        <f>COUNTIFS(Mar!$B:$B,2094,Mar!$J:$J,43)</f>
        <v>0</v>
      </c>
      <c r="E38" s="59">
        <f>COUNTIFS(Apr!$B:$B,2094,Apr!$J:$J,43)</f>
        <v>0</v>
      </c>
      <c r="F38" s="59">
        <f>COUNTIFS(May!$B:$B,2094,May!$J:$J,43)</f>
        <v>0</v>
      </c>
      <c r="G38" s="59">
        <f>COUNTIFS(Jun!$B:$B,2094,Jun!$J:$J,43)</f>
        <v>0</v>
      </c>
      <c r="H38" s="59">
        <f>COUNTIFS(Jul!$B:$B,2094,Jul!$J:$J,43)</f>
        <v>0</v>
      </c>
      <c r="I38" s="59">
        <f>COUNTIFS(Aug!$B:$B,2094,Aug!$J:$J,43)</f>
        <v>0</v>
      </c>
      <c r="J38" s="59">
        <f>COUNTIFS(Sep!$B:$B,2094,Sep!$J:$J,43)</f>
        <v>0</v>
      </c>
      <c r="K38" s="59">
        <f>COUNTIFS(Oct!$B:$B,2094,Oct!$J:$J,43)</f>
        <v>0</v>
      </c>
      <c r="L38" s="59">
        <v>1</v>
      </c>
      <c r="M38" s="59">
        <v>0</v>
      </c>
    </row>
    <row r="39" spans="1:13" s="8" customFormat="1" ht="11.25" customHeight="1">
      <c r="A39" s="10" t="s">
        <v>25</v>
      </c>
      <c r="B39" s="59">
        <f>COUNTIFS(Jan!$B:$B,2094,Jan!$J:$J,24)</f>
        <v>0</v>
      </c>
      <c r="C39" s="59">
        <f>COUNTIFS(Feb!$B:$B,2094,Feb!$J:$J,24)</f>
        <v>0</v>
      </c>
      <c r="D39" s="59">
        <f>COUNTIFS(Mar!$B:$B,2094,Mar!$J:$J,24)</f>
        <v>0</v>
      </c>
      <c r="E39" s="59">
        <f>COUNTIFS(Apr!$B:$B,2094,Apr!$J:$J,24)</f>
        <v>0</v>
      </c>
      <c r="F39" s="59">
        <f>COUNTIFS(May!$B:$B,2094,May!$J:$J,24)</f>
        <v>0</v>
      </c>
      <c r="G39" s="59">
        <f>COUNTIFS(Jun!$B:$B,2094,Jun!$J:$J,24)</f>
        <v>0</v>
      </c>
      <c r="H39" s="59">
        <f>COUNTIFS(Jul!$B:$B,2094,Jul!$J:$J,24)</f>
        <v>0</v>
      </c>
      <c r="I39" s="59">
        <f>COUNTIFS(Aug!$B:$B,2094,Aug!$J:$J,24)</f>
        <v>0</v>
      </c>
      <c r="J39" s="59">
        <f>COUNTIFS(Sep!$B:$B,2094,Sep!$J:$J,24)</f>
        <v>0</v>
      </c>
      <c r="K39" s="59">
        <f>COUNTIFS(Oct!$B:$B,2094,Oct!$J:$J,24)</f>
        <v>0</v>
      </c>
      <c r="L39" s="59">
        <v>3</v>
      </c>
      <c r="M39" s="59">
        <v>2</v>
      </c>
    </row>
    <row r="40" spans="1:13" s="8" customFormat="1" ht="11.25" customHeight="1">
      <c r="A40" s="10" t="s">
        <v>34</v>
      </c>
      <c r="B40" s="59">
        <f>COUNTIFS(Jan!$B:$B,2094,Jan!$J:$J,9)</f>
        <v>0</v>
      </c>
      <c r="C40" s="59">
        <f>COUNTIFS(Feb!$B:$B,2094,Feb!$J:$J,9)</f>
        <v>0</v>
      </c>
      <c r="D40" s="59">
        <f>COUNTIFS(Mar!$B:$B,2094,Mar!$J:$J,9)</f>
        <v>0</v>
      </c>
      <c r="E40" s="59">
        <f>COUNTIFS(Apr!$B:$B,2094,Apr!$J:$J,9)</f>
        <v>0</v>
      </c>
      <c r="F40" s="59">
        <f>COUNTIFS(May!$B:$B,2094,May!$J:$J,9)</f>
        <v>0</v>
      </c>
      <c r="G40" s="59">
        <f>COUNTIFS(Jun!$B:$B,2094,Jun!$J:$J,9)</f>
        <v>0</v>
      </c>
      <c r="H40" s="59">
        <f>COUNTIFS(Jul!$B:$B,2094,Jul!$J:$J,9)</f>
        <v>0</v>
      </c>
      <c r="I40" s="59">
        <f>COUNTIFS(Aug!$B:$B,2094,Aug!$J:$J,9)</f>
        <v>0</v>
      </c>
      <c r="J40" s="59">
        <f>COUNTIFS(Sep!$B:$B,2094,Sep!$J:$J,9)</f>
        <v>0</v>
      </c>
      <c r="K40" s="59">
        <f>COUNTIFS(Oct!$B:$B,2094,Oct!$J:$J,9)</f>
        <v>0</v>
      </c>
      <c r="L40" s="59">
        <f>COUNTIFS(Nov!$B:$B,2094,Nov!$J:$J,9)</f>
        <v>0</v>
      </c>
      <c r="M40" s="59">
        <v>0</v>
      </c>
    </row>
    <row r="41" spans="1:13" s="8" customFormat="1" ht="11.25" customHeight="1">
      <c r="A41" s="10" t="s">
        <v>31</v>
      </c>
      <c r="B41" s="59">
        <f>COUNTIFS(Jan!$B:$B,2094,Jan!$J:$J,10)</f>
        <v>0</v>
      </c>
      <c r="C41" s="59">
        <f>COUNTIFS(Feb!$B:$B,2094,Feb!$J:$J,10)</f>
        <v>0</v>
      </c>
      <c r="D41" s="59">
        <f>COUNTIFS(Mar!$B:$B,2094,Mar!$J:$J,10)</f>
        <v>0</v>
      </c>
      <c r="E41" s="59">
        <f>COUNTIFS(Apr!$B:$B,2094,Apr!$J:$J,10)</f>
        <v>0</v>
      </c>
      <c r="F41" s="59">
        <f>COUNTIFS(May!$B:$B,2094,May!$J:$J,10)</f>
        <v>0</v>
      </c>
      <c r="G41" s="59">
        <f>COUNTIFS(Jun!$B:$B,2094,Jun!$J:$J,10)</f>
        <v>0</v>
      </c>
      <c r="H41" s="59">
        <f>COUNTIFS(Jul!$B:$B,2094,Jul!$J:$J,10)</f>
        <v>0</v>
      </c>
      <c r="I41" s="59">
        <f>COUNTIFS(Aug!$B:$B,2094,Aug!$J:$J,10)</f>
        <v>0</v>
      </c>
      <c r="J41" s="59">
        <f>COUNTIFS(Sep!$B:$B,2094,Sep!$J:$J,10)</f>
        <v>0</v>
      </c>
      <c r="K41" s="59">
        <f>COUNTIFS(Oct!$B:$B,2094,Oct!$J:$J,10)</f>
        <v>0</v>
      </c>
      <c r="L41" s="59">
        <v>2</v>
      </c>
      <c r="M41" s="59">
        <v>0</v>
      </c>
    </row>
    <row r="42" spans="1:13" s="8" customFormat="1" ht="11.25" customHeight="1">
      <c r="A42" s="10" t="s">
        <v>144</v>
      </c>
      <c r="B42" s="59">
        <f>COUNTIFS(Jan!$B:$B,2094,Jan!$F:$F,462)</f>
        <v>0</v>
      </c>
      <c r="C42" s="59">
        <f>COUNTIFS(Feb!$B:$B,2094,Feb!$F:$F,462)</f>
        <v>0</v>
      </c>
      <c r="D42" s="59">
        <f>COUNTIFS(Mar!$B:$B,2094,Mar!$F:$F,462)</f>
        <v>0</v>
      </c>
      <c r="E42" s="59">
        <f>COUNTIFS(Apr!$B:$B,2094,Apr!$F:$F,462)</f>
        <v>0</v>
      </c>
      <c r="F42" s="59">
        <f>COUNTIFS(May!$B:$B,2094,May!$F:$F,462)</f>
        <v>0</v>
      </c>
      <c r="G42" s="59">
        <f>COUNTIFS(Jun!$B:$B,2094,Jun!$F:$F,462)</f>
        <v>0</v>
      </c>
      <c r="H42" s="59">
        <f>COUNTIFS(Jul!$B:$B,2094,Jul!$F:$F,462)</f>
        <v>0</v>
      </c>
      <c r="I42" s="59">
        <f>COUNTIFS(Aug!$B:$B,2094,Aug!$F:$F,462)</f>
        <v>0</v>
      </c>
      <c r="J42" s="59">
        <f>COUNTIFS(Sep!$B:$B,2094,Sep!$F:$F,462)</f>
        <v>0</v>
      </c>
      <c r="K42" s="59">
        <f>COUNTIFS(Oct!$B:$B,2094,Oct!$F:$F,462)</f>
        <v>0</v>
      </c>
      <c r="L42" s="59">
        <f>COUNTIFS(Nov!$B:$B,2094,Nov!$F:$F,462)</f>
        <v>0</v>
      </c>
      <c r="M42" s="59">
        <v>0</v>
      </c>
    </row>
    <row r="43" spans="1:13" s="8" customFormat="1" ht="11.25" customHeight="1">
      <c r="A43" s="10" t="s">
        <v>1</v>
      </c>
      <c r="B43" s="59">
        <f>COUNTIFS(Jan!$B:$B,2094,Jan!$J:$J,11)</f>
        <v>0</v>
      </c>
      <c r="C43" s="59">
        <f>COUNTIFS(Feb!$B:$B,2094,Feb!$J:$J,11)</f>
        <v>0</v>
      </c>
      <c r="D43" s="59">
        <f>COUNTIFS(Mar!$B:$B,2094,Mar!$J:$J,11)</f>
        <v>0</v>
      </c>
      <c r="E43" s="59">
        <f>COUNTIFS(Apr!$B:$B,2094,Apr!$J:$J,11)</f>
        <v>0</v>
      </c>
      <c r="F43" s="59">
        <f>COUNTIFS(May!$B:$B,2094,May!$J:$J,11)</f>
        <v>0</v>
      </c>
      <c r="G43" s="59">
        <f>COUNTIFS(Jun!$B:$B,2094,Jun!$J:$J,11)</f>
        <v>0</v>
      </c>
      <c r="H43" s="59">
        <f>COUNTIFS(Jul!$B:$B,2094,Jul!$J:$J,11)</f>
        <v>0</v>
      </c>
      <c r="I43" s="59">
        <f>COUNTIFS(Aug!$B:$B,2094,Aug!$J:$J,11)</f>
        <v>0</v>
      </c>
      <c r="J43" s="59">
        <f>COUNTIFS(Sep!$B:$B,2094,Sep!$J:$J,11)</f>
        <v>0</v>
      </c>
      <c r="K43" s="59">
        <v>1</v>
      </c>
      <c r="L43" s="59">
        <v>14</v>
      </c>
      <c r="M43" s="59">
        <v>12</v>
      </c>
    </row>
    <row r="44" spans="1:13" s="8" customFormat="1" ht="11.25" customHeight="1">
      <c r="A44" s="10" t="s">
        <v>26</v>
      </c>
      <c r="B44" s="59">
        <f>COUNTIFS(Jan!$B:$B,2094,Jan!$J:$J,20)</f>
        <v>0</v>
      </c>
      <c r="C44" s="59">
        <f>COUNTIFS(Feb!$B:$B,2094,Feb!$J:$J,20)</f>
        <v>0</v>
      </c>
      <c r="D44" s="59">
        <f>COUNTIFS(Mar!$B:$B,2094,Mar!$J:$J,20)</f>
        <v>0</v>
      </c>
      <c r="E44" s="59">
        <f>COUNTIFS(Apr!$B:$B,2094,Apr!$J:$J,20)</f>
        <v>0</v>
      </c>
      <c r="F44" s="59">
        <f>COUNTIFS(May!$B:$B,2094,May!$J:$J,20)</f>
        <v>0</v>
      </c>
      <c r="G44" s="59">
        <f>COUNTIFS(Jun!$B:$B,2094,Jun!$J:$J,20)</f>
        <v>0</v>
      </c>
      <c r="H44" s="59">
        <f>COUNTIFS(Jul!$B:$B,2094,Jul!$J:$J,20)</f>
        <v>0</v>
      </c>
      <c r="I44" s="59">
        <f>COUNTIFS(Aug!$B:$B,2094,Aug!$J:$J,20)</f>
        <v>0</v>
      </c>
      <c r="J44" s="59">
        <f>COUNTIFS(Sep!$B:$B,2094,Sep!$J:$J,20)</f>
        <v>0</v>
      </c>
      <c r="K44" s="59">
        <f>COUNTIFS(Oct!$B:$B,2094,Oct!$J:$J,20)</f>
        <v>0</v>
      </c>
      <c r="L44" s="59">
        <f>COUNTIFS(Nov!$B:$B,2094,Nov!$J:$J,20)</f>
        <v>0</v>
      </c>
      <c r="M44" s="59">
        <v>0</v>
      </c>
    </row>
    <row r="45" spans="1:13" s="8" customFormat="1" ht="11.25" customHeight="1">
      <c r="A45" s="10" t="s">
        <v>32</v>
      </c>
      <c r="B45" s="59">
        <f>COUNTIFS(Jan!$B:$B,2094,Jan!$J:$J,2)</f>
        <v>0</v>
      </c>
      <c r="C45" s="59">
        <f>COUNTIFS(Feb!$B:$B,2094,Feb!$J:$J,2)</f>
        <v>0</v>
      </c>
      <c r="D45" s="59">
        <f>COUNTIFS(Mar!$B:$B,2094,Mar!$J:$J,2)</f>
        <v>0</v>
      </c>
      <c r="E45" s="59">
        <f>COUNTIFS(Apr!$B:$B,2094,Apr!$J:$J,2)</f>
        <v>0</v>
      </c>
      <c r="F45" s="59">
        <f>COUNTIFS(May!$B:$B,2094,May!$J:$J,2)</f>
        <v>0</v>
      </c>
      <c r="G45" s="59">
        <f>COUNTIFS(Jun!$B:$B,2094,Jun!$J:$J,2)</f>
        <v>0</v>
      </c>
      <c r="H45" s="59">
        <f>COUNTIFS(Jul!$B:$B,2094,Jul!$J:$J,2)</f>
        <v>0</v>
      </c>
      <c r="I45" s="59">
        <f>COUNTIFS(Aug!$B:$B,2094,Aug!$J:$J,2)</f>
        <v>0</v>
      </c>
      <c r="J45" s="59">
        <f>COUNTIFS(Sep!$B:$B,2094,Sep!$J:$J,2)</f>
        <v>0</v>
      </c>
      <c r="K45" s="59">
        <f>COUNTIFS(Oct!$B:$B,2094,Oct!$J:$J,2)</f>
        <v>0</v>
      </c>
      <c r="L45" s="59">
        <v>4</v>
      </c>
      <c r="M45" s="59">
        <v>7</v>
      </c>
    </row>
    <row r="46" spans="1:13" s="8" customFormat="1" ht="11.25" customHeight="1">
      <c r="A46" s="10" t="s">
        <v>28</v>
      </c>
      <c r="B46" s="59">
        <f>COUNTIFS(Jan!$B:$B,2094,Jan!$J:$J,1700)+COUNTIFS(Jan!$B:$B,2094,Jan!$F:$F,1700)+COUNTIFS(Jan!$B:$B,2094,Jan!$J:$J,19)</f>
        <v>0</v>
      </c>
      <c r="C46" s="59">
        <f>COUNTIFS(Feb!$B:$B,2094,Feb!$J:$J,1700)+COUNTIFS(Feb!$B:$B,2094,Feb!$F:$F,1700)+COUNTIFS(Feb!$B:$B,2094,Feb!$J:$J,19)</f>
        <v>0</v>
      </c>
      <c r="D46" s="59">
        <f>COUNTIFS(Mar!$B:$B,2094,Mar!$J:$J,1700)+COUNTIFS(Mar!$B:$B,2094,Mar!$F:$F,1700)+COUNTIFS(Mar!$B:$B,2094,Mar!$J:$J,19)</f>
        <v>0</v>
      </c>
      <c r="E46" s="59">
        <f>COUNTIFS(Apr!$B:$B,2094,Apr!$J:$J,1700)+COUNTIFS(Apr!$B:$B,2094,Apr!$F:$F,1700)+COUNTIFS(Apr!$B:$B,2094,Apr!$J:$J,19)</f>
        <v>0</v>
      </c>
      <c r="F46" s="59">
        <f>COUNTIFS(May!$B:$B,2094,May!$J:$J,1700)+COUNTIFS(May!$B:$B,2094,May!$F:$F,1700)+COUNTIFS(May!$B:$B,2094,May!$J:$J,19)</f>
        <v>0</v>
      </c>
      <c r="G46" s="59">
        <f>COUNTIFS(Jun!$B:$B,2094,Jun!$J:$J,1700)+COUNTIFS(Jun!$B:$B,2094,Jun!$F:$F,1700)+COUNTIFS(Jun!$B:$B,2094,Jun!$J:$J,19)</f>
        <v>0</v>
      </c>
      <c r="H46" s="59">
        <f>COUNTIFS(Jul!$B:$B,2094,Jul!$J:$J,1700)+COUNTIFS(Jul!$B:$B,2094,Jul!$F:$F,1700)+COUNTIFS(Jul!$B:$B,2094,Jul!$J:$J,19)</f>
        <v>0</v>
      </c>
      <c r="I46" s="59">
        <f>COUNTIFS(Aug!$B:$B,2094,Aug!$J:$J,1700)+COUNTIFS(Aug!$B:$B,2094,Aug!$F:$F,1700)+COUNTIFS(Aug!$B:$B,2094,Aug!$J:$J,19)</f>
        <v>0</v>
      </c>
      <c r="J46" s="59">
        <f>COUNTIFS(Sep!$B:$B,2094,Sep!$J:$J,1700)+COUNTIFS(Sep!$B:$B,2094,Sep!$F:$F,1700)+COUNTIFS(Sep!$B:$B,2094,Sep!$J:$J,19)</f>
        <v>0</v>
      </c>
      <c r="K46" s="59">
        <f>COUNTIFS(Oct!$B:$B,2094,Oct!$J:$J,1700)+COUNTIFS(Oct!$B:$B,2094,Oct!$F:$F,1700)+COUNTIFS(Oct!$B:$B,2094,Oct!$J:$J,19)</f>
        <v>0</v>
      </c>
      <c r="L46" s="59">
        <f>COUNTIFS(Nov!$B:$B,2094,Nov!$J:$J,1700)+COUNTIFS(Nov!$B:$B,2094,Nov!$F:$F,1700)+COUNTIFS(Nov!$B:$B,2094,Nov!$J:$J,19)</f>
        <v>0</v>
      </c>
      <c r="M46" s="59">
        <v>0</v>
      </c>
    </row>
    <row r="47" spans="1:13" s="8" customFormat="1" ht="11.25" customHeight="1">
      <c r="A47" s="10" t="s">
        <v>0</v>
      </c>
      <c r="B47" s="59">
        <f>COUNTIFS(Jan!$B:$B,2094,Jan!$J:$J,3)</f>
        <v>0</v>
      </c>
      <c r="C47" s="59">
        <f>COUNTIFS(Feb!$B:$B,2094,Feb!$J:$J,3)</f>
        <v>0</v>
      </c>
      <c r="D47" s="59">
        <f>COUNTIFS(Mar!$B:$B,2094,Mar!$J:$J,3)</f>
        <v>0</v>
      </c>
      <c r="E47" s="59">
        <f>COUNTIFS(Apr!$B:$B,2094,Apr!$J:$J,3)</f>
        <v>0</v>
      </c>
      <c r="F47" s="59">
        <f>COUNTIFS(May!$B:$B,2094,May!$J:$J,3)</f>
        <v>0</v>
      </c>
      <c r="G47" s="59">
        <f>COUNTIFS(Jun!$B:$B,2094,Jun!$J:$J,3)</f>
        <v>0</v>
      </c>
      <c r="H47" s="59">
        <f>COUNTIFS(Jul!$B:$B,2094,Jul!$J:$J,3)</f>
        <v>0</v>
      </c>
      <c r="I47" s="59">
        <f>COUNTIFS(Aug!$B:$B,2094,Aug!$J:$J,3)</f>
        <v>0</v>
      </c>
      <c r="J47" s="59">
        <f>COUNTIFS(Sep!$B:$B,2094,Sep!$J:$J,3)</f>
        <v>0</v>
      </c>
      <c r="K47" s="59">
        <f>COUNTIFS(Oct!$B:$B,2094,Oct!$J:$J,3)</f>
        <v>0</v>
      </c>
      <c r="L47" s="59">
        <f>COUNTIFS(Nov!$B:$B,2094,Nov!$J:$J,3)</f>
        <v>0</v>
      </c>
      <c r="M47" s="59">
        <v>1</v>
      </c>
    </row>
    <row r="48" spans="1:13" s="8" customFormat="1" ht="11.25" customHeight="1">
      <c r="A48" s="10" t="s">
        <v>35</v>
      </c>
      <c r="B48" s="59">
        <f>COUNTIFS(Jan!$B:$B,2094,Jan!$J:$J,7400)</f>
        <v>0</v>
      </c>
      <c r="C48" s="59">
        <f>COUNTIFS(Feb!$B:$B,2094,Feb!$J:$J,7400)</f>
        <v>0</v>
      </c>
      <c r="D48" s="59">
        <f>COUNTIFS(Mar!$B:$B,2094,Mar!$J:$J,7400)</f>
        <v>0</v>
      </c>
      <c r="E48" s="59">
        <f>COUNTIFS(Apr!$B:$B,2094,Apr!$J:$J,7400)</f>
        <v>0</v>
      </c>
      <c r="F48" s="59">
        <f>COUNTIFS(May!$B:$B,2094,May!$J:$J,7400)</f>
        <v>0</v>
      </c>
      <c r="G48" s="59">
        <f>COUNTIFS(Jun!$B:$B,2094,Jun!$J:$J,7400)</f>
        <v>0</v>
      </c>
      <c r="H48" s="59">
        <f>COUNTIFS(Jul!$B:$B,2094,Jul!$J:$J,7400)</f>
        <v>0</v>
      </c>
      <c r="I48" s="59">
        <f>COUNTIFS(Aug!$B:$B,2094,Aug!$J:$J,7400)</f>
        <v>0</v>
      </c>
      <c r="J48" s="59">
        <f>COUNTIFS(Sep!$B:$B,2094,Sep!$J:$J,7400)</f>
        <v>0</v>
      </c>
      <c r="K48" s="59">
        <f>COUNTIFS(Oct!$B:$B,2094,Oct!$J:$J,7400)</f>
        <v>0</v>
      </c>
      <c r="L48" s="59">
        <f>COUNTIFS(Nov!$B:$B,2094,Nov!$J:$J,7400)</f>
        <v>0</v>
      </c>
      <c r="M48" s="59">
        <v>0</v>
      </c>
    </row>
    <row r="49" spans="1:13" s="8" customFormat="1" ht="11.25" customHeight="1">
      <c r="A49" s="10" t="s">
        <v>2</v>
      </c>
      <c r="B49" s="59">
        <f>COUNTIFS(Jan!$B:$B,2094,Jan!$J:$J,14)</f>
        <v>0</v>
      </c>
      <c r="C49" s="59">
        <f>COUNTIFS(Feb!$B:$B,2094,Feb!$J:$J,14)</f>
        <v>0</v>
      </c>
      <c r="D49" s="59">
        <f>COUNTIFS(Mar!$B:$B,2094,Mar!$J:$J,14)</f>
        <v>0</v>
      </c>
      <c r="E49" s="59">
        <f>COUNTIFS(Apr!$B:$B,2094,Apr!$J:$J,14)</f>
        <v>0</v>
      </c>
      <c r="F49" s="59">
        <f>COUNTIFS(May!$B:$B,2094,May!$J:$J,14)</f>
        <v>0</v>
      </c>
      <c r="G49" s="59">
        <f>COUNTIFS(Jun!$B:$B,2094,Jun!$J:$J,14)</f>
        <v>0</v>
      </c>
      <c r="H49" s="59">
        <f>COUNTIFS(Jul!$B:$B,2094,Jul!$J:$J,14)</f>
        <v>0</v>
      </c>
      <c r="I49" s="59">
        <f>COUNTIFS(Aug!$B:$B,2094,Aug!$J:$J,14)</f>
        <v>0</v>
      </c>
      <c r="J49" s="59">
        <f>COUNTIFS(Sep!$B:$B,2094,Sep!$J:$J,14)</f>
        <v>0</v>
      </c>
      <c r="K49" s="59">
        <f>COUNTIFS(Oct!$B:$B,2094,Oct!$J:$J,14)</f>
        <v>0</v>
      </c>
      <c r="L49" s="59">
        <f>COUNTIFS(Nov!$B:$B,2094,Nov!$J:$J,14)</f>
        <v>0</v>
      </c>
      <c r="M49" s="59">
        <v>0</v>
      </c>
    </row>
    <row r="50" spans="1:13" s="8" customFormat="1" ht="11.25" customHeight="1">
      <c r="A50" s="10" t="s">
        <v>142</v>
      </c>
      <c r="B50" s="59">
        <f>COUNTIFS(Jan!$B:$B,2094,Jan!$F:$F,466)</f>
        <v>0</v>
      </c>
      <c r="C50" s="59">
        <f>COUNTIFS(Feb!$B:$B,2094,Feb!$F:$F,466)</f>
        <v>0</v>
      </c>
      <c r="D50" s="59">
        <f>COUNTIFS(Mar!$B:$B,2094,Mar!$F:$F,466)</f>
        <v>0</v>
      </c>
      <c r="E50" s="59">
        <f>COUNTIFS(Apr!$B:$B,2094,Apr!$F:$F,466)</f>
        <v>0</v>
      </c>
      <c r="F50" s="59">
        <f>COUNTIFS(May!$B:$B,2094,May!$F:$F,466)</f>
        <v>0</v>
      </c>
      <c r="G50" s="59">
        <f>COUNTIFS(Jun!$B:$B,2094,Jun!$F:$F,466)</f>
        <v>0</v>
      </c>
      <c r="H50" s="59">
        <f>COUNTIFS(Jul!$B:$B,2094,Jul!$F:$F,466)</f>
        <v>0</v>
      </c>
      <c r="I50" s="59">
        <f>COUNTIFS(Aug!$B:$B,2094,Aug!$F:$F,466)</f>
        <v>0</v>
      </c>
      <c r="J50" s="59">
        <f>COUNTIFS(Sep!$B:$B,2094,Sep!$F:$F,466)</f>
        <v>0</v>
      </c>
      <c r="K50" s="59">
        <f>COUNTIFS(Oct!$B:$B,2094,Oct!$F:$F,466)</f>
        <v>0</v>
      </c>
      <c r="L50" s="59">
        <f>COUNTIFS(Nov!$B:$B,2094,Nov!$F:$F,466)</f>
        <v>0</v>
      </c>
      <c r="M50" s="59">
        <v>0</v>
      </c>
    </row>
    <row r="51" spans="1:13" s="8" customFormat="1" ht="11.25" customHeight="1">
      <c r="A51" s="10" t="s">
        <v>27</v>
      </c>
      <c r="B51" s="59">
        <f>COUNTIFS(Jan!$B:$B,2094,Jan!$J:$J,25)</f>
        <v>0</v>
      </c>
      <c r="C51" s="59">
        <f>COUNTIFS(Feb!$B:$B,2094,Feb!$J:$J,25)</f>
        <v>0</v>
      </c>
      <c r="D51" s="59">
        <f>COUNTIFS(Mar!$B:$B,2094,Mar!$J:$J,25)</f>
        <v>0</v>
      </c>
      <c r="E51" s="59">
        <f>COUNTIFS(Apr!$B:$B,2094,Apr!$J:$J,25)</f>
        <v>0</v>
      </c>
      <c r="F51" s="59">
        <f>COUNTIFS(May!$B:$B,2094,May!$J:$J,25)</f>
        <v>0</v>
      </c>
      <c r="G51" s="59">
        <f>COUNTIFS(Jun!$B:$B,2094,Jun!$J:$J,25)</f>
        <v>0</v>
      </c>
      <c r="H51" s="59">
        <f>COUNTIFS(Jul!$B:$B,2094,Jul!$J:$J,25)</f>
        <v>0</v>
      </c>
      <c r="I51" s="59">
        <f>COUNTIFS(Aug!$B:$B,2094,Aug!$J:$J,25)</f>
        <v>0</v>
      </c>
      <c r="J51" s="59">
        <f>COUNTIFS(Sep!$B:$B,2094,Sep!$J:$J,25)</f>
        <v>0</v>
      </c>
      <c r="K51" s="59">
        <f>COUNTIFS(Oct!$B:$B,2094,Oct!$J:$J,25)</f>
        <v>0</v>
      </c>
      <c r="L51" s="59">
        <f>COUNTIFS(Nov!$B:$B,2094,Nov!$J:$J,25)</f>
        <v>0</v>
      </c>
      <c r="M51" s="59">
        <v>0</v>
      </c>
    </row>
    <row r="52" spans="1:13" s="8" customFormat="1" ht="11.25" customHeight="1" thickBot="1">
      <c r="A52" s="11" t="s">
        <v>16</v>
      </c>
      <c r="B52" s="60">
        <f t="shared" ref="B52:G52" si="11">SUM(B34:B51)</f>
        <v>0</v>
      </c>
      <c r="C52" s="60">
        <f t="shared" si="11"/>
        <v>0</v>
      </c>
      <c r="D52" s="60">
        <f t="shared" si="11"/>
        <v>0</v>
      </c>
      <c r="E52" s="60">
        <f t="shared" si="11"/>
        <v>0</v>
      </c>
      <c r="F52" s="60">
        <f t="shared" si="11"/>
        <v>0</v>
      </c>
      <c r="G52" s="60">
        <f t="shared" si="11"/>
        <v>0</v>
      </c>
      <c r="H52" s="60">
        <f t="shared" ref="H52:M52" si="12">SUM(H34:H51)</f>
        <v>0</v>
      </c>
      <c r="I52" s="60">
        <f t="shared" si="12"/>
        <v>0</v>
      </c>
      <c r="J52" s="60">
        <f t="shared" si="12"/>
        <v>0</v>
      </c>
      <c r="K52" s="60">
        <f t="shared" si="12"/>
        <v>1</v>
      </c>
      <c r="L52" s="159">
        <f t="shared" si="12"/>
        <v>33</v>
      </c>
      <c r="M52" s="170">
        <f t="shared" si="12"/>
        <v>23</v>
      </c>
    </row>
    <row r="53" spans="1:13" ht="12" customHeight="1" thickBot="1">
      <c r="A53" s="55" t="s">
        <v>137</v>
      </c>
      <c r="B53" s="50">
        <v>41275</v>
      </c>
      <c r="C53" s="47">
        <v>41306</v>
      </c>
      <c r="D53" s="47">
        <v>41334</v>
      </c>
      <c r="E53" s="47">
        <v>41365</v>
      </c>
      <c r="F53" s="47">
        <v>41395</v>
      </c>
      <c r="G53" s="47">
        <v>41426</v>
      </c>
      <c r="H53" s="47">
        <v>41456</v>
      </c>
      <c r="I53" s="47">
        <v>41487</v>
      </c>
      <c r="J53" s="47">
        <v>41518</v>
      </c>
      <c r="K53" s="47">
        <v>41548</v>
      </c>
      <c r="L53" s="47">
        <v>41579</v>
      </c>
      <c r="M53" s="51">
        <v>41609</v>
      </c>
    </row>
    <row r="54" spans="1:13" s="8" customFormat="1" ht="11.25" customHeight="1">
      <c r="A54" s="10" t="s">
        <v>30</v>
      </c>
      <c r="B54" s="57">
        <f>COUNTIFS(Jan!$B:$B,2094,Jan!$J:$J,7)</f>
        <v>0</v>
      </c>
      <c r="C54" s="57">
        <f>COUNTIFS(Feb!$B:$B,2094,Feb!$J:$J,7)</f>
        <v>0</v>
      </c>
      <c r="D54" s="57">
        <f>COUNTIFS(Mar!$B:$B,2094,Mar!$J:$J,7)</f>
        <v>0</v>
      </c>
      <c r="E54" s="57">
        <f>COUNTIFS(Apr!$B:$B,2094,Apr!$J:$J,7)</f>
        <v>0</v>
      </c>
      <c r="F54" s="57">
        <f>COUNTIFS(May!$B:$B,2094,May!$J:$J,7)</f>
        <v>0</v>
      </c>
      <c r="G54" s="57">
        <f>COUNTIFS(Jun!$B:$B,2094,Jun!$J:$J,7)</f>
        <v>0</v>
      </c>
      <c r="H54" s="57">
        <f>COUNTIFS(Jul!$B:$B,2094,Jul!$J:$J,7)</f>
        <v>0</v>
      </c>
      <c r="I54" s="57">
        <f>COUNTIFS(Aug!$B:$B,2094,Aug!$J:$J,7)</f>
        <v>0</v>
      </c>
      <c r="J54" s="57">
        <f>COUNTIFS(Sep!$B:$B,2094,Sep!$J:$J,7)</f>
        <v>0</v>
      </c>
      <c r="K54" s="57">
        <f>COUNTIFS(Oct!$B:$B,2094,Oct!$J:$J,7)</f>
        <v>0</v>
      </c>
      <c r="L54" s="57">
        <f>COUNTIFS(Nov!$B:$B,2094,Nov!$J:$J,7)</f>
        <v>0</v>
      </c>
      <c r="M54" s="57">
        <v>1</v>
      </c>
    </row>
    <row r="55" spans="1:13" s="8" customFormat="1" ht="11.25" customHeight="1">
      <c r="A55" s="10" t="s">
        <v>29</v>
      </c>
      <c r="B55" s="59">
        <f>COUNTIFS(Jan!$B:$B,2094,Jan!$J:$J,8)</f>
        <v>0</v>
      </c>
      <c r="C55" s="59">
        <f>COUNTIFS(Feb!$B:$B,2094,Feb!$J:$J,8)</f>
        <v>0</v>
      </c>
      <c r="D55" s="59">
        <f>COUNTIFS(Mar!$B:$B,2094,Mar!$J:$J,8)</f>
        <v>0</v>
      </c>
      <c r="E55" s="59">
        <f>COUNTIFS(Apr!$B:$B,2094,Apr!$J:$J,8)</f>
        <v>0</v>
      </c>
      <c r="F55" s="59">
        <f>COUNTIFS(May!$B:$B,2094,May!$J:$J,8)</f>
        <v>0</v>
      </c>
      <c r="G55" s="59">
        <f>COUNTIFS(Jun!$B:$B,2094,Jun!$J:$J,8)</f>
        <v>0</v>
      </c>
      <c r="H55" s="59">
        <f>COUNTIFS(Jul!$B:$B,2094,Jul!$J:$J,8)</f>
        <v>0</v>
      </c>
      <c r="I55" s="59">
        <f>COUNTIFS(Aug!$B:$B,2094,Aug!$J:$J,8)</f>
        <v>0</v>
      </c>
      <c r="J55" s="59">
        <f>COUNTIFS(Sep!$B:$B,2094,Sep!$J:$J,8)</f>
        <v>0</v>
      </c>
      <c r="K55" s="59">
        <f>COUNTIFS(Oct!$B:$B,2094,Oct!$J:$J,8)</f>
        <v>0</v>
      </c>
      <c r="L55" s="59">
        <f>COUNTIFS(Nov!$B:$B,2094,Nov!$J:$J,8)</f>
        <v>0</v>
      </c>
      <c r="M55" s="59">
        <v>0</v>
      </c>
    </row>
    <row r="56" spans="1:13" s="8" customFormat="1" ht="11.25" customHeight="1">
      <c r="A56" s="10" t="s">
        <v>7</v>
      </c>
      <c r="B56" s="59">
        <f>COUNTIFS(Jan!$B:$B,2094,Jan!$J:$J,12)</f>
        <v>0</v>
      </c>
      <c r="C56" s="59">
        <f>COUNTIFS(Feb!$B:$B,2094,Feb!$J:$J,12)</f>
        <v>0</v>
      </c>
      <c r="D56" s="59">
        <f>COUNTIFS(Mar!$B:$B,2094,Mar!$J:$J,12)</f>
        <v>0</v>
      </c>
      <c r="E56" s="59">
        <f>COUNTIFS(Apr!$B:$B,2094,Apr!$J:$J,12)</f>
        <v>0</v>
      </c>
      <c r="F56" s="59">
        <f>COUNTIFS(May!$B:$B,2094,May!$J:$J,12)</f>
        <v>0</v>
      </c>
      <c r="G56" s="59">
        <f>COUNTIFS(Jun!$B:$B,2094,Jun!$J:$J,12)</f>
        <v>0</v>
      </c>
      <c r="H56" s="59">
        <f>COUNTIFS(Jul!$B:$B,2094,Jul!$J:$J,12)</f>
        <v>0</v>
      </c>
      <c r="I56" s="59">
        <f>COUNTIFS(Aug!$B:$B,2094,Aug!$J:$J,12)</f>
        <v>0</v>
      </c>
      <c r="J56" s="59">
        <f>COUNTIFS(Sep!$B:$B,2094,Sep!$J:$J,12)</f>
        <v>0</v>
      </c>
      <c r="K56" s="59">
        <f>COUNTIFS(Oct!$B:$B,2094,Oct!$J:$J,12)</f>
        <v>0</v>
      </c>
      <c r="L56" s="59">
        <f>COUNTIFS(Nov!$B:$B,2094,Nov!$J:$J,12)</f>
        <v>0</v>
      </c>
      <c r="M56" s="59">
        <v>0</v>
      </c>
    </row>
    <row r="57" spans="1:13" s="8" customFormat="1" ht="11.25" customHeight="1">
      <c r="A57" s="10" t="s">
        <v>10</v>
      </c>
      <c r="B57" s="59">
        <f>COUNTIFS(Jan!$B:$B,2094,Jan!$J:$J,5100)</f>
        <v>0</v>
      </c>
      <c r="C57" s="59">
        <f>COUNTIFS(Feb!$B:$B,2094,Feb!$J:$J,5100)</f>
        <v>0</v>
      </c>
      <c r="D57" s="59">
        <f>COUNTIFS(Mar!$B:$B,2094,Mar!$J:$J,5100)</f>
        <v>0</v>
      </c>
      <c r="E57" s="59">
        <f>COUNTIFS(Apr!$B:$B,2094,Apr!$J:$J,5100)</f>
        <v>0</v>
      </c>
      <c r="F57" s="59">
        <f>COUNTIFS(May!$B:$B,2094,May!$J:$J,5100)</f>
        <v>0</v>
      </c>
      <c r="G57" s="59">
        <f>COUNTIFS(Jun!$B:$B,2094,Jun!$J:$J,5100)</f>
        <v>0</v>
      </c>
      <c r="H57" s="59">
        <f>COUNTIFS(Jul!$B:$B,2094,Jul!$J:$J,5100)</f>
        <v>0</v>
      </c>
      <c r="I57" s="59">
        <f>COUNTIFS(Aug!$B:$B,2094,Aug!$J:$J,5100)</f>
        <v>0</v>
      </c>
      <c r="J57" s="59">
        <f>COUNTIFS(Sep!$B:$B,2094,Sep!$J:$J,5100)</f>
        <v>0</v>
      </c>
      <c r="K57" s="59">
        <f>COUNTIFS(Oct!$B:$B,2094,Oct!$J:$J,5100)</f>
        <v>0</v>
      </c>
      <c r="L57" s="59">
        <f>COUNTIFS(Nov!$B:$B,2094,Nov!$J:$J,5100)</f>
        <v>0</v>
      </c>
      <c r="M57" s="59">
        <v>0</v>
      </c>
    </row>
    <row r="58" spans="1:13" s="8" customFormat="1" ht="11.25" customHeight="1">
      <c r="A58" s="10" t="s">
        <v>36</v>
      </c>
      <c r="B58" s="59">
        <f>COUNTIFS(Jan!$B:$B,2094,Jan!$J:$J,6200)</f>
        <v>0</v>
      </c>
      <c r="C58" s="59">
        <f>COUNTIFS(Feb!$B:$B,2094,Feb!$J:$J,6200)</f>
        <v>0</v>
      </c>
      <c r="D58" s="59">
        <f>COUNTIFS(Mar!$B:$B,2094,Mar!$J:$J,6200)</f>
        <v>0</v>
      </c>
      <c r="E58" s="59">
        <f>COUNTIFS(Apr!$B:$B,2094,Apr!$J:$J,6200)</f>
        <v>0</v>
      </c>
      <c r="F58" s="59">
        <f>COUNTIFS(May!$B:$B,2094,May!$J:$J,6200)</f>
        <v>0</v>
      </c>
      <c r="G58" s="59">
        <f>COUNTIFS(Jun!$B:$B,2094,Jun!$J:$J,6200)</f>
        <v>0</v>
      </c>
      <c r="H58" s="59">
        <f>COUNTIFS(Jul!$B:$B,2094,Jul!$J:$J,6200)</f>
        <v>0</v>
      </c>
      <c r="I58" s="59">
        <f>COUNTIFS(Aug!$B:$B,2094,Aug!$J:$J,6200)</f>
        <v>0</v>
      </c>
      <c r="J58" s="59">
        <f>COUNTIFS(Sep!$B:$B,2094,Sep!$J:$J,6200)</f>
        <v>0</v>
      </c>
      <c r="K58" s="59">
        <f>COUNTIFS(Oct!$B:$B,2094,Oct!$J:$J,6200)</f>
        <v>0</v>
      </c>
      <c r="L58" s="59">
        <f>COUNTIFS(Nov!$B:$B,2094,Nov!$J:$J,6200)</f>
        <v>0</v>
      </c>
      <c r="M58" s="59">
        <v>0</v>
      </c>
    </row>
    <row r="59" spans="1:13" s="8" customFormat="1" ht="11.25" customHeight="1">
      <c r="A59" s="10" t="s">
        <v>145</v>
      </c>
      <c r="B59" s="59">
        <f>COUNTIFS(Jan!$B:$B,2094,Jan!$J:$J,28)</f>
        <v>0</v>
      </c>
      <c r="C59" s="59">
        <f>COUNTIFS(Feb!$B:$B,2094,Feb!$J:$J,28)</f>
        <v>0</v>
      </c>
      <c r="D59" s="59">
        <f>COUNTIFS(Mar!$B:$B,2094,Mar!$J:$J,28)</f>
        <v>0</v>
      </c>
      <c r="E59" s="59">
        <f>COUNTIFS(Apr!$B:$B,2094,Apr!$J:$J,28)</f>
        <v>0</v>
      </c>
      <c r="F59" s="59">
        <f>COUNTIFS(May!$B:$B,2094,May!$J:$J,28)</f>
        <v>0</v>
      </c>
      <c r="G59" s="59">
        <f>COUNTIFS(Jun!$B:$B,2094,Jun!$J:$J,28)</f>
        <v>0</v>
      </c>
      <c r="H59" s="59">
        <f>COUNTIFS(Jul!$B:$B,2094,Jul!$J:$J,28)</f>
        <v>0</v>
      </c>
      <c r="I59" s="59">
        <f>COUNTIFS(Aug!$B:$B,2094,Aug!$J:$J,28)</f>
        <v>0</v>
      </c>
      <c r="J59" s="59">
        <f>COUNTIFS(Sep!$B:$B,2094,Sep!$J:$J,28)</f>
        <v>0</v>
      </c>
      <c r="K59" s="59">
        <f>COUNTIFS(Oct!$B:$B,2094,Oct!$J:$J,28)</f>
        <v>0</v>
      </c>
      <c r="L59" s="59">
        <f>COUNTIFS(Nov!$B:$B,2094,Nov!$J:$J,28)</f>
        <v>0</v>
      </c>
      <c r="M59" s="59">
        <v>0</v>
      </c>
    </row>
    <row r="60" spans="1:13" s="8" customFormat="1" ht="11.25" customHeight="1">
      <c r="A60" s="10" t="s">
        <v>38</v>
      </c>
      <c r="B60" s="59">
        <f>COUNTIFS(Jan!$B:$B,2094,Jan!$J:$J,6100)</f>
        <v>0</v>
      </c>
      <c r="C60" s="59">
        <f>COUNTIFS(Feb!$B:$B,2094,Feb!$J:$J,6100)</f>
        <v>0</v>
      </c>
      <c r="D60" s="59">
        <f>COUNTIFS(Mar!$B:$B,2094,Mar!$J:$J,6100)</f>
        <v>0</v>
      </c>
      <c r="E60" s="59">
        <f>COUNTIFS(Apr!$B:$B,2094,Apr!$J:$J,6100)</f>
        <v>0</v>
      </c>
      <c r="F60" s="59">
        <f>COUNTIFS(May!$B:$B,2094,May!$J:$J,6100)</f>
        <v>0</v>
      </c>
      <c r="G60" s="59">
        <f>COUNTIFS(Jun!$B:$B,2094,Jun!$J:$J,6100)</f>
        <v>0</v>
      </c>
      <c r="H60" s="59">
        <f>COUNTIFS(Jul!$B:$B,2094,Jul!$J:$J,6100)</f>
        <v>0</v>
      </c>
      <c r="I60" s="59">
        <f>COUNTIFS(Aug!$B:$B,2094,Aug!$J:$J,6100)</f>
        <v>0</v>
      </c>
      <c r="J60" s="59">
        <f>COUNTIFS(Sep!$B:$B,2094,Sep!$J:$J,6100)</f>
        <v>0</v>
      </c>
      <c r="K60" s="59">
        <f>COUNTIFS(Oct!$B:$B,2094,Oct!$J:$J,6100)</f>
        <v>0</v>
      </c>
      <c r="L60" s="59">
        <f>COUNTIFS(Nov!$B:$B,2094,Nov!$J:$J,6100)</f>
        <v>0</v>
      </c>
      <c r="M60" s="59">
        <v>0</v>
      </c>
    </row>
    <row r="61" spans="1:13" s="8" customFormat="1" ht="11.25" customHeight="1">
      <c r="A61" s="10" t="s">
        <v>9</v>
      </c>
      <c r="B61" s="59">
        <f>COUNTIFS(Jan!$B:$B,2094,Jan!$J:$J,6)</f>
        <v>0</v>
      </c>
      <c r="C61" s="59">
        <f>COUNTIFS(Feb!$B:$B,2094,Feb!$J:$J,6)</f>
        <v>0</v>
      </c>
      <c r="D61" s="59">
        <f>COUNTIFS(Mar!$B:$B,2094,Mar!$J:$J,6)</f>
        <v>0</v>
      </c>
      <c r="E61" s="59">
        <f>COUNTIFS(Apr!$B:$B,2094,Apr!$J:$J,6)</f>
        <v>0</v>
      </c>
      <c r="F61" s="59">
        <f>COUNTIFS(May!$B:$B,2094,May!$J:$J,6)</f>
        <v>0</v>
      </c>
      <c r="G61" s="59">
        <f>COUNTIFS(Jun!$B:$B,2094,Jun!$J:$J,6)</f>
        <v>0</v>
      </c>
      <c r="H61" s="59">
        <f>COUNTIFS(Jul!$B:$B,2094,Jul!$J:$J,6)</f>
        <v>0</v>
      </c>
      <c r="I61" s="59">
        <f>COUNTIFS(Aug!$B:$B,2094,Aug!$J:$J,6)</f>
        <v>0</v>
      </c>
      <c r="J61" s="59">
        <f>COUNTIFS(Sep!$B:$B,2094,Sep!$J:$J,6)</f>
        <v>0</v>
      </c>
      <c r="K61" s="59">
        <f>COUNTIFS(Oct!$B:$B,2094,Oct!$J:$J,6)</f>
        <v>0</v>
      </c>
      <c r="L61" s="59">
        <f>COUNTIFS(Nov!$B:$B,2094,Nov!$J:$J,6)</f>
        <v>0</v>
      </c>
      <c r="M61" s="59">
        <v>0</v>
      </c>
    </row>
    <row r="62" spans="1:13" s="8" customFormat="1" ht="11.25" customHeight="1">
      <c r="A62" s="10" t="s">
        <v>8</v>
      </c>
      <c r="B62" s="59">
        <f>COUNTIFS(Jan!$B:$B,2094,Jan!$J:$J,4)</f>
        <v>0</v>
      </c>
      <c r="C62" s="59">
        <f>COUNTIFS(Feb!$B:$B,2094,Feb!$J:$J,4)</f>
        <v>0</v>
      </c>
      <c r="D62" s="59">
        <f>COUNTIFS(Mar!$B:$B,2094,Mar!$J:$J,4)</f>
        <v>0</v>
      </c>
      <c r="E62" s="59">
        <f>COUNTIFS(Apr!$B:$B,2094,Apr!$J:$J,4)</f>
        <v>0</v>
      </c>
      <c r="F62" s="59">
        <f>COUNTIFS(May!$B:$B,2094,May!$J:$J,4)</f>
        <v>0</v>
      </c>
      <c r="G62" s="59">
        <f>COUNTIFS(Jun!$B:$B,2094,Jun!$J:$J,4)</f>
        <v>0</v>
      </c>
      <c r="H62" s="59">
        <f>COUNTIFS(Jul!$B:$B,2094,Jul!$J:$J,4)</f>
        <v>0</v>
      </c>
      <c r="I62" s="59">
        <f>COUNTIFS(Aug!$B:$B,2094,Aug!$J:$J,4)</f>
        <v>0</v>
      </c>
      <c r="J62" s="59">
        <f>COUNTIFS(Sep!$B:$B,2094,Sep!$J:$J,4)</f>
        <v>0</v>
      </c>
      <c r="K62" s="59">
        <f>COUNTIFS(Oct!$B:$B,2094,Oct!$J:$J,4)</f>
        <v>0</v>
      </c>
      <c r="L62" s="59">
        <f>COUNTIFS(Nov!$B:$B,2094,Nov!$J:$J,4)</f>
        <v>0</v>
      </c>
      <c r="M62" s="59">
        <v>0</v>
      </c>
    </row>
    <row r="63" spans="1:13" s="8" customFormat="1" ht="11.25" customHeight="1">
      <c r="A63" s="10" t="s">
        <v>6</v>
      </c>
      <c r="B63" s="59">
        <f>COUNTIFS(Jan!$B:$B,2094,Jan!$J:$J,5)</f>
        <v>0</v>
      </c>
      <c r="C63" s="59">
        <f>COUNTIFS(Feb!$B:$B,2094,Feb!$J:$J,5)</f>
        <v>0</v>
      </c>
      <c r="D63" s="59">
        <f>COUNTIFS(Mar!$B:$B,2094,Mar!$J:$J,5)</f>
        <v>0</v>
      </c>
      <c r="E63" s="59">
        <f>COUNTIFS(Apr!$B:$B,2094,Apr!$J:$J,5)</f>
        <v>0</v>
      </c>
      <c r="F63" s="59">
        <f>COUNTIFS(May!$B:$B,2094,May!$J:$J,5)</f>
        <v>0</v>
      </c>
      <c r="G63" s="59">
        <f>COUNTIFS(Jun!$B:$B,2094,Jun!$J:$J,5)</f>
        <v>0</v>
      </c>
      <c r="H63" s="59">
        <f>COUNTIFS(Jul!$B:$B,2094,Jul!$J:$J,5)</f>
        <v>0</v>
      </c>
      <c r="I63" s="59">
        <f>COUNTIFS(Aug!$B:$B,2094,Aug!$J:$J,5)</f>
        <v>0</v>
      </c>
      <c r="J63" s="59">
        <f>COUNTIFS(Sep!$B:$B,2094,Sep!$J:$J,5)</f>
        <v>0</v>
      </c>
      <c r="K63" s="59">
        <f>COUNTIFS(Oct!$B:$B,2094,Oct!$J:$J,5)</f>
        <v>0</v>
      </c>
      <c r="L63" s="59">
        <f>COUNTIFS(Nov!$B:$B,2094,Nov!$J:$J,5)</f>
        <v>0</v>
      </c>
      <c r="M63" s="59">
        <v>0</v>
      </c>
    </row>
    <row r="64" spans="1:13" s="8" customFormat="1" ht="11.25" customHeight="1">
      <c r="A64" s="52" t="s">
        <v>141</v>
      </c>
      <c r="B64" s="69">
        <f>COUNTIFS(Jan!$B:$B,2094,Jan!$F:$F,456)</f>
        <v>0</v>
      </c>
      <c r="C64" s="69">
        <f>COUNTIFS(Feb!$B:$B,2094,Feb!$F:$F,456)</f>
        <v>0</v>
      </c>
      <c r="D64" s="69">
        <f>COUNTIFS(Mar!$B:$B,2094,Mar!$F:$F,456)</f>
        <v>0</v>
      </c>
      <c r="E64" s="69">
        <f>COUNTIFS(Apr!$B:$B,2094,Apr!$F:$F,456)</f>
        <v>0</v>
      </c>
      <c r="F64" s="69">
        <f>COUNTIFS(May!$B:$B,2094,May!$F:$F,456)</f>
        <v>0</v>
      </c>
      <c r="G64" s="69">
        <f>COUNTIFS(Jun!$B:$B,2094,Jun!$F:$F,456)</f>
        <v>0</v>
      </c>
      <c r="H64" s="69">
        <f>COUNTIFS(Jul!$B:$B,2094,Jul!$F:$F,456)</f>
        <v>0</v>
      </c>
      <c r="I64" s="69">
        <f>COUNTIFS(Aug!$B:$B,2094,Aug!$F:$F,456)</f>
        <v>0</v>
      </c>
      <c r="J64" s="69">
        <f>COUNTIFS(Sep!$B:$B,2094,Sep!$F:$F,456)</f>
        <v>0</v>
      </c>
      <c r="K64" s="69">
        <f>COUNTIFS(Oct!$B:$B,2094,Oct!$F:$F,456)</f>
        <v>0</v>
      </c>
      <c r="L64" s="69">
        <f>COUNTIFS(Nov!$B:$B,2094,Nov!$F:$F,456)</f>
        <v>0</v>
      </c>
      <c r="M64" s="69">
        <v>1</v>
      </c>
    </row>
    <row r="65" spans="1:13" s="8" customFormat="1" ht="11.25" customHeight="1" thickBot="1">
      <c r="A65" s="12" t="s">
        <v>16</v>
      </c>
      <c r="B65" s="70">
        <f>SUM(B54:B64)</f>
        <v>0</v>
      </c>
      <c r="C65" s="70">
        <f t="shared" ref="C65:M65" si="13">SUM(C54:C64)</f>
        <v>0</v>
      </c>
      <c r="D65" s="70">
        <f>SUM(D54:D64)</f>
        <v>0</v>
      </c>
      <c r="E65" s="70">
        <f>SUM(E54:E64)</f>
        <v>0</v>
      </c>
      <c r="F65" s="70">
        <f>SUM(F54:F64)</f>
        <v>0</v>
      </c>
      <c r="G65" s="70">
        <f>SUM(G54:G64)</f>
        <v>0</v>
      </c>
      <c r="H65" s="70">
        <f t="shared" si="13"/>
        <v>0</v>
      </c>
      <c r="I65" s="70">
        <f t="shared" si="13"/>
        <v>0</v>
      </c>
      <c r="J65" s="70">
        <f t="shared" si="13"/>
        <v>0</v>
      </c>
      <c r="K65" s="70">
        <f t="shared" si="13"/>
        <v>0</v>
      </c>
      <c r="L65" s="165">
        <f t="shared" si="13"/>
        <v>0</v>
      </c>
      <c r="M65" s="170">
        <f t="shared" si="13"/>
        <v>2</v>
      </c>
    </row>
    <row r="66" spans="1:13" s="8" customFormat="1" ht="15.75" customHeight="1">
      <c r="A66" s="6"/>
      <c r="B66" s="7"/>
      <c r="C66" s="7"/>
      <c r="D66" s="7"/>
      <c r="E66" s="7"/>
      <c r="F66" s="7"/>
      <c r="G66" s="7"/>
      <c r="H66" s="7"/>
      <c r="I66" s="7"/>
      <c r="J66" s="7"/>
      <c r="K66" s="7"/>
      <c r="L66" s="7"/>
      <c r="M66" s="7"/>
    </row>
    <row r="67" spans="1:13" ht="12" customHeight="1">
      <c r="A67" s="6"/>
      <c r="B67" s="7"/>
      <c r="C67" s="7"/>
      <c r="D67" s="7"/>
      <c r="E67" s="7"/>
      <c r="F67" s="7"/>
      <c r="G67" s="7"/>
      <c r="H67" s="7"/>
      <c r="I67" s="7"/>
      <c r="J67" s="7"/>
      <c r="K67" s="7"/>
      <c r="L67" s="7"/>
      <c r="M67" s="7"/>
    </row>
  </sheetData>
  <phoneticPr fontId="0" type="noConversion"/>
  <printOptions horizontalCentered="1" verticalCentered="1"/>
  <pageMargins left="0.14000000000000001" right="0.16" top="0.25" bottom="0.5" header="0.5" footer="0.25"/>
  <pageSetup scale="95" firstPageNumber="3" orientation="portrait" useFirstPageNumber="1" r:id="rId1"/>
  <headerFooter alignWithMargins="0">
    <oddFooter>&amp;R21 of 51</oddFooter>
  </headerFooter>
  <ignoredErrors>
    <ignoredError sqref="M32 M52 M65" formulaRange="1"/>
  </ignoredErrors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67"/>
  <sheetViews>
    <sheetView view="pageBreakPreview" topLeftCell="A22" zoomScale="90" zoomScaleNormal="100" zoomScaleSheetLayoutView="90" workbookViewId="0">
      <selection activeCell="M27" sqref="M27"/>
    </sheetView>
  </sheetViews>
  <sheetFormatPr defaultRowHeight="12.75"/>
  <cols>
    <col min="1" max="1" width="22.85546875" style="1" customWidth="1"/>
    <col min="2" max="13" width="7.140625" style="1" customWidth="1"/>
    <col min="14" max="14" width="4.42578125" style="1" customWidth="1"/>
    <col min="15" max="16384" width="9.140625" style="1"/>
  </cols>
  <sheetData>
    <row r="1" spans="1:21" ht="18" customHeight="1">
      <c r="A1" s="130"/>
      <c r="B1" s="131"/>
      <c r="C1" s="131"/>
      <c r="D1" s="131"/>
      <c r="E1" s="131"/>
      <c r="F1" s="131"/>
      <c r="G1" s="131"/>
      <c r="H1" s="130"/>
      <c r="I1" s="131"/>
      <c r="J1" s="131"/>
      <c r="K1" s="131"/>
      <c r="L1" s="130"/>
      <c r="M1" s="143" t="s">
        <v>22</v>
      </c>
    </row>
    <row r="2" spans="1:21" ht="18" customHeight="1">
      <c r="A2" s="130"/>
      <c r="B2" s="135"/>
      <c r="C2" s="135"/>
      <c r="D2" s="135"/>
      <c r="E2" s="135"/>
      <c r="F2" s="135"/>
      <c r="G2" s="135"/>
      <c r="H2" s="130"/>
      <c r="I2" s="135"/>
      <c r="J2" s="135"/>
      <c r="K2" s="135"/>
      <c r="L2" s="130"/>
      <c r="M2" s="155" t="s">
        <v>13</v>
      </c>
    </row>
    <row r="3" spans="1:21" s="5" customFormat="1" ht="18" customHeight="1">
      <c r="A3" s="133"/>
      <c r="B3" s="133"/>
      <c r="C3" s="133"/>
      <c r="D3" s="133"/>
      <c r="E3" s="133"/>
      <c r="F3" s="133"/>
      <c r="G3" s="133"/>
      <c r="H3" s="133"/>
      <c r="I3" s="133"/>
      <c r="J3" s="136"/>
      <c r="K3" s="136"/>
      <c r="L3" s="133"/>
      <c r="M3" s="155" t="s">
        <v>62</v>
      </c>
      <c r="N3" s="134"/>
      <c r="O3" s="134"/>
      <c r="P3" s="134"/>
      <c r="Q3" s="134"/>
      <c r="R3" s="134"/>
      <c r="S3" s="134"/>
      <c r="T3" s="134"/>
      <c r="U3" s="134"/>
    </row>
    <row r="4" spans="1:21" s="8" customFormat="1" ht="6.75" customHeight="1" thickBot="1">
      <c r="A4" s="38"/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</row>
    <row r="5" spans="1:21" s="8" customFormat="1" ht="11.25" customHeight="1" thickBot="1">
      <c r="A5" s="53" t="s">
        <v>19</v>
      </c>
      <c r="B5" s="50">
        <v>41275</v>
      </c>
      <c r="C5" s="47">
        <v>41306</v>
      </c>
      <c r="D5" s="47">
        <v>41334</v>
      </c>
      <c r="E5" s="47">
        <v>41365</v>
      </c>
      <c r="F5" s="47">
        <v>41395</v>
      </c>
      <c r="G5" s="47">
        <v>41426</v>
      </c>
      <c r="H5" s="47">
        <v>41456</v>
      </c>
      <c r="I5" s="47">
        <v>41487</v>
      </c>
      <c r="J5" s="47">
        <v>41518</v>
      </c>
      <c r="K5" s="47">
        <v>41548</v>
      </c>
      <c r="L5" s="47">
        <v>41579</v>
      </c>
      <c r="M5" s="51">
        <v>41609</v>
      </c>
    </row>
    <row r="6" spans="1:21" s="8" customFormat="1" ht="11.25" customHeight="1">
      <c r="A6" s="41" t="s">
        <v>129</v>
      </c>
      <c r="B6" s="57">
        <f t="shared" ref="B6:L6" si="0">B32</f>
        <v>0</v>
      </c>
      <c r="C6" s="57">
        <f t="shared" si="0"/>
        <v>0</v>
      </c>
      <c r="D6" s="57">
        <f t="shared" si="0"/>
        <v>0</v>
      </c>
      <c r="E6" s="57">
        <f t="shared" si="0"/>
        <v>0</v>
      </c>
      <c r="F6" s="57">
        <f t="shared" si="0"/>
        <v>0</v>
      </c>
      <c r="G6" s="57">
        <f t="shared" si="0"/>
        <v>0</v>
      </c>
      <c r="H6" s="57">
        <f t="shared" si="0"/>
        <v>10</v>
      </c>
      <c r="I6" s="57">
        <f t="shared" si="0"/>
        <v>7</v>
      </c>
      <c r="J6" s="57">
        <f t="shared" si="0"/>
        <v>0</v>
      </c>
      <c r="K6" s="57">
        <f t="shared" si="0"/>
        <v>0</v>
      </c>
      <c r="L6" s="156">
        <f t="shared" si="0"/>
        <v>0</v>
      </c>
      <c r="M6" s="168">
        <v>0</v>
      </c>
    </row>
    <row r="7" spans="1:21" s="8" customFormat="1" ht="11.25" customHeight="1">
      <c r="A7" s="42" t="s">
        <v>18</v>
      </c>
      <c r="B7" s="57">
        <f t="shared" ref="B7:L7" si="1">SUM(B10:B12)</f>
        <v>0</v>
      </c>
      <c r="C7" s="57">
        <f t="shared" si="1"/>
        <v>0</v>
      </c>
      <c r="D7" s="57">
        <f t="shared" si="1"/>
        <v>0</v>
      </c>
      <c r="E7" s="57">
        <f t="shared" si="1"/>
        <v>0</v>
      </c>
      <c r="F7" s="57">
        <f t="shared" si="1"/>
        <v>0</v>
      </c>
      <c r="G7" s="57">
        <f t="shared" si="1"/>
        <v>0</v>
      </c>
      <c r="H7" s="57">
        <f t="shared" si="1"/>
        <v>8</v>
      </c>
      <c r="I7" s="57">
        <f t="shared" si="1"/>
        <v>7</v>
      </c>
      <c r="J7" s="57">
        <f t="shared" si="1"/>
        <v>0</v>
      </c>
      <c r="K7" s="57">
        <f t="shared" si="1"/>
        <v>0</v>
      </c>
      <c r="L7" s="156">
        <f t="shared" si="1"/>
        <v>0</v>
      </c>
      <c r="M7" s="171">
        <v>0</v>
      </c>
    </row>
    <row r="8" spans="1:21" s="8" customFormat="1" ht="11.25" customHeight="1" thickBot="1">
      <c r="A8" s="43" t="s">
        <v>14</v>
      </c>
      <c r="B8" s="58">
        <f t="shared" ref="B8:L8" si="2">SUM(B6:B7)</f>
        <v>0</v>
      </c>
      <c r="C8" s="58">
        <f t="shared" si="2"/>
        <v>0</v>
      </c>
      <c r="D8" s="58">
        <f t="shared" si="2"/>
        <v>0</v>
      </c>
      <c r="E8" s="58">
        <f t="shared" si="2"/>
        <v>0</v>
      </c>
      <c r="F8" s="58">
        <f t="shared" si="2"/>
        <v>0</v>
      </c>
      <c r="G8" s="58">
        <f t="shared" si="2"/>
        <v>0</v>
      </c>
      <c r="H8" s="58">
        <f t="shared" si="2"/>
        <v>18</v>
      </c>
      <c r="I8" s="58">
        <f t="shared" si="2"/>
        <v>14</v>
      </c>
      <c r="J8" s="58">
        <f t="shared" si="2"/>
        <v>0</v>
      </c>
      <c r="K8" s="58">
        <f t="shared" si="2"/>
        <v>0</v>
      </c>
      <c r="L8" s="157">
        <f t="shared" si="2"/>
        <v>0</v>
      </c>
      <c r="M8" s="172">
        <v>0</v>
      </c>
    </row>
    <row r="9" spans="1:21" s="8" customFormat="1" ht="11.25" customHeight="1" thickBot="1">
      <c r="A9" s="54" t="s">
        <v>18</v>
      </c>
      <c r="B9" s="50">
        <v>41275</v>
      </c>
      <c r="C9" s="47">
        <v>41306</v>
      </c>
      <c r="D9" s="47">
        <v>41334</v>
      </c>
      <c r="E9" s="47">
        <v>41365</v>
      </c>
      <c r="F9" s="47">
        <v>41395</v>
      </c>
      <c r="G9" s="47">
        <v>41426</v>
      </c>
      <c r="H9" s="47">
        <v>41456</v>
      </c>
      <c r="I9" s="47">
        <v>41487</v>
      </c>
      <c r="J9" s="47">
        <v>41518</v>
      </c>
      <c r="K9" s="47">
        <v>41548</v>
      </c>
      <c r="L9" s="47">
        <v>41579</v>
      </c>
      <c r="M9" s="51">
        <v>41609</v>
      </c>
    </row>
    <row r="10" spans="1:21" s="8" customFormat="1" ht="11.25" customHeight="1">
      <c r="A10" s="9" t="s">
        <v>128</v>
      </c>
      <c r="B10" s="57">
        <f t="shared" ref="B10:L10" si="3">B52</f>
        <v>0</v>
      </c>
      <c r="C10" s="57">
        <f t="shared" si="3"/>
        <v>0</v>
      </c>
      <c r="D10" s="57">
        <f t="shared" si="3"/>
        <v>0</v>
      </c>
      <c r="E10" s="57">
        <f t="shared" si="3"/>
        <v>0</v>
      </c>
      <c r="F10" s="57">
        <f t="shared" si="3"/>
        <v>0</v>
      </c>
      <c r="G10" s="59">
        <f t="shared" si="3"/>
        <v>0</v>
      </c>
      <c r="H10" s="59">
        <f t="shared" si="3"/>
        <v>4</v>
      </c>
      <c r="I10" s="59">
        <f t="shared" si="3"/>
        <v>4</v>
      </c>
      <c r="J10" s="59">
        <f t="shared" si="3"/>
        <v>0</v>
      </c>
      <c r="K10" s="59">
        <f t="shared" si="3"/>
        <v>0</v>
      </c>
      <c r="L10" s="158">
        <f t="shared" si="3"/>
        <v>0</v>
      </c>
      <c r="M10" s="168">
        <v>0</v>
      </c>
    </row>
    <row r="11" spans="1:21" s="8" customFormat="1" ht="11.25" customHeight="1">
      <c r="A11" s="9" t="s">
        <v>127</v>
      </c>
      <c r="B11" s="59">
        <f t="shared" ref="B11:L11" si="4">B65</f>
        <v>0</v>
      </c>
      <c r="C11" s="59">
        <f t="shared" si="4"/>
        <v>0</v>
      </c>
      <c r="D11" s="59">
        <f t="shared" si="4"/>
        <v>0</v>
      </c>
      <c r="E11" s="59">
        <f t="shared" si="4"/>
        <v>0</v>
      </c>
      <c r="F11" s="59">
        <f t="shared" si="4"/>
        <v>0</v>
      </c>
      <c r="G11" s="59">
        <f t="shared" si="4"/>
        <v>0</v>
      </c>
      <c r="H11" s="59">
        <f t="shared" si="4"/>
        <v>1</v>
      </c>
      <c r="I11" s="59">
        <f t="shared" si="4"/>
        <v>1</v>
      </c>
      <c r="J11" s="59">
        <f t="shared" si="4"/>
        <v>0</v>
      </c>
      <c r="K11" s="59">
        <f t="shared" si="4"/>
        <v>0</v>
      </c>
      <c r="L11" s="158">
        <f t="shared" si="4"/>
        <v>0</v>
      </c>
      <c r="M11" s="169">
        <v>0</v>
      </c>
    </row>
    <row r="12" spans="1:21" s="8" customFormat="1" ht="11.25" customHeight="1" thickBot="1">
      <c r="A12" s="2" t="s">
        <v>12</v>
      </c>
      <c r="B12" s="60">
        <f>COUNTIFS(Jan!$B:$B,2104,Jan!$F:$F,800)</f>
        <v>0</v>
      </c>
      <c r="C12" s="60">
        <f>COUNTIFS(Feb!$B:$B,2104,Feb!$F:$F,800)</f>
        <v>0</v>
      </c>
      <c r="D12" s="60">
        <f>COUNTIFS(Mar!$B:$B,2104,Mar!$F:$F,800)</f>
        <v>0</v>
      </c>
      <c r="E12" s="60">
        <f>COUNTIFS(Apr!$B:$B,2104,Apr!$F:$F,800)</f>
        <v>0</v>
      </c>
      <c r="F12" s="60">
        <f>COUNTIFS(May!$B:$B,2104,May!$F:$F,800)</f>
        <v>0</v>
      </c>
      <c r="G12" s="60">
        <f>COUNTIFS(Jun!$B:$B,2104,Jun!$F:$F,800)</f>
        <v>0</v>
      </c>
      <c r="H12" s="60">
        <v>3</v>
      </c>
      <c r="I12" s="60">
        <v>2</v>
      </c>
      <c r="J12" s="60">
        <f>COUNTIFS(Sep!$B:$B,2104,Sep!$F:$F,800)</f>
        <v>0</v>
      </c>
      <c r="K12" s="60">
        <f>COUNTIFS(Oct!$B:$B,2104,Oct!$F:$F,800)</f>
        <v>0</v>
      </c>
      <c r="L12" s="60">
        <f>COUNTIFS(Nov!$B:$B,2104,Nov!$F:$F,800)</f>
        <v>0</v>
      </c>
      <c r="M12" s="60">
        <v>0</v>
      </c>
    </row>
    <row r="13" spans="1:21" s="8" customFormat="1" ht="5.0999999999999996" customHeight="1" thickBot="1">
      <c r="A13" s="3"/>
      <c r="B13" s="17"/>
      <c r="C13" s="17"/>
      <c r="D13" s="17"/>
      <c r="E13" s="17"/>
      <c r="F13" s="17"/>
      <c r="G13" s="17"/>
      <c r="H13" s="17"/>
      <c r="I13" s="17"/>
      <c r="J13" s="17"/>
      <c r="K13" s="17"/>
      <c r="L13" s="17"/>
      <c r="M13" s="147"/>
    </row>
    <row r="14" spans="1:21" s="16" customFormat="1" ht="11.25" customHeight="1">
      <c r="A14" s="44" t="s">
        <v>131</v>
      </c>
      <c r="B14" s="120"/>
      <c r="C14" s="120"/>
      <c r="D14" s="120"/>
      <c r="E14" s="120"/>
      <c r="F14" s="120"/>
      <c r="G14" s="120"/>
      <c r="H14" s="119">
        <v>14947</v>
      </c>
      <c r="I14" s="61">
        <v>7503</v>
      </c>
      <c r="J14" s="61"/>
      <c r="K14" s="118"/>
      <c r="L14" s="160"/>
      <c r="M14" s="173"/>
      <c r="O14" s="22"/>
      <c r="P14" s="22"/>
      <c r="Q14" s="22"/>
    </row>
    <row r="15" spans="1:21" s="8" customFormat="1" ht="11.25" customHeight="1">
      <c r="A15" s="45" t="s">
        <v>132</v>
      </c>
      <c r="B15" s="62" t="str">
        <f>IFERROR((SUMIFS(Jan!$N:$N,Jan!$J:$J,1,Jan!$B:$B,2104)+SUMIFS(Jan!$N:$N,Jan!$D:$D,"&gt;1",Jan!$B:$B,2104))/(COUNTIFS(Jan!$J:$J,1,Jan!$B:$B,2104)+COUNTIFS(Jan!$D:$D,"&gt;1",Jan!$B:$B,2104)),"")</f>
        <v/>
      </c>
      <c r="C15" s="62" t="str">
        <f ca="1">IFERROR((SUMIFS(Feb!$N:$N,Feb!$J:$J,1,Feb!$B:$B,2104)+SUMIFS(Feb!$N:$N,Feb!$D:$D,"&gt;1",Feb!$B:$B,2104))/(COUNTIFS(Feb!$J:$J,1,Feb!$B:$B,2104)+COUNTIFS(Feb!$D:$D,"&gt;1",Feb!$B:$B,2104)),"")</f>
        <v/>
      </c>
      <c r="D15" s="62" t="str">
        <f ca="1">IFERROR((SUMIFS(Mar!$N:$N,Mar!$J:$J,1,Mar!$B:$B,2104)+SUMIFS(Mar!$N:$N,Mar!$D:$D,"&gt;1",Mar!$B:$B,2104))/(COUNTIFS(Mar!$J:$J,1,Mar!$B:$B,2104)+COUNTIFS(Mar!$D:$D,"&gt;1",Mar!$B:$B,2104)),"")</f>
        <v/>
      </c>
      <c r="E15" s="62" t="str">
        <f ca="1">IFERROR((SUMIFS(Apr!$N:$N,Apr!$J:$J,1,Apr!$B:$B,2104)+SUMIFS(Apr!$N:$N,Apr!$D:$D,"&gt;1",Apr!$B:$B,2104))/(COUNTIFS(Apr!$J:$J,1,Apr!$B:$B,2104)+COUNTIFS(Apr!$D:$D,"&gt;1",Apr!$B:$B,2104)),"")</f>
        <v/>
      </c>
      <c r="F15" s="62" t="str">
        <f ca="1">IFERROR((SUMIFS(May!$N:$N,May!$J:$J,1,May!$B:$B,2104)+SUMIFS(May!$N:$N,May!$D:$D,"&gt;1",May!$B:$B,2104))/(COUNTIFS(May!$J:$J,1,May!$B:$B,2104)+COUNTIFS(May!$D:$D,"&gt;1",May!$B:$B,2104)),"")</f>
        <v/>
      </c>
      <c r="G15" s="62" t="str">
        <f ca="1">IFERROR((SUMIFS(Jun!$N:$N,Jun!$J:$J,1,Jun!$B:$B,2104)+SUMIFS(Jun!$N:$N,Jun!$D:$D,"&gt;1",Jun!$B:$B,2104))/(COUNTIFS(Jun!$J:$J,1,Jun!$B:$B,2104)+COUNTIFS(Jun!$D:$D,"&gt;1",Jun!$B:$B,2104)),"")</f>
        <v/>
      </c>
      <c r="H15" s="62">
        <v>19.579999999999998</v>
      </c>
      <c r="I15" s="62">
        <v>22.63</v>
      </c>
      <c r="J15" s="62" t="str">
        <f ca="1">IFERROR((SUMIFS(Sep!$N:$N,Sep!$J:$J,1,Sep!$B:$B,2104)+SUMIFS(Sep!$N:$N,Sep!$D:$D,"&gt;1",Sep!$B:$B,2104))/(COUNTIFS(Sep!$J:$J,1,Sep!$B:$B,2104)+COUNTIFS(Sep!$D:$D,"&gt;1",Sep!$B:$B,2104)),"")</f>
        <v/>
      </c>
      <c r="K15" s="62" t="str">
        <f ca="1">IFERROR((SUMIFS(Oct!$N:$N,Oct!$J:$J,1,Oct!$B:$B,2104)+SUMIFS(Oct!$N:$N,Oct!$D:$D,"&gt;1",Oct!$B:$B,2104))/(COUNTIFS(Oct!$J:$J,1,Oct!$B:$B,2104)+COUNTIFS(Oct!$D:$D,"&gt;1",Oct!$B:$B,2104)),"")</f>
        <v/>
      </c>
      <c r="L15" s="62" t="str">
        <f ca="1">IFERROR((SUMIFS(Nov!$N:$N,Nov!$J:$J,1,Nov!$B:$B,2104)+SUMIFS(Nov!$N:$N,Nov!$D:$D,"&gt;1",Nov!$B:$B,2104))/(COUNTIFS(Nov!$J:$J,1,Nov!$B:$B,2104)+COUNTIFS(Nov!$D:$D,"&gt;1",Nov!$B:$B,2104)),"")</f>
        <v/>
      </c>
      <c r="M15" s="62" t="str">
        <f>IFERROR((SUMIFS(#REF!,#REF!,1,#REF!,2104)+SUMIFS(#REF!,#REF!,"&gt;1",#REF!,2104))/(COUNTIFS(#REF!,1,#REF!,2104)+COUNTIFS(#REF!,"&gt;1",#REF!,2104)),"")</f>
        <v/>
      </c>
      <c r="N15" s="15"/>
      <c r="O15" s="1"/>
      <c r="P15" s="1"/>
      <c r="Q15" s="1"/>
    </row>
    <row r="16" spans="1:21" s="8" customFormat="1" ht="11.25" customHeight="1">
      <c r="A16" s="45" t="s">
        <v>133</v>
      </c>
      <c r="B16" s="62" t="str">
        <f>IFERROR(AVERAGEIFS(Jan!$N:$N,Jan!$F:$F,800,Jan!$B:$B,2104),"")</f>
        <v/>
      </c>
      <c r="C16" s="62" t="str">
        <f ca="1">IFERROR(AVERAGEIFS(Feb!$N:$N,Feb!$F:$F,800,Feb!$B:$B,2104),"")</f>
        <v/>
      </c>
      <c r="D16" s="62" t="str">
        <f ca="1">IFERROR(AVERAGEIFS(Mar!$N:$N,Mar!$F:$F,800,Mar!$B:$B,2104),"")</f>
        <v/>
      </c>
      <c r="E16" s="62" t="str">
        <f ca="1">IFERROR(AVERAGEIFS(Apr!$N:$N,Apr!$F:$F,800,Apr!$B:$B,2104),"")</f>
        <v/>
      </c>
      <c r="F16" s="62" t="str">
        <f ca="1">IFERROR(AVERAGEIFS(May!$N:$N,May!$F:$F,800,May!$B:$B,2104),"")</f>
        <v/>
      </c>
      <c r="G16" s="62" t="str">
        <f ca="1">IFERROR(AVERAGEIFS(Jun!$N:$N,Jun!$F:$F,800,Jun!$B:$B,2104),"")</f>
        <v/>
      </c>
      <c r="H16" s="62">
        <v>17.329999999999998</v>
      </c>
      <c r="I16" s="62">
        <v>26.5</v>
      </c>
      <c r="J16" s="62" t="str">
        <f ca="1">IFERROR(AVERAGEIFS(Sep!$N:$N,Sep!$F:$F,800,Sep!$B:$B,2104),"")</f>
        <v/>
      </c>
      <c r="K16" s="62" t="str">
        <f ca="1">IFERROR(AVERAGEIFS(Oct!$N:$N,Oct!$F:$F,800,Oct!$B:$B,2104),"")</f>
        <v/>
      </c>
      <c r="L16" s="62" t="str">
        <f ca="1">IFERROR(AVERAGEIFS(Nov!$N:$N,Nov!$F:$F,800,Nov!$B:$B,2104),"")</f>
        <v/>
      </c>
      <c r="M16" s="62" t="str">
        <f>IFERROR(AVERAGEIFS(#REF!,#REF!,800,#REF!,2104),"")</f>
        <v/>
      </c>
      <c r="O16" s="1"/>
      <c r="P16" s="1"/>
      <c r="Q16" s="1"/>
    </row>
    <row r="17" spans="1:17" s="8" customFormat="1" ht="11.25" customHeight="1">
      <c r="A17" s="45" t="s">
        <v>134</v>
      </c>
      <c r="B17" s="63" t="str">
        <f>IFERROR((SUMIFS(Jan!$M:$M,Jan!$J:$J,1,Jan!$B:$B,2104)+SUMIFS(Jan!$M:$M,Jan!$D:$D,"&gt;1",Jan!$B:$B,2104))/(COUNTIFS(Jan!$J:$J,1,Jan!$B:$B,2104)+COUNTIFS(Jan!$D:$D,"&gt;1",Jan!$B:$B,2104)),"")</f>
        <v/>
      </c>
      <c r="C17" s="63" t="str">
        <f ca="1">IFERROR((SUMIFS(Feb!$M:$M,Feb!$J:$J,1,Feb!$B:$B,2104)+SUMIFS(Feb!$M:$M,Feb!$D:$D,"&gt;1",Feb!$B:$B,2104))/(COUNTIFS(Feb!$J:$J,1,Feb!$B:$B,2104)+COUNTIFS(Feb!$D:$D,"&gt;1",Feb!$B:$B,2104)),"")</f>
        <v/>
      </c>
      <c r="D17" s="63" t="str">
        <f ca="1">IFERROR((SUMIFS(Mar!$M:$M,Mar!$J:$J,1,Mar!$B:$B,2104)+SUMIFS(Mar!$M:$M,Mar!$D:$D,"&gt;1",Mar!$B:$B,2104))/(COUNTIFS(Mar!$J:$J,1,Mar!$B:$B,2104)+COUNTIFS(Mar!$D:$D,"&gt;1",Mar!$B:$B,2104)),"")</f>
        <v/>
      </c>
      <c r="E17" s="63" t="str">
        <f ca="1">IFERROR((SUMIFS(Apr!$M:$M,Apr!$J:$J,1,Apr!$B:$B,2104)+SUMIFS(Apr!$M:$M,Apr!$D:$D,"&gt;1",Apr!$B:$B,2104))/(COUNTIFS(Apr!$J:$J,1,Apr!$B:$B,2104)+COUNTIFS(Apr!$D:$D,"&gt;1",Apr!$B:$B,2104)),"")</f>
        <v/>
      </c>
      <c r="F17" s="63" t="str">
        <f ca="1">IFERROR((SUMIFS(May!$M:$M,May!$J:$J,1,May!$B:$B,2104)+SUMIFS(May!$M:$M,May!$D:$D,"&gt;1",May!$B:$B,2104))/(COUNTIFS(May!$J:$J,1,May!$B:$B,2104)+COUNTIFS(May!$D:$D,"&gt;1",May!$B:$B,2104)),"")</f>
        <v/>
      </c>
      <c r="G17" s="63" t="str">
        <f ca="1">IFERROR((SUMIFS(Jun!$M:$M,Jun!$J:$J,1,Jun!$B:$B,2104)+SUMIFS(Jun!$M:$M,Jun!$D:$D,"&gt;1",Jun!$B:$B,2104))/(COUNTIFS(Jun!$J:$J,1,Jun!$B:$B,2104)+COUNTIFS(Jun!$D:$D,"&gt;1",Jun!$B:$B,2104)),"")</f>
        <v/>
      </c>
      <c r="H17" s="63">
        <v>17.23</v>
      </c>
      <c r="I17" s="63">
        <v>12.09</v>
      </c>
      <c r="J17" s="63" t="str">
        <f ca="1">IFERROR((SUMIFS(Sep!$M:$M,Sep!$J:$J,1,Sep!$B:$B,2104)+SUMIFS(Sep!$M:$M,Sep!$D:$D,"&gt;1",Sep!$B:$B,2104))/(COUNTIFS(Sep!$J:$J,1,Sep!$B:$B,2104)+COUNTIFS(Sep!$D:$D,"&gt;1",Sep!$B:$B,2104)),"")</f>
        <v/>
      </c>
      <c r="K17" s="63" t="str">
        <f ca="1">IFERROR((SUMIFS(Oct!$M:$M,Oct!$J:$J,1,Oct!$B:$B,2104)+SUMIFS(Oct!$M:$M,Oct!$D:$D,"&gt;1",Oct!$B:$B,2104))/(COUNTIFS(Oct!$J:$J,1,Oct!$B:$B,2104)+COUNTIFS(Oct!$D:$D,"&gt;1",Oct!$B:$B,2104)),"")</f>
        <v/>
      </c>
      <c r="L17" s="63" t="str">
        <f ca="1">IFERROR((SUMIFS(Nov!$M:$M,Nov!$J:$J,1,Nov!$B:$B,2104)+SUMIFS(Nov!$M:$M,Nov!$D:$D,"&gt;1",Nov!$B:$B,2104))/(COUNTIFS(Nov!$J:$J,1,Nov!$B:$B,2104)+COUNTIFS(Nov!$D:$D,"&gt;1",Nov!$B:$B,2104)),"")</f>
        <v/>
      </c>
      <c r="M17" s="63" t="str">
        <f>IFERROR((SUMIFS(#REF!,#REF!,1,#REF!,2104)+SUMIFS(#REF!,#REF!,"&gt;1",#REF!,2104))/(COUNTIFS(#REF!,1,#REF!,2104)+COUNTIFS(#REF!,"&gt;1",#REF!,2104)),"")</f>
        <v/>
      </c>
      <c r="O17" s="1"/>
      <c r="P17" s="1"/>
      <c r="Q17" s="1"/>
    </row>
    <row r="18" spans="1:17" s="8" customFormat="1" ht="11.25" customHeight="1" thickBot="1">
      <c r="A18" s="43" t="s">
        <v>135</v>
      </c>
      <c r="B18" s="64" t="str">
        <f>IFERROR(AVERAGEIFS(Jan!$M:$M,Jan!$F:$F,800,Jan!$B:$B,2104),"")</f>
        <v/>
      </c>
      <c r="C18" s="64" t="str">
        <f ca="1">IFERROR(AVERAGEIFS(Feb!$M:$M,Feb!$F:$F,800,Feb!$B:$B,2104),"")</f>
        <v/>
      </c>
      <c r="D18" s="64" t="str">
        <f ca="1">IFERROR(AVERAGEIFS(Mar!$M:$M,Mar!$F:$F,800,Mar!$B:$B,2104),"")</f>
        <v/>
      </c>
      <c r="E18" s="64" t="str">
        <f ca="1">IFERROR(AVERAGEIFS(Apr!$M:$M,Apr!$F:$F,800,Apr!$B:$B,2104),"")</f>
        <v/>
      </c>
      <c r="F18" s="64" t="str">
        <f ca="1">IFERROR(AVERAGEIFS(May!$M:$M,May!$F:$F,800,May!$B:$B,2104),"")</f>
        <v/>
      </c>
      <c r="G18" s="64" t="str">
        <f ca="1">IFERROR(AVERAGEIFS(Jun!$M:$M,Jun!$F:$F,800,Jun!$B:$B,2104),"")</f>
        <v/>
      </c>
      <c r="H18" s="64">
        <v>18.97</v>
      </c>
      <c r="I18" s="64">
        <v>0.35</v>
      </c>
      <c r="J18" s="64" t="str">
        <f ca="1">IFERROR(AVERAGEIFS(Sep!$M:$M,Sep!$F:$F,800,Sep!$B:$B,2104),"")</f>
        <v/>
      </c>
      <c r="K18" s="64" t="str">
        <f ca="1">IFERROR(AVERAGEIFS(Oct!$M:$M,Oct!$F:$F,800,Oct!$B:$B,2104),"")</f>
        <v/>
      </c>
      <c r="L18" s="64" t="str">
        <f ca="1">IFERROR(AVERAGEIFS(Nov!$M:$M,Nov!$F:$F,800,Nov!$B:$B,2104),"")</f>
        <v/>
      </c>
      <c r="M18" s="64" t="str">
        <f>IFERROR(AVERAGEIFS(#REF!,#REF!,800,#REF!,2104),"")</f>
        <v/>
      </c>
    </row>
    <row r="19" spans="1:17" s="8" customFormat="1" ht="5.0999999999999996" customHeight="1" thickBot="1">
      <c r="A19" s="3"/>
      <c r="B19" s="17"/>
      <c r="C19" s="17"/>
      <c r="D19" s="17"/>
      <c r="E19" s="17"/>
      <c r="F19" s="17"/>
      <c r="G19" s="17"/>
      <c r="H19" s="17"/>
      <c r="I19" s="17"/>
      <c r="J19" s="17"/>
      <c r="K19" s="17"/>
      <c r="L19" s="17"/>
      <c r="M19" s="147"/>
    </row>
    <row r="20" spans="1:17" s="8" customFormat="1" ht="11.25" customHeight="1">
      <c r="A20" s="42" t="s">
        <v>52</v>
      </c>
      <c r="B20" s="65">
        <v>31</v>
      </c>
      <c r="C20" s="65">
        <v>28</v>
      </c>
      <c r="D20" s="65">
        <v>31</v>
      </c>
      <c r="E20" s="65">
        <v>30</v>
      </c>
      <c r="F20" s="65">
        <v>31</v>
      </c>
      <c r="G20" s="65">
        <v>30</v>
      </c>
      <c r="H20" s="65">
        <v>31</v>
      </c>
      <c r="I20" s="65">
        <v>31</v>
      </c>
      <c r="J20" s="65">
        <v>30</v>
      </c>
      <c r="K20" s="65">
        <v>31</v>
      </c>
      <c r="L20" s="161">
        <v>30</v>
      </c>
      <c r="M20" s="174">
        <v>31</v>
      </c>
    </row>
    <row r="21" spans="1:17" s="8" customFormat="1" ht="11.25" customHeight="1">
      <c r="A21" s="9" t="s">
        <v>15</v>
      </c>
      <c r="B21" s="66">
        <f>B12/B20</f>
        <v>0</v>
      </c>
      <c r="C21" s="66">
        <f t="shared" ref="C21:M21" si="5">C12/C20</f>
        <v>0</v>
      </c>
      <c r="D21" s="66">
        <f>D12/D20</f>
        <v>0</v>
      </c>
      <c r="E21" s="66">
        <f>E12/E20</f>
        <v>0</v>
      </c>
      <c r="F21" s="66">
        <f>F12/F20</f>
        <v>0</v>
      </c>
      <c r="G21" s="66">
        <f>G12/G20</f>
        <v>0</v>
      </c>
      <c r="H21" s="66">
        <f t="shared" si="5"/>
        <v>9.6774193548387094E-2</v>
      </c>
      <c r="I21" s="66">
        <f t="shared" si="5"/>
        <v>6.4516129032258063E-2</v>
      </c>
      <c r="J21" s="66">
        <f t="shared" si="5"/>
        <v>0</v>
      </c>
      <c r="K21" s="66">
        <f t="shared" si="5"/>
        <v>0</v>
      </c>
      <c r="L21" s="162">
        <f t="shared" si="5"/>
        <v>0</v>
      </c>
      <c r="M21" s="175">
        <f t="shared" si="5"/>
        <v>0</v>
      </c>
    </row>
    <row r="22" spans="1:17" s="8" customFormat="1" ht="11.25" customHeight="1">
      <c r="A22" s="9" t="s">
        <v>130</v>
      </c>
      <c r="B22" s="67">
        <f t="shared" ref="B22:G22" si="6">IFERROR(B12/B7,0)</f>
        <v>0</v>
      </c>
      <c r="C22" s="67">
        <f t="shared" si="6"/>
        <v>0</v>
      </c>
      <c r="D22" s="67">
        <f t="shared" si="6"/>
        <v>0</v>
      </c>
      <c r="E22" s="67">
        <f t="shared" si="6"/>
        <v>0</v>
      </c>
      <c r="F22" s="67">
        <f t="shared" si="6"/>
        <v>0</v>
      </c>
      <c r="G22" s="67">
        <f t="shared" si="6"/>
        <v>0</v>
      </c>
      <c r="H22" s="67">
        <f t="shared" ref="H22:M22" si="7">IFERROR(H12/H7,0)</f>
        <v>0.375</v>
      </c>
      <c r="I22" s="67">
        <f t="shared" si="7"/>
        <v>0.2857142857142857</v>
      </c>
      <c r="J22" s="67">
        <f t="shared" si="7"/>
        <v>0</v>
      </c>
      <c r="K22" s="116">
        <f t="shared" si="7"/>
        <v>0</v>
      </c>
      <c r="L22" s="67">
        <f t="shared" si="7"/>
        <v>0</v>
      </c>
      <c r="M22" s="176">
        <f t="shared" si="7"/>
        <v>0</v>
      </c>
      <c r="N22" s="1"/>
    </row>
    <row r="23" spans="1:17" s="8" customFormat="1" ht="11.25" customHeight="1" thickBot="1">
      <c r="A23" s="9" t="s">
        <v>53</v>
      </c>
      <c r="B23" s="67">
        <f t="shared" ref="B23:G23" si="8">IFERROR(B12/(B11+B12),0)</f>
        <v>0</v>
      </c>
      <c r="C23" s="67">
        <f t="shared" si="8"/>
        <v>0</v>
      </c>
      <c r="D23" s="67">
        <f t="shared" si="8"/>
        <v>0</v>
      </c>
      <c r="E23" s="67">
        <f t="shared" si="8"/>
        <v>0</v>
      </c>
      <c r="F23" s="67">
        <f t="shared" si="8"/>
        <v>0</v>
      </c>
      <c r="G23" s="67">
        <f t="shared" si="8"/>
        <v>0</v>
      </c>
      <c r="H23" s="67">
        <f t="shared" ref="H23:M23" si="9">IFERROR(H12/(H11+H12),0)</f>
        <v>0.75</v>
      </c>
      <c r="I23" s="67">
        <f t="shared" si="9"/>
        <v>0.66666666666666663</v>
      </c>
      <c r="J23" s="67">
        <f t="shared" si="9"/>
        <v>0</v>
      </c>
      <c r="K23" s="117">
        <f t="shared" si="9"/>
        <v>0</v>
      </c>
      <c r="L23" s="163">
        <f t="shared" si="9"/>
        <v>0</v>
      </c>
      <c r="M23" s="177">
        <f t="shared" si="9"/>
        <v>0</v>
      </c>
      <c r="N23" s="4"/>
    </row>
    <row r="24" spans="1:17" s="8" customFormat="1" ht="11.25" customHeight="1" thickBot="1">
      <c r="A24" s="53" t="s">
        <v>21</v>
      </c>
      <c r="B24" s="50">
        <v>41275</v>
      </c>
      <c r="C24" s="47">
        <v>41306</v>
      </c>
      <c r="D24" s="47">
        <v>41334</v>
      </c>
      <c r="E24" s="47">
        <v>41365</v>
      </c>
      <c r="F24" s="47">
        <v>41395</v>
      </c>
      <c r="G24" s="47">
        <v>41426</v>
      </c>
      <c r="H24" s="47">
        <v>41456</v>
      </c>
      <c r="I24" s="47">
        <v>41487</v>
      </c>
      <c r="J24" s="47">
        <v>41518</v>
      </c>
      <c r="K24" s="47">
        <v>41548</v>
      </c>
      <c r="L24" s="47">
        <v>41579</v>
      </c>
      <c r="M24" s="51">
        <v>41609</v>
      </c>
    </row>
    <row r="25" spans="1:17" s="8" customFormat="1" ht="11.25" customHeight="1">
      <c r="A25" s="18" t="s">
        <v>5</v>
      </c>
      <c r="B25" s="68">
        <f>COUNTIFS(Jan!$B:$B,2104,Jan!$J:$J,18)</f>
        <v>0</v>
      </c>
      <c r="C25" s="68">
        <f>COUNTIFS(Feb!$B:$B,2104,Feb!$J:$J,18)</f>
        <v>0</v>
      </c>
      <c r="D25" s="68">
        <f>COUNTIFS(Mar!$B:$B,2104,Mar!$J:$J,18)</f>
        <v>0</v>
      </c>
      <c r="E25" s="68">
        <f>COUNTIFS(Apr!$B:$B,2104,Apr!$J:$J,18)</f>
        <v>0</v>
      </c>
      <c r="F25" s="68">
        <f>COUNTIFS(May!$B:$B,2104,May!$J:$J,18)</f>
        <v>0</v>
      </c>
      <c r="G25" s="68">
        <f>COUNTIFS(Jun!$B:$B,2104,Jun!$J:$J,18)</f>
        <v>0</v>
      </c>
      <c r="H25" s="68">
        <v>4</v>
      </c>
      <c r="I25" s="68">
        <v>1</v>
      </c>
      <c r="J25" s="68">
        <f>COUNTIFS(Sep!$B:$B,2104,Sep!$J:$J,18)</f>
        <v>0</v>
      </c>
      <c r="K25" s="68">
        <f>COUNTIFS(Oct!$B:$B,2104,Oct!$J:$J,18)</f>
        <v>0</v>
      </c>
      <c r="L25" s="68">
        <f>COUNTIFS(Nov!$B:$B,2104,Nov!$J:$J,18)</f>
        <v>0</v>
      </c>
      <c r="M25" s="68">
        <v>0</v>
      </c>
    </row>
    <row r="26" spans="1:17" s="8" customFormat="1" ht="11.25" customHeight="1">
      <c r="A26" s="46" t="s">
        <v>40</v>
      </c>
      <c r="B26" s="57">
        <f>COUNTIFS(Jan!$B:$B,2104,Jan!$J:$J,41)</f>
        <v>0</v>
      </c>
      <c r="C26" s="57">
        <f>COUNTIFS(Feb!$B:$B,2104,Feb!$J:$J,41)</f>
        <v>0</v>
      </c>
      <c r="D26" s="57">
        <f>COUNTIFS(Mar!$B:$B,2104,Mar!$J:$J,41)</f>
        <v>0</v>
      </c>
      <c r="E26" s="57">
        <f>COUNTIFS(Apr!$B:$B,2104,Apr!$J:$J,41)</f>
        <v>0</v>
      </c>
      <c r="F26" s="57">
        <f>COUNTIFS(May!$B:$B,2104,May!$J:$J,41)</f>
        <v>0</v>
      </c>
      <c r="G26" s="57">
        <f>COUNTIFS(Jun!$B:$B,2104,Jun!$J:$J,41)</f>
        <v>0</v>
      </c>
      <c r="H26" s="57">
        <f>COUNTIFS(Jul!$B:$B,2104,Jul!$J:$J,41)</f>
        <v>0</v>
      </c>
      <c r="I26" s="57">
        <f>COUNTIFS(Aug!$B:$B,2104,Aug!$J:$J,41)</f>
        <v>0</v>
      </c>
      <c r="J26" s="57">
        <f>COUNTIFS(Sep!$B:$B,2104,Sep!$J:$J,41)</f>
        <v>0</v>
      </c>
      <c r="K26" s="57">
        <f>COUNTIFS(Oct!$B:$B,2104,Oct!$J:$J,41)</f>
        <v>0</v>
      </c>
      <c r="L26" s="57">
        <f>COUNTIFS(Nov!$B:$B,2104,Nov!$J:$J,41)</f>
        <v>0</v>
      </c>
      <c r="M26" s="57">
        <v>0</v>
      </c>
    </row>
    <row r="27" spans="1:17" s="8" customFormat="1" ht="11.25" customHeight="1">
      <c r="A27" s="9" t="s">
        <v>11</v>
      </c>
      <c r="B27" s="179">
        <f>COUNTIFS(Jan!$B:$B,2104,Jan!$J:$J,17)</f>
        <v>0</v>
      </c>
      <c r="C27" s="179">
        <f>COUNTIFS(Feb!$B:$B,2104,Feb!$J:$J,17)</f>
        <v>0</v>
      </c>
      <c r="D27" s="179">
        <f>COUNTIFS(Mar!$B:$B,2104,Mar!$J:$J,17)</f>
        <v>0</v>
      </c>
      <c r="E27" s="179">
        <f>COUNTIFS(Apr!$B:$B,2104,Apr!$J:$J,17)</f>
        <v>0</v>
      </c>
      <c r="F27" s="179">
        <f>COUNTIFS(May!$B:$B,2104,May!$J:$J,17)</f>
        <v>0</v>
      </c>
      <c r="G27" s="179">
        <f>COUNTIFS(Jun!$B:$B,2104,Jun!$J:$J,17)</f>
        <v>0</v>
      </c>
      <c r="H27" s="206">
        <v>6</v>
      </c>
      <c r="I27" s="206">
        <v>6</v>
      </c>
      <c r="J27" s="179">
        <f>COUNTIFS(Sep!$B:$B,2104,Sep!$J:$J,17)</f>
        <v>0</v>
      </c>
      <c r="K27" s="179">
        <f>COUNTIFS(Oct!$B:$B,2104,Oct!$J:$J,17)</f>
        <v>0</v>
      </c>
      <c r="L27" s="179">
        <f>COUNTIFS(Nov!$B:$B,2104,Nov!$J:$J,17)</f>
        <v>0</v>
      </c>
      <c r="M27" s="206">
        <v>0</v>
      </c>
    </row>
    <row r="28" spans="1:17" s="8" customFormat="1" ht="11.25" customHeight="1">
      <c r="A28" s="9" t="s">
        <v>143</v>
      </c>
      <c r="B28" s="59">
        <f>COUNTIFS(Jan!$B:$B,2104,Jan!$F:$F,455)</f>
        <v>0</v>
      </c>
      <c r="C28" s="59">
        <f>COUNTIFS(Feb!$B:$B,2104,Feb!$F:$F,455)</f>
        <v>0</v>
      </c>
      <c r="D28" s="59">
        <f>COUNTIFS(Mar!$B:$B,2104,Mar!$F:$F,455)</f>
        <v>0</v>
      </c>
      <c r="E28" s="59">
        <f>COUNTIFS(Apr!$B:$B,2104,Apr!$F:$F,455)</f>
        <v>0</v>
      </c>
      <c r="F28" s="59">
        <f>COUNTIFS(May!$B:$B,2104,May!$F:$F,455)</f>
        <v>0</v>
      </c>
      <c r="G28" s="59">
        <f>COUNTIFS(Jun!$B:$B,2104,Jun!$F:$F,455)</f>
        <v>0</v>
      </c>
      <c r="H28" s="59">
        <f>COUNTIFS(Jul!$B:$B,2104,Jul!$F:$F,455)</f>
        <v>0</v>
      </c>
      <c r="I28" s="59">
        <f>COUNTIFS(Aug!$B:$B,2104,Aug!$F:$F,455)</f>
        <v>0</v>
      </c>
      <c r="J28" s="59">
        <f>COUNTIFS(Sep!$B:$B,2104,Sep!$F:$F,455)</f>
        <v>0</v>
      </c>
      <c r="K28" s="59">
        <f>COUNTIFS(Oct!$B:$B,2104,Oct!$F:$F,455)</f>
        <v>0</v>
      </c>
      <c r="L28" s="59">
        <f>COUNTIFS(Nov!$B:$B,2104,Nov!$F:$F,455)</f>
        <v>0</v>
      </c>
      <c r="M28" s="59">
        <v>0</v>
      </c>
    </row>
    <row r="29" spans="1:17" s="8" customFormat="1" ht="11.25" customHeight="1">
      <c r="A29" s="9" t="s">
        <v>23</v>
      </c>
      <c r="B29" s="59">
        <f>COUNTIFS(Jan!$B:$B,2104,Jan!$J:$J,31)</f>
        <v>0</v>
      </c>
      <c r="C29" s="59">
        <f>COUNTIFS(Feb!$B:$B,2104,Feb!$J:$J,31)</f>
        <v>0</v>
      </c>
      <c r="D29" s="59">
        <f>COUNTIFS(Mar!$B:$B,2104,Mar!$J:$J,31)</f>
        <v>0</v>
      </c>
      <c r="E29" s="59">
        <f>COUNTIFS(Apr!$B:$B,2104,Apr!$J:$J,31)</f>
        <v>0</v>
      </c>
      <c r="F29" s="59">
        <f>COUNTIFS(May!$B:$B,2104,May!$J:$J,31)</f>
        <v>0</v>
      </c>
      <c r="G29" s="59">
        <f>COUNTIFS(Jun!$B:$B,2104,Jun!$J:$J,31)</f>
        <v>0</v>
      </c>
      <c r="H29" s="59">
        <f>COUNTIFS(Jul!$B:$B,2104,Jul!$J:$J,31)</f>
        <v>0</v>
      </c>
      <c r="I29" s="59">
        <f>COUNTIFS(Aug!$B:$B,2104,Aug!$J:$J,31)</f>
        <v>0</v>
      </c>
      <c r="J29" s="59">
        <f>COUNTIFS(Sep!$B:$B,2104,Sep!$J:$J,31)</f>
        <v>0</v>
      </c>
      <c r="K29" s="59">
        <f>COUNTIFS(Oct!$B:$B,2104,Oct!$J:$J,31)</f>
        <v>0</v>
      </c>
      <c r="L29" s="59">
        <f>COUNTIFS(Nov!$B:$B,2104,Nov!$J:$J,31)</f>
        <v>0</v>
      </c>
      <c r="M29" s="59">
        <v>0</v>
      </c>
    </row>
    <row r="30" spans="1:17" s="8" customFormat="1" ht="11.25" customHeight="1">
      <c r="A30" s="9" t="s">
        <v>37</v>
      </c>
      <c r="B30" s="59">
        <f>COUNTIFS(Jan!$B:$B,2104,Jan!$J:$J,4400)</f>
        <v>0</v>
      </c>
      <c r="C30" s="59">
        <f>COUNTIFS(Feb!$B:$B,2104,Feb!$J:$J,4400)</f>
        <v>0</v>
      </c>
      <c r="D30" s="59">
        <f>COUNTIFS(Mar!$B:$B,2104,Mar!$J:$J,4400)</f>
        <v>0</v>
      </c>
      <c r="E30" s="59">
        <f>COUNTIFS(Apr!$B:$B,2104,Apr!$J:$J,4400)</f>
        <v>0</v>
      </c>
      <c r="F30" s="59">
        <f>COUNTIFS(May!$B:$B,2104,May!$J:$J,4400)</f>
        <v>0</v>
      </c>
      <c r="G30" s="59">
        <f>COUNTIFS(Jun!$B:$B,2104,Jun!$J:$J,4400)</f>
        <v>0</v>
      </c>
      <c r="H30" s="59">
        <f>COUNTIFS(Jul!$B:$B,2104,Jul!$J:$J,4400)</f>
        <v>0</v>
      </c>
      <c r="I30" s="59">
        <f>COUNTIFS(Aug!$B:$B,2104,Aug!$J:$J,4400)</f>
        <v>0</v>
      </c>
      <c r="J30" s="59">
        <f>COUNTIFS(Sep!$B:$B,2104,Sep!$J:$J,4400)</f>
        <v>0</v>
      </c>
      <c r="K30" s="59">
        <f>COUNTIFS(Oct!$B:$B,2104,Oct!$J:$J,4400)</f>
        <v>0</v>
      </c>
      <c r="L30" s="59">
        <f>COUNTIFS(Nov!$B:$B,2104,Nov!$J:$J,4400)</f>
        <v>0</v>
      </c>
      <c r="M30" s="59">
        <v>0</v>
      </c>
    </row>
    <row r="31" spans="1:17" s="8" customFormat="1" ht="11.25" customHeight="1">
      <c r="A31" s="10" t="s">
        <v>24</v>
      </c>
      <c r="B31" s="59">
        <f>COUNTIFS(Jan!$B:$B,2104,Jan!$J:$J,30)</f>
        <v>0</v>
      </c>
      <c r="C31" s="59">
        <f>COUNTIFS(Feb!$B:$B,2104,Feb!$J:$J,30)</f>
        <v>0</v>
      </c>
      <c r="D31" s="59">
        <f>COUNTIFS(Mar!$B:$B,2104,Mar!$J:$J,30)</f>
        <v>0</v>
      </c>
      <c r="E31" s="59">
        <f>COUNTIFS(Apr!$B:$B,2104,Apr!$J:$J,30)</f>
        <v>0</v>
      </c>
      <c r="F31" s="59">
        <f>COUNTIFS(May!$B:$B,2104,May!$J:$J,30)</f>
        <v>0</v>
      </c>
      <c r="G31" s="59">
        <f>COUNTIFS(Jun!$B:$B,2104,Jun!$J:$J,30)</f>
        <v>0</v>
      </c>
      <c r="H31" s="59">
        <f>COUNTIFS(Jul!$B:$B,2104,Jul!$J:$J,30)</f>
        <v>0</v>
      </c>
      <c r="I31" s="59">
        <f>COUNTIFS(Aug!$B:$B,2104,Aug!$J:$J,30)</f>
        <v>0</v>
      </c>
      <c r="J31" s="59">
        <f>COUNTIFS(Sep!$B:$B,2104,Sep!$J:$J,30)</f>
        <v>0</v>
      </c>
      <c r="K31" s="59">
        <f>COUNTIFS(Oct!$B:$B,2104,Oct!$J:$J,30)</f>
        <v>0</v>
      </c>
      <c r="L31" s="59">
        <f>COUNTIFS(Nov!$B:$B,2104,Nov!$J:$J,30)</f>
        <v>0</v>
      </c>
      <c r="M31" s="59">
        <v>0</v>
      </c>
    </row>
    <row r="32" spans="1:17" s="14" customFormat="1" ht="11.25" customHeight="1" thickBot="1">
      <c r="A32" s="2" t="s">
        <v>140</v>
      </c>
      <c r="B32" s="60">
        <f>SUM(B25:B31)</f>
        <v>0</v>
      </c>
      <c r="C32" s="60">
        <f t="shared" ref="C32:M32" si="10">SUM(C25:C31)</f>
        <v>0</v>
      </c>
      <c r="D32" s="60">
        <f>SUM(D25:D31)</f>
        <v>0</v>
      </c>
      <c r="E32" s="60">
        <f>SUM(E25:E31)</f>
        <v>0</v>
      </c>
      <c r="F32" s="60">
        <f>SUM(F25:F31)</f>
        <v>0</v>
      </c>
      <c r="G32" s="60">
        <f>SUM(G25:G31)</f>
        <v>0</v>
      </c>
      <c r="H32" s="60">
        <f t="shared" si="10"/>
        <v>10</v>
      </c>
      <c r="I32" s="60">
        <f t="shared" si="10"/>
        <v>7</v>
      </c>
      <c r="J32" s="60">
        <f t="shared" si="10"/>
        <v>0</v>
      </c>
      <c r="K32" s="60">
        <f t="shared" si="10"/>
        <v>0</v>
      </c>
      <c r="L32" s="159">
        <f t="shared" si="10"/>
        <v>0</v>
      </c>
      <c r="M32" s="170">
        <f t="shared" si="10"/>
        <v>0</v>
      </c>
    </row>
    <row r="33" spans="1:13" ht="12" customHeight="1" thickBot="1">
      <c r="A33" s="55" t="s">
        <v>136</v>
      </c>
      <c r="B33" s="50">
        <v>41275</v>
      </c>
      <c r="C33" s="47">
        <v>41306</v>
      </c>
      <c r="D33" s="47">
        <v>41334</v>
      </c>
      <c r="E33" s="47">
        <v>41365</v>
      </c>
      <c r="F33" s="47">
        <v>41395</v>
      </c>
      <c r="G33" s="47">
        <v>41426</v>
      </c>
      <c r="H33" s="47">
        <v>41456</v>
      </c>
      <c r="I33" s="47">
        <v>41487</v>
      </c>
      <c r="J33" s="47">
        <v>41518</v>
      </c>
      <c r="K33" s="47">
        <v>41548</v>
      </c>
      <c r="L33" s="47">
        <v>41579</v>
      </c>
      <c r="M33" s="51">
        <v>41609</v>
      </c>
    </row>
    <row r="34" spans="1:13" s="8" customFormat="1" ht="11.25" customHeight="1">
      <c r="A34" s="46" t="s">
        <v>33</v>
      </c>
      <c r="B34" s="57">
        <f>COUNTIFS(Jan!$B:$B,2104,Jan!$J:$J,40)</f>
        <v>0</v>
      </c>
      <c r="C34" s="57">
        <f>COUNTIFS(Feb!$B:$B,2104,Feb!$J:$J,40)</f>
        <v>0</v>
      </c>
      <c r="D34" s="57">
        <f>COUNTIFS(Mar!$B:$B,2104,Mar!$J:$J,40)</f>
        <v>0</v>
      </c>
      <c r="E34" s="57">
        <f>COUNTIFS(Apr!$B:$B,2104,Apr!$J:$J,40)</f>
        <v>0</v>
      </c>
      <c r="F34" s="57">
        <f>COUNTIFS(May!$B:$B,2104,May!$J:$J,40)</f>
        <v>0</v>
      </c>
      <c r="G34" s="57">
        <f>COUNTIFS(Jun!$B:$B,2104,Jun!$J:$J,40)</f>
        <v>0</v>
      </c>
      <c r="H34" s="57">
        <f>COUNTIFS(Jul!$B:$B,2104,Jul!$J:$J,40)</f>
        <v>0</v>
      </c>
      <c r="I34" s="57">
        <f>COUNTIFS(Aug!$B:$B,2104,Aug!$J:$J,40)</f>
        <v>0</v>
      </c>
      <c r="J34" s="57">
        <f>COUNTIFS(Sep!$B:$B,2104,Sep!$J:$J,40)</f>
        <v>0</v>
      </c>
      <c r="K34" s="57">
        <f>COUNTIFS(Oct!$B:$B,2104,Oct!$J:$J,40)</f>
        <v>0</v>
      </c>
      <c r="L34" s="57">
        <f>COUNTIFS(Nov!$B:$B,2104,Nov!$J:$J,40)</f>
        <v>0</v>
      </c>
      <c r="M34" s="57">
        <v>0</v>
      </c>
    </row>
    <row r="35" spans="1:13" s="8" customFormat="1" ht="11.25" customHeight="1">
      <c r="A35" s="10" t="s">
        <v>4</v>
      </c>
      <c r="B35" s="59">
        <f>COUNTIFS(Jan!$B:$B,2104,Jan!$J:$J,15)</f>
        <v>0</v>
      </c>
      <c r="C35" s="59">
        <f>COUNTIFS(Feb!$B:$B,2104,Feb!$J:$J,15)</f>
        <v>0</v>
      </c>
      <c r="D35" s="59">
        <f>COUNTIFS(Mar!$B:$B,2104,Mar!$J:$J,15)</f>
        <v>0</v>
      </c>
      <c r="E35" s="59">
        <f>COUNTIFS(Apr!$B:$B,2104,Apr!$J:$J,15)</f>
        <v>0</v>
      </c>
      <c r="F35" s="59">
        <f>COUNTIFS(May!$B:$B,2104,May!$J:$J,15)</f>
        <v>0</v>
      </c>
      <c r="G35" s="59">
        <f>COUNTIFS(Jun!$B:$B,2104,Jun!$J:$J,15)</f>
        <v>0</v>
      </c>
      <c r="H35" s="59">
        <f>COUNTIFS(Jul!$B:$B,2104,Jul!$J:$J,15)</f>
        <v>0</v>
      </c>
      <c r="I35" s="59">
        <f>COUNTIFS(Aug!$B:$B,2104,Aug!$J:$J,15)</f>
        <v>0</v>
      </c>
      <c r="J35" s="59">
        <f>COUNTIFS(Sep!$B:$B,2104,Sep!$J:$J,15)</f>
        <v>0</v>
      </c>
      <c r="K35" s="59">
        <f>COUNTIFS(Oct!$B:$B,2104,Oct!$J:$J,15)</f>
        <v>0</v>
      </c>
      <c r="L35" s="59">
        <f>COUNTIFS(Nov!$B:$B,2104,Nov!$J:$J,15)</f>
        <v>0</v>
      </c>
      <c r="M35" s="59">
        <v>0</v>
      </c>
    </row>
    <row r="36" spans="1:13" s="8" customFormat="1" ht="11.25" customHeight="1">
      <c r="A36" s="10" t="s">
        <v>39</v>
      </c>
      <c r="B36" s="59">
        <f>COUNTIFS(Jan!$B:$B,2104,Jan!$J:$J,29)</f>
        <v>0</v>
      </c>
      <c r="C36" s="59">
        <f>COUNTIFS(Feb!$B:$B,2104,Feb!$J:$J,29)</f>
        <v>0</v>
      </c>
      <c r="D36" s="59">
        <f>COUNTIFS(Mar!$B:$B,2104,Mar!$J:$J,29)</f>
        <v>0</v>
      </c>
      <c r="E36" s="59">
        <f>COUNTIFS(Apr!$B:$B,2104,Apr!$J:$J,29)</f>
        <v>0</v>
      </c>
      <c r="F36" s="59">
        <f>COUNTIFS(May!$B:$B,2104,May!$J:$J,29)</f>
        <v>0</v>
      </c>
      <c r="G36" s="59">
        <f>COUNTIFS(Jun!$B:$B,2104,Jun!$J:$J,29)</f>
        <v>0</v>
      </c>
      <c r="H36" s="59">
        <f>COUNTIFS(Jul!$B:$B,2104,Jul!$J:$J,29)</f>
        <v>0</v>
      </c>
      <c r="I36" s="59">
        <f>COUNTIFS(Aug!$B:$B,2104,Aug!$J:$J,29)</f>
        <v>0</v>
      </c>
      <c r="J36" s="59">
        <f>COUNTIFS(Sep!$B:$B,2104,Sep!$J:$J,29)</f>
        <v>0</v>
      </c>
      <c r="K36" s="59">
        <f>COUNTIFS(Oct!$B:$B,2104,Oct!$J:$J,29)</f>
        <v>0</v>
      </c>
      <c r="L36" s="59">
        <f>COUNTIFS(Nov!$B:$B,2104,Nov!$J:$J,29)</f>
        <v>0</v>
      </c>
      <c r="M36" s="59">
        <v>0</v>
      </c>
    </row>
    <row r="37" spans="1:13" s="8" customFormat="1" ht="11.25" customHeight="1">
      <c r="A37" s="10" t="s">
        <v>3</v>
      </c>
      <c r="B37" s="59">
        <f>COUNTIFS(Jan!$B:$B,2104,Jan!$J:$J,13)</f>
        <v>0</v>
      </c>
      <c r="C37" s="59">
        <f>COUNTIFS(Feb!$B:$B,2104,Feb!$J:$J,13)</f>
        <v>0</v>
      </c>
      <c r="D37" s="59">
        <f>COUNTIFS(Mar!$B:$B,2104,Mar!$J:$J,13)</f>
        <v>0</v>
      </c>
      <c r="E37" s="59">
        <f>COUNTIFS(Apr!$B:$B,2104,Apr!$J:$J,13)</f>
        <v>0</v>
      </c>
      <c r="F37" s="59">
        <f>COUNTIFS(May!$B:$B,2104,May!$J:$J,13)</f>
        <v>0</v>
      </c>
      <c r="G37" s="59">
        <f>COUNTIFS(Jun!$B:$B,2104,Jun!$J:$J,13)</f>
        <v>0</v>
      </c>
      <c r="H37" s="59">
        <v>1</v>
      </c>
      <c r="I37" s="59">
        <f>COUNTIFS(Aug!$B:$B,2104,Aug!$J:$J,13)</f>
        <v>0</v>
      </c>
      <c r="J37" s="59">
        <f>COUNTIFS(Sep!$B:$B,2104,Sep!$J:$J,13)</f>
        <v>0</v>
      </c>
      <c r="K37" s="59">
        <f>COUNTIFS(Oct!$B:$B,2104,Oct!$J:$J,13)</f>
        <v>0</v>
      </c>
      <c r="L37" s="59">
        <f>COUNTIFS(Nov!$B:$B,2104,Nov!$J:$J,13)</f>
        <v>0</v>
      </c>
      <c r="M37" s="59">
        <v>0</v>
      </c>
    </row>
    <row r="38" spans="1:13" s="8" customFormat="1" ht="11.25" customHeight="1">
      <c r="A38" s="9" t="s">
        <v>218</v>
      </c>
      <c r="B38" s="59">
        <f>COUNTIFS(Jan!$B:$B,2104,Jan!$J:$J,43)</f>
        <v>0</v>
      </c>
      <c r="C38" s="59">
        <f>COUNTIFS(Feb!$B:$B,2104,Feb!$J:$J,43)</f>
        <v>0</v>
      </c>
      <c r="D38" s="59">
        <f>COUNTIFS(Mar!$B:$B,2104,Mar!$J:$J,43)</f>
        <v>0</v>
      </c>
      <c r="E38" s="59">
        <f>COUNTIFS(Apr!$B:$B,2104,Apr!$J:$J,43)</f>
        <v>0</v>
      </c>
      <c r="F38" s="59">
        <f>COUNTIFS(May!$B:$B,2104,May!$J:$J,43)</f>
        <v>0</v>
      </c>
      <c r="G38" s="59">
        <f>COUNTIFS(Jun!$B:$B,2104,Jun!$J:$J,43)</f>
        <v>0</v>
      </c>
      <c r="H38" s="59">
        <f>COUNTIFS(Jul!$B:$B,2104,Jul!$J:$J,43)</f>
        <v>0</v>
      </c>
      <c r="I38" s="59">
        <f>COUNTIFS(Aug!$B:$B,2104,Aug!$J:$J,43)</f>
        <v>0</v>
      </c>
      <c r="J38" s="59">
        <f>COUNTIFS(Sep!$B:$B,2104,Sep!$J:$J,43)</f>
        <v>0</v>
      </c>
      <c r="K38" s="59">
        <f>COUNTIFS(Oct!$B:$B,2104,Oct!$J:$J,43)</f>
        <v>0</v>
      </c>
      <c r="L38" s="59">
        <f>COUNTIFS(Nov!$B:$B,2104,Nov!$J:$J,43)</f>
        <v>0</v>
      </c>
      <c r="M38" s="59">
        <v>0</v>
      </c>
    </row>
    <row r="39" spans="1:13" s="8" customFormat="1" ht="11.25" customHeight="1">
      <c r="A39" s="10" t="s">
        <v>25</v>
      </c>
      <c r="B39" s="59">
        <f>COUNTIFS(Jan!$B:$B,2104,Jan!$J:$J,24)</f>
        <v>0</v>
      </c>
      <c r="C39" s="59">
        <f>COUNTIFS(Feb!$B:$B,2104,Feb!$J:$J,24)</f>
        <v>0</v>
      </c>
      <c r="D39" s="59">
        <f>COUNTIFS(Mar!$B:$B,2104,Mar!$J:$J,24)</f>
        <v>0</v>
      </c>
      <c r="E39" s="59">
        <f>COUNTIFS(Apr!$B:$B,2104,Apr!$J:$J,24)</f>
        <v>0</v>
      </c>
      <c r="F39" s="59">
        <f>COUNTIFS(May!$B:$B,2104,May!$J:$J,24)</f>
        <v>0</v>
      </c>
      <c r="G39" s="59">
        <f>COUNTIFS(Jun!$B:$B,2104,Jun!$J:$J,24)</f>
        <v>0</v>
      </c>
      <c r="H39" s="59">
        <v>1</v>
      </c>
      <c r="I39" s="59">
        <f>COUNTIFS(Aug!$B:$B,2104,Aug!$J:$J,24)</f>
        <v>0</v>
      </c>
      <c r="J39" s="59">
        <f>COUNTIFS(Sep!$B:$B,2104,Sep!$J:$J,24)</f>
        <v>0</v>
      </c>
      <c r="K39" s="59">
        <f>COUNTIFS(Oct!$B:$B,2104,Oct!$J:$J,24)</f>
        <v>0</v>
      </c>
      <c r="L39" s="59">
        <f>COUNTIFS(Nov!$B:$B,2104,Nov!$J:$J,24)</f>
        <v>0</v>
      </c>
      <c r="M39" s="59">
        <v>0</v>
      </c>
    </row>
    <row r="40" spans="1:13" s="8" customFormat="1" ht="11.25" customHeight="1">
      <c r="A40" s="10" t="s">
        <v>34</v>
      </c>
      <c r="B40" s="59">
        <f>COUNTIFS(Jan!$B:$B,2104,Jan!$J:$J,9)</f>
        <v>0</v>
      </c>
      <c r="C40" s="59">
        <f>COUNTIFS(Feb!$B:$B,2104,Feb!$J:$J,9)</f>
        <v>0</v>
      </c>
      <c r="D40" s="59">
        <f>COUNTIFS(Mar!$B:$B,2104,Mar!$J:$J,9)</f>
        <v>0</v>
      </c>
      <c r="E40" s="59">
        <f>COUNTIFS(Apr!$B:$B,2104,Apr!$J:$J,9)</f>
        <v>0</v>
      </c>
      <c r="F40" s="59">
        <f>COUNTIFS(May!$B:$B,2104,May!$J:$J,9)</f>
        <v>0</v>
      </c>
      <c r="G40" s="59">
        <f>COUNTIFS(Jun!$B:$B,2104,Jun!$J:$J,9)</f>
        <v>0</v>
      </c>
      <c r="H40" s="59">
        <f>COUNTIFS(Jul!$B:$B,2104,Jul!$J:$J,9)</f>
        <v>0</v>
      </c>
      <c r="I40" s="59">
        <f>COUNTIFS(Aug!$B:$B,2104,Aug!$J:$J,9)</f>
        <v>0</v>
      </c>
      <c r="J40" s="59">
        <f>COUNTIFS(Sep!$B:$B,2104,Sep!$J:$J,9)</f>
        <v>0</v>
      </c>
      <c r="K40" s="59">
        <f>COUNTIFS(Oct!$B:$B,2104,Oct!$J:$J,9)</f>
        <v>0</v>
      </c>
      <c r="L40" s="59">
        <f>COUNTIFS(Nov!$B:$B,2104,Nov!$J:$J,9)</f>
        <v>0</v>
      </c>
      <c r="M40" s="59">
        <v>0</v>
      </c>
    </row>
    <row r="41" spans="1:13" s="8" customFormat="1" ht="11.25" customHeight="1">
      <c r="A41" s="10" t="s">
        <v>31</v>
      </c>
      <c r="B41" s="59">
        <f>COUNTIFS(Jan!$B:$B,2104,Jan!$J:$J,10)</f>
        <v>0</v>
      </c>
      <c r="C41" s="59">
        <f>COUNTIFS(Feb!$B:$B,2104,Feb!$J:$J,10)</f>
        <v>0</v>
      </c>
      <c r="D41" s="59">
        <f>COUNTIFS(Mar!$B:$B,2104,Mar!$J:$J,10)</f>
        <v>0</v>
      </c>
      <c r="E41" s="59">
        <f>COUNTIFS(Apr!$B:$B,2104,Apr!$J:$J,10)</f>
        <v>0</v>
      </c>
      <c r="F41" s="59">
        <f>COUNTIFS(May!$B:$B,2104,May!$J:$J,10)</f>
        <v>0</v>
      </c>
      <c r="G41" s="59">
        <f>COUNTIFS(Jun!$B:$B,2104,Jun!$J:$J,10)</f>
        <v>0</v>
      </c>
      <c r="H41" s="59">
        <v>1</v>
      </c>
      <c r="I41" s="59">
        <v>2</v>
      </c>
      <c r="J41" s="59">
        <f>COUNTIFS(Sep!$B:$B,2104,Sep!$J:$J,10)</f>
        <v>0</v>
      </c>
      <c r="K41" s="59">
        <f>COUNTIFS(Oct!$B:$B,2104,Oct!$J:$J,10)</f>
        <v>0</v>
      </c>
      <c r="L41" s="59">
        <f>COUNTIFS(Nov!$B:$B,2104,Nov!$J:$J,10)</f>
        <v>0</v>
      </c>
      <c r="M41" s="59">
        <v>0</v>
      </c>
    </row>
    <row r="42" spans="1:13" s="8" customFormat="1" ht="11.25" customHeight="1">
      <c r="A42" s="10" t="s">
        <v>144</v>
      </c>
      <c r="B42" s="59">
        <f>COUNTIFS(Jan!$B:$B,2104,Jan!$F:$F,462)</f>
        <v>0</v>
      </c>
      <c r="C42" s="59">
        <f>COUNTIFS(Feb!$B:$B,2104,Feb!$F:$F,462)</f>
        <v>0</v>
      </c>
      <c r="D42" s="59">
        <f>COUNTIFS(Mar!$B:$B,2104,Mar!$F:$F,462)</f>
        <v>0</v>
      </c>
      <c r="E42" s="59">
        <f>COUNTIFS(Apr!$B:$B,2104,Apr!$F:$F,462)</f>
        <v>0</v>
      </c>
      <c r="F42" s="59">
        <f>COUNTIFS(May!$B:$B,2104,May!$F:$F,462)</f>
        <v>0</v>
      </c>
      <c r="G42" s="59">
        <f>COUNTIFS(Jun!$B:$B,2104,Jun!$F:$F,462)</f>
        <v>0</v>
      </c>
      <c r="H42" s="59">
        <f>COUNTIFS(Jul!$B:$B,2104,Jul!$F:$F,462)</f>
        <v>0</v>
      </c>
      <c r="I42" s="59">
        <f>COUNTIFS(Aug!$B:$B,2104,Aug!$F:$F,462)</f>
        <v>0</v>
      </c>
      <c r="J42" s="59">
        <f>COUNTIFS(Sep!$B:$B,2104,Sep!$F:$F,462)</f>
        <v>0</v>
      </c>
      <c r="K42" s="59">
        <f>COUNTIFS(Oct!$B:$B,2104,Oct!$F:$F,462)</f>
        <v>0</v>
      </c>
      <c r="L42" s="59">
        <f>COUNTIFS(Nov!$B:$B,2104,Nov!$F:$F,462)</f>
        <v>0</v>
      </c>
      <c r="M42" s="59">
        <v>0</v>
      </c>
    </row>
    <row r="43" spans="1:13" s="8" customFormat="1" ht="11.25" customHeight="1">
      <c r="A43" s="10" t="s">
        <v>1</v>
      </c>
      <c r="B43" s="59">
        <f>COUNTIFS(Jan!$B:$B,2104,Jan!$J:$J,11)</f>
        <v>0</v>
      </c>
      <c r="C43" s="59">
        <f>COUNTIFS(Feb!$B:$B,2104,Feb!$J:$J,11)</f>
        <v>0</v>
      </c>
      <c r="D43" s="59">
        <f>COUNTIFS(Mar!$B:$B,2104,Mar!$J:$J,11)</f>
        <v>0</v>
      </c>
      <c r="E43" s="59">
        <f>COUNTIFS(Apr!$B:$B,2104,Apr!$J:$J,11)</f>
        <v>0</v>
      </c>
      <c r="F43" s="59">
        <f>COUNTIFS(May!$B:$B,2104,May!$J:$J,11)</f>
        <v>0</v>
      </c>
      <c r="G43" s="59">
        <f>COUNTIFS(Jun!$B:$B,2104,Jun!$J:$J,11)</f>
        <v>0</v>
      </c>
      <c r="H43" s="59">
        <f>COUNTIFS(Jul!$B:$B,2104,Jul!$J:$J,11)</f>
        <v>0</v>
      </c>
      <c r="I43" s="59">
        <f>COUNTIFS(Aug!$B:$B,2104,Aug!$J:$J,11)</f>
        <v>0</v>
      </c>
      <c r="J43" s="59">
        <f>COUNTIFS(Sep!$B:$B,2104,Sep!$J:$J,11)</f>
        <v>0</v>
      </c>
      <c r="K43" s="59">
        <f>COUNTIFS(Oct!$B:$B,2104,Oct!$J:$J,11)</f>
        <v>0</v>
      </c>
      <c r="L43" s="59">
        <f>COUNTIFS(Nov!$B:$B,2104,Nov!$J:$J,11)</f>
        <v>0</v>
      </c>
      <c r="M43" s="59">
        <v>0</v>
      </c>
    </row>
    <row r="44" spans="1:13" s="8" customFormat="1" ht="11.25" customHeight="1">
      <c r="A44" s="10" t="s">
        <v>26</v>
      </c>
      <c r="B44" s="59">
        <f>COUNTIFS(Jan!$B:$B,2104,Jan!$J:$J,20)</f>
        <v>0</v>
      </c>
      <c r="C44" s="59">
        <f>COUNTIFS(Feb!$B:$B,2104,Feb!$J:$J,20)</f>
        <v>0</v>
      </c>
      <c r="D44" s="59">
        <f>COUNTIFS(Mar!$B:$B,2104,Mar!$J:$J,20)</f>
        <v>0</v>
      </c>
      <c r="E44" s="59">
        <f>COUNTIFS(Apr!$B:$B,2104,Apr!$J:$J,20)</f>
        <v>0</v>
      </c>
      <c r="F44" s="59">
        <f>COUNTIFS(May!$B:$B,2104,May!$J:$J,20)</f>
        <v>0</v>
      </c>
      <c r="G44" s="59">
        <f>COUNTIFS(Jun!$B:$B,2104,Jun!$J:$J,20)</f>
        <v>0</v>
      </c>
      <c r="H44" s="59">
        <f>COUNTIFS(Jul!$B:$B,2104,Jul!$J:$J,20)</f>
        <v>0</v>
      </c>
      <c r="I44" s="59">
        <f>COUNTIFS(Aug!$B:$B,2104,Aug!$J:$J,20)</f>
        <v>0</v>
      </c>
      <c r="J44" s="59">
        <f>COUNTIFS(Sep!$B:$B,2104,Sep!$J:$J,20)</f>
        <v>0</v>
      </c>
      <c r="K44" s="59">
        <f>COUNTIFS(Oct!$B:$B,2104,Oct!$J:$J,20)</f>
        <v>0</v>
      </c>
      <c r="L44" s="59">
        <f>COUNTIFS(Nov!$B:$B,2104,Nov!$J:$J,20)</f>
        <v>0</v>
      </c>
      <c r="M44" s="59">
        <v>0</v>
      </c>
    </row>
    <row r="45" spans="1:13" s="8" customFormat="1" ht="11.25" customHeight="1">
      <c r="A45" s="10" t="s">
        <v>32</v>
      </c>
      <c r="B45" s="59">
        <f>COUNTIFS(Jan!$B:$B,2104,Jan!$J:$J,2)</f>
        <v>0</v>
      </c>
      <c r="C45" s="59">
        <f>COUNTIFS(Feb!$B:$B,2104,Feb!$J:$J,2)</f>
        <v>0</v>
      </c>
      <c r="D45" s="59">
        <f>COUNTIFS(Mar!$B:$B,2104,Mar!$J:$J,2)</f>
        <v>0</v>
      </c>
      <c r="E45" s="59">
        <f>COUNTIFS(Apr!$B:$B,2104,Apr!$J:$J,2)</f>
        <v>0</v>
      </c>
      <c r="F45" s="59">
        <f>COUNTIFS(May!$B:$B,2104,May!$J:$J,2)</f>
        <v>0</v>
      </c>
      <c r="G45" s="59">
        <f>COUNTIFS(Jun!$B:$B,2104,Jun!$J:$J,2)</f>
        <v>0</v>
      </c>
      <c r="H45" s="59">
        <v>1</v>
      </c>
      <c r="I45" s="59">
        <v>2</v>
      </c>
      <c r="J45" s="59">
        <f>COUNTIFS(Sep!$B:$B,2104,Sep!$J:$J,2)</f>
        <v>0</v>
      </c>
      <c r="K45" s="59">
        <f>COUNTIFS(Oct!$B:$B,2104,Oct!$J:$J,2)</f>
        <v>0</v>
      </c>
      <c r="L45" s="59">
        <f>COUNTIFS(Nov!$B:$B,2104,Nov!$J:$J,2)</f>
        <v>0</v>
      </c>
      <c r="M45" s="59">
        <v>0</v>
      </c>
    </row>
    <row r="46" spans="1:13" s="8" customFormat="1" ht="11.25" customHeight="1">
      <c r="A46" s="10" t="s">
        <v>28</v>
      </c>
      <c r="B46" s="59">
        <f>COUNTIFS(Jan!$B:$B,2104,Jan!$J:$J,1700)+COUNTIFS(Jan!$B:$B,2104,Jan!$F:$F,1700)+COUNTIFS(Jan!$B:$B,2104,Jan!$J:$J,19)</f>
        <v>0</v>
      </c>
      <c r="C46" s="59">
        <f>COUNTIFS(Feb!$B:$B,2104,Feb!$J:$J,1700)+COUNTIFS(Feb!$B:$B,2104,Feb!$F:$F,1700)+COUNTIFS(Feb!$B:$B,2104,Feb!$J:$J,19)</f>
        <v>0</v>
      </c>
      <c r="D46" s="59">
        <f>COUNTIFS(Mar!$B:$B,2104,Mar!$J:$J,1700)+COUNTIFS(Mar!$B:$B,2104,Mar!$F:$F,1700)+COUNTIFS(Mar!$B:$B,2104,Mar!$J:$J,19)</f>
        <v>0</v>
      </c>
      <c r="E46" s="59">
        <f>COUNTIFS(Apr!$B:$B,2104,Apr!$J:$J,1700)+COUNTIFS(Apr!$B:$B,2104,Apr!$F:$F,1700)+COUNTIFS(Apr!$B:$B,2104,Apr!$J:$J,19)</f>
        <v>0</v>
      </c>
      <c r="F46" s="59">
        <f>COUNTIFS(May!$B:$B,2104,May!$J:$J,1700)+COUNTIFS(May!$B:$B,2104,May!$F:$F,1700)+COUNTIFS(May!$B:$B,2104,May!$J:$J,19)</f>
        <v>0</v>
      </c>
      <c r="G46" s="59">
        <f>COUNTIFS(Jun!$B:$B,2104,Jun!$J:$J,1700)+COUNTIFS(Jun!$B:$B,2104,Jun!$F:$F,1700)+COUNTIFS(Jun!$B:$B,2104,Jun!$J:$J,19)</f>
        <v>0</v>
      </c>
      <c r="H46" s="59">
        <f>COUNTIFS(Jul!$B:$B,2104,Jul!$J:$J,1700)+COUNTIFS(Jul!$B:$B,2104,Jul!$F:$F,1700)+COUNTIFS(Jul!$B:$B,2104,Jul!$J:$J,19)</f>
        <v>0</v>
      </c>
      <c r="I46" s="59">
        <f>COUNTIFS(Aug!$B:$B,2104,Aug!$J:$J,1700)+COUNTIFS(Aug!$B:$B,2104,Aug!$F:$F,1700)+COUNTIFS(Aug!$B:$B,2104,Aug!$J:$J,19)</f>
        <v>0</v>
      </c>
      <c r="J46" s="59">
        <f>COUNTIFS(Sep!$B:$B,2104,Sep!$J:$J,1700)+COUNTIFS(Sep!$B:$B,2104,Sep!$F:$F,1700)+COUNTIFS(Sep!$B:$B,2104,Sep!$J:$J,19)</f>
        <v>0</v>
      </c>
      <c r="K46" s="59">
        <f>COUNTIFS(Oct!$B:$B,2104,Oct!$J:$J,1700)+COUNTIFS(Oct!$B:$B,2104,Oct!$F:$F,1700)+COUNTIFS(Oct!$B:$B,2104,Oct!$J:$J,19)</f>
        <v>0</v>
      </c>
      <c r="L46" s="59">
        <f>COUNTIFS(Nov!$B:$B,2104,Nov!$J:$J,1700)+COUNTIFS(Nov!$B:$B,2104,Nov!$F:$F,1700)+COUNTIFS(Nov!$B:$B,2104,Nov!$J:$J,19)</f>
        <v>0</v>
      </c>
      <c r="M46" s="59">
        <v>0</v>
      </c>
    </row>
    <row r="47" spans="1:13" s="8" customFormat="1" ht="11.25" customHeight="1">
      <c r="A47" s="10" t="s">
        <v>0</v>
      </c>
      <c r="B47" s="59">
        <f>COUNTIFS(Jan!$B:$B,2104,Jan!$J:$J,3)</f>
        <v>0</v>
      </c>
      <c r="C47" s="59">
        <f>COUNTIFS(Feb!$B:$B,2104,Feb!$J:$J,3)</f>
        <v>0</v>
      </c>
      <c r="D47" s="59">
        <f>COUNTIFS(Mar!$B:$B,2104,Mar!$J:$J,3)</f>
        <v>0</v>
      </c>
      <c r="E47" s="59">
        <f>COUNTIFS(Apr!$B:$B,2104,Apr!$J:$J,3)</f>
        <v>0</v>
      </c>
      <c r="F47" s="59">
        <f>COUNTIFS(May!$B:$B,2104,May!$J:$J,3)</f>
        <v>0</v>
      </c>
      <c r="G47" s="59">
        <f>COUNTIFS(Jun!$B:$B,2104,Jun!$J:$J,3)</f>
        <v>0</v>
      </c>
      <c r="H47" s="59">
        <f>COUNTIFS(Jul!$B:$B,2104,Jul!$J:$J,3)</f>
        <v>0</v>
      </c>
      <c r="I47" s="59">
        <f>COUNTIFS(Aug!$B:$B,2104,Aug!$J:$J,3)</f>
        <v>0</v>
      </c>
      <c r="J47" s="59">
        <f>COUNTIFS(Sep!$B:$B,2104,Sep!$J:$J,3)</f>
        <v>0</v>
      </c>
      <c r="K47" s="59">
        <f>COUNTIFS(Oct!$B:$B,2104,Oct!$J:$J,3)</f>
        <v>0</v>
      </c>
      <c r="L47" s="59">
        <f>COUNTIFS(Nov!$B:$B,2104,Nov!$J:$J,3)</f>
        <v>0</v>
      </c>
      <c r="M47" s="59">
        <v>0</v>
      </c>
    </row>
    <row r="48" spans="1:13" s="8" customFormat="1" ht="11.25" customHeight="1">
      <c r="A48" s="10" t="s">
        <v>35</v>
      </c>
      <c r="B48" s="59">
        <f>COUNTIFS(Jan!$B:$B,2104,Jan!$J:$J,7400)</f>
        <v>0</v>
      </c>
      <c r="C48" s="59">
        <f>COUNTIFS(Feb!$B:$B,2104,Feb!$J:$J,7400)</f>
        <v>0</v>
      </c>
      <c r="D48" s="59">
        <f>COUNTIFS(Mar!$B:$B,2104,Mar!$J:$J,7400)</f>
        <v>0</v>
      </c>
      <c r="E48" s="59">
        <f>COUNTIFS(Apr!$B:$B,2104,Apr!$J:$J,7400)</f>
        <v>0</v>
      </c>
      <c r="F48" s="59">
        <f>COUNTIFS(May!$B:$B,2104,May!$J:$J,7400)</f>
        <v>0</v>
      </c>
      <c r="G48" s="59">
        <f>COUNTIFS(Jun!$B:$B,2104,Jun!$J:$J,7400)</f>
        <v>0</v>
      </c>
      <c r="H48" s="59">
        <f>COUNTIFS(Jul!$B:$B,2104,Jul!$J:$J,7400)</f>
        <v>0</v>
      </c>
      <c r="I48" s="59">
        <f>COUNTIFS(Aug!$B:$B,2104,Aug!$J:$J,7400)</f>
        <v>0</v>
      </c>
      <c r="J48" s="59">
        <f>COUNTIFS(Sep!$B:$B,2104,Sep!$J:$J,7400)</f>
        <v>0</v>
      </c>
      <c r="K48" s="59">
        <f>COUNTIFS(Oct!$B:$B,2104,Oct!$J:$J,7400)</f>
        <v>0</v>
      </c>
      <c r="L48" s="59">
        <f>COUNTIFS(Nov!$B:$B,2104,Nov!$J:$J,7400)</f>
        <v>0</v>
      </c>
      <c r="M48" s="59">
        <v>0</v>
      </c>
    </row>
    <row r="49" spans="1:13" s="8" customFormat="1" ht="11.25" customHeight="1">
      <c r="A49" s="10" t="s">
        <v>2</v>
      </c>
      <c r="B49" s="59">
        <f>COUNTIFS(Jan!$B:$B,2104,Jan!$J:$J,14)</f>
        <v>0</v>
      </c>
      <c r="C49" s="59">
        <f>COUNTIFS(Feb!$B:$B,2104,Feb!$J:$J,14)</f>
        <v>0</v>
      </c>
      <c r="D49" s="59">
        <f>COUNTIFS(Mar!$B:$B,2104,Mar!$J:$J,14)</f>
        <v>0</v>
      </c>
      <c r="E49" s="59">
        <f>COUNTIFS(Apr!$B:$B,2104,Apr!$J:$J,14)</f>
        <v>0</v>
      </c>
      <c r="F49" s="59">
        <f>COUNTIFS(May!$B:$B,2104,May!$J:$J,14)</f>
        <v>0</v>
      </c>
      <c r="G49" s="59">
        <f>COUNTIFS(Jun!$B:$B,2104,Jun!$J:$J,14)</f>
        <v>0</v>
      </c>
      <c r="H49" s="59">
        <f>COUNTIFS(Jul!$B:$B,2104,Jul!$J:$J,14)</f>
        <v>0</v>
      </c>
      <c r="I49" s="59">
        <f>COUNTIFS(Aug!$B:$B,2104,Aug!$J:$J,14)</f>
        <v>0</v>
      </c>
      <c r="J49" s="59">
        <f>COUNTIFS(Sep!$B:$B,2104,Sep!$J:$J,14)</f>
        <v>0</v>
      </c>
      <c r="K49" s="59">
        <f>COUNTIFS(Oct!$B:$B,2104,Oct!$J:$J,14)</f>
        <v>0</v>
      </c>
      <c r="L49" s="59">
        <f>COUNTIFS(Nov!$B:$B,2104,Nov!$J:$J,14)</f>
        <v>0</v>
      </c>
      <c r="M49" s="59">
        <v>0</v>
      </c>
    </row>
    <row r="50" spans="1:13" s="8" customFormat="1" ht="11.25" customHeight="1">
      <c r="A50" s="10" t="s">
        <v>142</v>
      </c>
      <c r="B50" s="59">
        <f>COUNTIFS(Jan!$B:$B,2104,Jan!$F:$F,466)</f>
        <v>0</v>
      </c>
      <c r="C50" s="59">
        <f>COUNTIFS(Feb!$B:$B,2104,Feb!$F:$F,466)</f>
        <v>0</v>
      </c>
      <c r="D50" s="59">
        <f>COUNTIFS(Mar!$B:$B,2104,Mar!$F:$F,466)</f>
        <v>0</v>
      </c>
      <c r="E50" s="59">
        <f>COUNTIFS(Apr!$B:$B,2104,Apr!$F:$F,466)</f>
        <v>0</v>
      </c>
      <c r="F50" s="59">
        <f>COUNTIFS(May!$B:$B,2104,May!$F:$F,466)</f>
        <v>0</v>
      </c>
      <c r="G50" s="59">
        <f>COUNTIFS(Jun!$B:$B,2104,Jun!$F:$F,466)</f>
        <v>0</v>
      </c>
      <c r="H50" s="59">
        <f>COUNTIFS(Jul!$B:$B,2104,Jul!$F:$F,466)</f>
        <v>0</v>
      </c>
      <c r="I50" s="59">
        <f>COUNTIFS(Aug!$B:$B,2104,Aug!$F:$F,466)</f>
        <v>0</v>
      </c>
      <c r="J50" s="59">
        <f>COUNTIFS(Sep!$B:$B,2104,Sep!$F:$F,466)</f>
        <v>0</v>
      </c>
      <c r="K50" s="59">
        <f>COUNTIFS(Oct!$B:$B,2104,Oct!$F:$F,466)</f>
        <v>0</v>
      </c>
      <c r="L50" s="59">
        <f>COUNTIFS(Nov!$B:$B,2104,Nov!$F:$F,466)</f>
        <v>0</v>
      </c>
      <c r="M50" s="59">
        <v>0</v>
      </c>
    </row>
    <row r="51" spans="1:13" s="8" customFormat="1" ht="11.25" customHeight="1">
      <c r="A51" s="10" t="s">
        <v>27</v>
      </c>
      <c r="B51" s="59">
        <f>COUNTIFS(Jan!$B:$B,2104,Jan!$J:$J,25)</f>
        <v>0</v>
      </c>
      <c r="C51" s="59">
        <f>COUNTIFS(Feb!$B:$B,2104,Feb!$J:$J,25)</f>
        <v>0</v>
      </c>
      <c r="D51" s="59">
        <f>COUNTIFS(Mar!$B:$B,2104,Mar!$J:$J,25)</f>
        <v>0</v>
      </c>
      <c r="E51" s="59">
        <f>COUNTIFS(Apr!$B:$B,2104,Apr!$J:$J,25)</f>
        <v>0</v>
      </c>
      <c r="F51" s="59">
        <f>COUNTIFS(May!$B:$B,2104,May!$J:$J,25)</f>
        <v>0</v>
      </c>
      <c r="G51" s="59">
        <f>COUNTIFS(Jun!$B:$B,2104,Jun!$J:$J,25)</f>
        <v>0</v>
      </c>
      <c r="H51" s="59">
        <f>COUNTIFS(Jul!$B:$B,2104,Jul!$J:$J,25)</f>
        <v>0</v>
      </c>
      <c r="I51" s="59">
        <f>COUNTIFS(Aug!$B:$B,2104,Aug!$J:$J,25)</f>
        <v>0</v>
      </c>
      <c r="J51" s="59">
        <f>COUNTIFS(Sep!$B:$B,2104,Sep!$J:$J,25)</f>
        <v>0</v>
      </c>
      <c r="K51" s="59">
        <f>COUNTIFS(Oct!$B:$B,2104,Oct!$J:$J,25)</f>
        <v>0</v>
      </c>
      <c r="L51" s="59">
        <f>COUNTIFS(Nov!$B:$B,2104,Nov!$J:$J,25)</f>
        <v>0</v>
      </c>
      <c r="M51" s="59">
        <v>0</v>
      </c>
    </row>
    <row r="52" spans="1:13" s="8" customFormat="1" ht="11.25" customHeight="1" thickBot="1">
      <c r="A52" s="11" t="s">
        <v>16</v>
      </c>
      <c r="B52" s="60">
        <f t="shared" ref="B52:G52" si="11">SUM(B34:B51)</f>
        <v>0</v>
      </c>
      <c r="C52" s="60">
        <f t="shared" si="11"/>
        <v>0</v>
      </c>
      <c r="D52" s="60">
        <f t="shared" si="11"/>
        <v>0</v>
      </c>
      <c r="E52" s="60">
        <f t="shared" si="11"/>
        <v>0</v>
      </c>
      <c r="F52" s="60">
        <f t="shared" si="11"/>
        <v>0</v>
      </c>
      <c r="G52" s="60">
        <f t="shared" si="11"/>
        <v>0</v>
      </c>
      <c r="H52" s="60">
        <f t="shared" ref="H52:M52" si="12">SUM(H34:H51)</f>
        <v>4</v>
      </c>
      <c r="I52" s="60">
        <f t="shared" si="12"/>
        <v>4</v>
      </c>
      <c r="J52" s="60">
        <f t="shared" si="12"/>
        <v>0</v>
      </c>
      <c r="K52" s="60">
        <f t="shared" si="12"/>
        <v>0</v>
      </c>
      <c r="L52" s="159">
        <f t="shared" si="12"/>
        <v>0</v>
      </c>
      <c r="M52" s="170">
        <f t="shared" si="12"/>
        <v>0</v>
      </c>
    </row>
    <row r="53" spans="1:13" ht="12" customHeight="1" thickBot="1">
      <c r="A53" s="55" t="s">
        <v>137</v>
      </c>
      <c r="B53" s="50">
        <v>41275</v>
      </c>
      <c r="C53" s="47">
        <v>41306</v>
      </c>
      <c r="D53" s="47">
        <v>41334</v>
      </c>
      <c r="E53" s="47">
        <v>41365</v>
      </c>
      <c r="F53" s="47">
        <v>41395</v>
      </c>
      <c r="G53" s="47">
        <v>41426</v>
      </c>
      <c r="H53" s="47">
        <v>41456</v>
      </c>
      <c r="I53" s="47">
        <v>41487</v>
      </c>
      <c r="J53" s="47">
        <v>41518</v>
      </c>
      <c r="K53" s="47">
        <v>41548</v>
      </c>
      <c r="L53" s="47">
        <v>41579</v>
      </c>
      <c r="M53" s="51">
        <v>41609</v>
      </c>
    </row>
    <row r="54" spans="1:13" s="8" customFormat="1" ht="11.25" customHeight="1">
      <c r="A54" s="10" t="s">
        <v>30</v>
      </c>
      <c r="B54" s="57">
        <f>COUNTIFS(Jan!$B:$B,2104,Jan!$J:$J,7)</f>
        <v>0</v>
      </c>
      <c r="C54" s="57">
        <f>COUNTIFS(Feb!$B:$B,2104,Feb!$J:$J,7)</f>
        <v>0</v>
      </c>
      <c r="D54" s="57">
        <f>COUNTIFS(Mar!$B:$B,2104,Mar!$J:$J,7)</f>
        <v>0</v>
      </c>
      <c r="E54" s="57">
        <f>COUNTIFS(Apr!$B:$B,2104,Apr!$J:$J,7)</f>
        <v>0</v>
      </c>
      <c r="F54" s="57">
        <f>COUNTIFS(May!$B:$B,2104,May!$J:$J,7)</f>
        <v>0</v>
      </c>
      <c r="G54" s="57">
        <f>COUNTIFS(Jun!$B:$B,2104,Jun!$J:$J,7)</f>
        <v>0</v>
      </c>
      <c r="H54" s="57">
        <f>COUNTIFS(Jul!$B:$B,2104,Jul!$J:$J,7)</f>
        <v>0</v>
      </c>
      <c r="I54" s="57">
        <f>COUNTIFS(Aug!$B:$B,2104,Aug!$J:$J,7)</f>
        <v>0</v>
      </c>
      <c r="J54" s="57">
        <f>COUNTIFS(Sep!$B:$B,2104,Sep!$J:$J,7)</f>
        <v>0</v>
      </c>
      <c r="K54" s="57">
        <f>COUNTIFS(Oct!$B:$B,2104,Oct!$J:$J,7)</f>
        <v>0</v>
      </c>
      <c r="L54" s="57">
        <f>COUNTIFS(Nov!$B:$B,2104,Nov!$J:$J,7)</f>
        <v>0</v>
      </c>
      <c r="M54" s="57">
        <v>0</v>
      </c>
    </row>
    <row r="55" spans="1:13" s="8" customFormat="1" ht="11.25" customHeight="1">
      <c r="A55" s="10" t="s">
        <v>29</v>
      </c>
      <c r="B55" s="59">
        <f>COUNTIFS(Jan!$B:$B,2104,Jan!$J:$J,8)</f>
        <v>0</v>
      </c>
      <c r="C55" s="59">
        <f>COUNTIFS(Feb!$B:$B,2104,Feb!$J:$J,8)</f>
        <v>0</v>
      </c>
      <c r="D55" s="59">
        <f>COUNTIFS(Mar!$B:$B,2104,Mar!$J:$J,8)</f>
        <v>0</v>
      </c>
      <c r="E55" s="59">
        <f>COUNTIFS(Apr!$B:$B,2104,Apr!$J:$J,8)</f>
        <v>0</v>
      </c>
      <c r="F55" s="59">
        <f>COUNTIFS(May!$B:$B,2104,May!$J:$J,8)</f>
        <v>0</v>
      </c>
      <c r="G55" s="59">
        <f>COUNTIFS(Jun!$B:$B,2104,Jun!$J:$J,8)</f>
        <v>0</v>
      </c>
      <c r="H55" s="59">
        <f>COUNTIFS(Jul!$B:$B,2104,Jul!$J:$J,8)</f>
        <v>0</v>
      </c>
      <c r="I55" s="59">
        <f>COUNTIFS(Aug!$B:$B,2104,Aug!$J:$J,8)</f>
        <v>0</v>
      </c>
      <c r="J55" s="59">
        <f>COUNTIFS(Sep!$B:$B,2104,Sep!$J:$J,8)</f>
        <v>0</v>
      </c>
      <c r="K55" s="59">
        <f>COUNTIFS(Oct!$B:$B,2104,Oct!$J:$J,8)</f>
        <v>0</v>
      </c>
      <c r="L55" s="59">
        <f>COUNTIFS(Nov!$B:$B,2104,Nov!$J:$J,8)</f>
        <v>0</v>
      </c>
      <c r="M55" s="59">
        <v>0</v>
      </c>
    </row>
    <row r="56" spans="1:13" s="8" customFormat="1" ht="11.25" customHeight="1">
      <c r="A56" s="10" t="s">
        <v>7</v>
      </c>
      <c r="B56" s="59">
        <f>COUNTIFS(Jan!$B:$B,2104,Jan!$J:$J,12)</f>
        <v>0</v>
      </c>
      <c r="C56" s="59">
        <f>COUNTIFS(Feb!$B:$B,2104,Feb!$J:$J,12)</f>
        <v>0</v>
      </c>
      <c r="D56" s="59">
        <f>COUNTIFS(Mar!$B:$B,2104,Mar!$J:$J,12)</f>
        <v>0</v>
      </c>
      <c r="E56" s="59">
        <f>COUNTIFS(Apr!$B:$B,2104,Apr!$J:$J,12)</f>
        <v>0</v>
      </c>
      <c r="F56" s="59">
        <f>COUNTIFS(May!$B:$B,2104,May!$J:$J,12)</f>
        <v>0</v>
      </c>
      <c r="G56" s="59">
        <f>COUNTIFS(Jun!$B:$B,2104,Jun!$J:$J,12)</f>
        <v>0</v>
      </c>
      <c r="H56" s="59">
        <f>COUNTIFS(Jul!$B:$B,2104,Jul!$J:$J,12)</f>
        <v>0</v>
      </c>
      <c r="I56" s="59">
        <f>COUNTIFS(Aug!$B:$B,2104,Aug!$J:$J,12)</f>
        <v>0</v>
      </c>
      <c r="J56" s="59">
        <f>COUNTIFS(Sep!$B:$B,2104,Sep!$J:$J,12)</f>
        <v>0</v>
      </c>
      <c r="K56" s="59">
        <f>COUNTIFS(Oct!$B:$B,2104,Oct!$J:$J,12)</f>
        <v>0</v>
      </c>
      <c r="L56" s="59">
        <f>COUNTIFS(Nov!$B:$B,2104,Nov!$J:$J,12)</f>
        <v>0</v>
      </c>
      <c r="M56" s="59">
        <v>0</v>
      </c>
    </row>
    <row r="57" spans="1:13" s="8" customFormat="1" ht="11.25" customHeight="1">
      <c r="A57" s="10" t="s">
        <v>10</v>
      </c>
      <c r="B57" s="59">
        <f>COUNTIFS(Jan!$B:$B,2104,Jan!$J:$J,5100)</f>
        <v>0</v>
      </c>
      <c r="C57" s="59">
        <f>COUNTIFS(Feb!$B:$B,2104,Feb!$J:$J,5100)</f>
        <v>0</v>
      </c>
      <c r="D57" s="59">
        <f>COUNTIFS(Mar!$B:$B,2104,Mar!$J:$J,5100)</f>
        <v>0</v>
      </c>
      <c r="E57" s="59">
        <f>COUNTIFS(Apr!$B:$B,2104,Apr!$J:$J,5100)</f>
        <v>0</v>
      </c>
      <c r="F57" s="59">
        <f>COUNTIFS(May!$B:$B,2104,May!$J:$J,5100)</f>
        <v>0</v>
      </c>
      <c r="G57" s="59">
        <f>COUNTIFS(Jun!$B:$B,2104,Jun!$J:$J,5100)</f>
        <v>0</v>
      </c>
      <c r="H57" s="59">
        <f>COUNTIFS(Jul!$B:$B,2104,Jul!$J:$J,5100)</f>
        <v>0</v>
      </c>
      <c r="I57" s="59">
        <v>1</v>
      </c>
      <c r="J57" s="59">
        <f>COUNTIFS(Sep!$B:$B,2104,Sep!$J:$J,5100)</f>
        <v>0</v>
      </c>
      <c r="K57" s="59">
        <f>COUNTIFS(Oct!$B:$B,2104,Oct!$J:$J,5100)</f>
        <v>0</v>
      </c>
      <c r="L57" s="59">
        <f>COUNTIFS(Nov!$B:$B,2104,Nov!$J:$J,5100)</f>
        <v>0</v>
      </c>
      <c r="M57" s="59">
        <v>0</v>
      </c>
    </row>
    <row r="58" spans="1:13" s="8" customFormat="1" ht="11.25" customHeight="1">
      <c r="A58" s="10" t="s">
        <v>36</v>
      </c>
      <c r="B58" s="59">
        <f>COUNTIFS(Jan!$B:$B,2104,Jan!$J:$J,6200)</f>
        <v>0</v>
      </c>
      <c r="C58" s="59">
        <f>COUNTIFS(Feb!$B:$B,2104,Feb!$J:$J,6200)</f>
        <v>0</v>
      </c>
      <c r="D58" s="59">
        <f>COUNTIFS(Mar!$B:$B,2104,Mar!$J:$J,6200)</f>
        <v>0</v>
      </c>
      <c r="E58" s="59">
        <f>COUNTIFS(Apr!$B:$B,2104,Apr!$J:$J,6200)</f>
        <v>0</v>
      </c>
      <c r="F58" s="59">
        <f>COUNTIFS(May!$B:$B,2104,May!$J:$J,6200)</f>
        <v>0</v>
      </c>
      <c r="G58" s="59">
        <f>COUNTIFS(Jun!$B:$B,2104,Jun!$J:$J,6200)</f>
        <v>0</v>
      </c>
      <c r="H58" s="59">
        <f>COUNTIFS(Jul!$B:$B,2104,Jul!$J:$J,6200)</f>
        <v>0</v>
      </c>
      <c r="I58" s="59">
        <f>COUNTIFS(Aug!$B:$B,2104,Aug!$J:$J,6200)</f>
        <v>0</v>
      </c>
      <c r="J58" s="59">
        <f>COUNTIFS(Sep!$B:$B,2104,Sep!$J:$J,6200)</f>
        <v>0</v>
      </c>
      <c r="K58" s="59">
        <f>COUNTIFS(Oct!$B:$B,2104,Oct!$J:$J,6200)</f>
        <v>0</v>
      </c>
      <c r="L58" s="59">
        <f>COUNTIFS(Nov!$B:$B,2104,Nov!$J:$J,6200)</f>
        <v>0</v>
      </c>
      <c r="M58" s="59">
        <v>0</v>
      </c>
    </row>
    <row r="59" spans="1:13" s="8" customFormat="1" ht="11.25" customHeight="1">
      <c r="A59" s="10" t="s">
        <v>145</v>
      </c>
      <c r="B59" s="59">
        <f>COUNTIFS(Jan!$B:$B,2104,Jan!$J:$J,28)</f>
        <v>0</v>
      </c>
      <c r="C59" s="59">
        <f>COUNTIFS(Feb!$B:$B,2104,Feb!$J:$J,28)</f>
        <v>0</v>
      </c>
      <c r="D59" s="59">
        <f>COUNTIFS(Mar!$B:$B,2104,Mar!$J:$J,28)</f>
        <v>0</v>
      </c>
      <c r="E59" s="59">
        <f>COUNTIFS(Apr!$B:$B,2104,Apr!$J:$J,28)</f>
        <v>0</v>
      </c>
      <c r="F59" s="59">
        <f>COUNTIFS(May!$B:$B,2104,May!$J:$J,28)</f>
        <v>0</v>
      </c>
      <c r="G59" s="59">
        <f>COUNTIFS(Jun!$B:$B,2104,Jun!$J:$J,28)</f>
        <v>0</v>
      </c>
      <c r="H59" s="59">
        <f>COUNTIFS(Jul!$B:$B,2104,Jul!$J:$J,28)</f>
        <v>0</v>
      </c>
      <c r="I59" s="59">
        <f>COUNTIFS(Aug!$B:$B,2104,Aug!$J:$J,28)</f>
        <v>0</v>
      </c>
      <c r="J59" s="59">
        <f>COUNTIFS(Sep!$B:$B,2104,Sep!$J:$J,28)</f>
        <v>0</v>
      </c>
      <c r="K59" s="59">
        <f>COUNTIFS(Oct!$B:$B,2104,Oct!$J:$J,28)</f>
        <v>0</v>
      </c>
      <c r="L59" s="59">
        <f>COUNTIFS(Nov!$B:$B,2104,Nov!$J:$J,28)</f>
        <v>0</v>
      </c>
      <c r="M59" s="59">
        <v>0</v>
      </c>
    </row>
    <row r="60" spans="1:13" s="8" customFormat="1" ht="11.25" customHeight="1">
      <c r="A60" s="10" t="s">
        <v>38</v>
      </c>
      <c r="B60" s="59">
        <f>COUNTIFS(Jan!$B:$B,2104,Jan!$J:$J,6100)</f>
        <v>0</v>
      </c>
      <c r="C60" s="59">
        <f>COUNTIFS(Feb!$B:$B,2104,Feb!$J:$J,6100)</f>
        <v>0</v>
      </c>
      <c r="D60" s="59">
        <f>COUNTIFS(Mar!$B:$B,2104,Mar!$J:$J,6100)</f>
        <v>0</v>
      </c>
      <c r="E60" s="59">
        <f>COUNTIFS(Apr!$B:$B,2104,Apr!$J:$J,6100)</f>
        <v>0</v>
      </c>
      <c r="F60" s="59">
        <f>COUNTIFS(May!$B:$B,2104,May!$J:$J,6100)</f>
        <v>0</v>
      </c>
      <c r="G60" s="59">
        <f>COUNTIFS(Jun!$B:$B,2104,Jun!$J:$J,6100)</f>
        <v>0</v>
      </c>
      <c r="H60" s="59">
        <v>1</v>
      </c>
      <c r="I60" s="59">
        <f>COUNTIFS(Aug!$B:$B,2104,Aug!$J:$J,6100)</f>
        <v>0</v>
      </c>
      <c r="J60" s="59">
        <f>COUNTIFS(Sep!$B:$B,2104,Sep!$J:$J,6100)</f>
        <v>0</v>
      </c>
      <c r="K60" s="59">
        <f>COUNTIFS(Oct!$B:$B,2104,Oct!$J:$J,6100)</f>
        <v>0</v>
      </c>
      <c r="L60" s="59">
        <f>COUNTIFS(Nov!$B:$B,2104,Nov!$J:$J,6100)</f>
        <v>0</v>
      </c>
      <c r="M60" s="59">
        <v>0</v>
      </c>
    </row>
    <row r="61" spans="1:13" s="8" customFormat="1" ht="11.25" customHeight="1">
      <c r="A61" s="10" t="s">
        <v>9</v>
      </c>
      <c r="B61" s="59">
        <f>COUNTIFS(Jan!$B:$B,2104,Jan!$J:$J,6)</f>
        <v>0</v>
      </c>
      <c r="C61" s="59">
        <f>COUNTIFS(Feb!$B:$B,2104,Feb!$J:$J,6)</f>
        <v>0</v>
      </c>
      <c r="D61" s="59">
        <f>COUNTIFS(Mar!$B:$B,2104,Mar!$J:$J,6)</f>
        <v>0</v>
      </c>
      <c r="E61" s="59">
        <f>COUNTIFS(Apr!$B:$B,2104,Apr!$J:$J,6)</f>
        <v>0</v>
      </c>
      <c r="F61" s="59">
        <f>COUNTIFS(May!$B:$B,2104,May!$J:$J,6)</f>
        <v>0</v>
      </c>
      <c r="G61" s="59">
        <f>COUNTIFS(Jun!$B:$B,2104,Jun!$J:$J,6)</f>
        <v>0</v>
      </c>
      <c r="H61" s="59">
        <f>COUNTIFS(Jul!$B:$B,2104,Jul!$J:$J,6)</f>
        <v>0</v>
      </c>
      <c r="I61" s="59">
        <f>COUNTIFS(Aug!$B:$B,2104,Aug!$J:$J,6)</f>
        <v>0</v>
      </c>
      <c r="J61" s="59">
        <f>COUNTIFS(Sep!$B:$B,2104,Sep!$J:$J,6)</f>
        <v>0</v>
      </c>
      <c r="K61" s="59">
        <f>COUNTIFS(Oct!$B:$B,2104,Oct!$J:$J,6)</f>
        <v>0</v>
      </c>
      <c r="L61" s="59">
        <f>COUNTIFS(Nov!$B:$B,2104,Nov!$J:$J,6)</f>
        <v>0</v>
      </c>
      <c r="M61" s="59">
        <v>0</v>
      </c>
    </row>
    <row r="62" spans="1:13" s="8" customFormat="1" ht="11.25" customHeight="1">
      <c r="A62" s="10" t="s">
        <v>8</v>
      </c>
      <c r="B62" s="59">
        <f>COUNTIFS(Jan!$B:$B,2104,Jan!$J:$J,4)</f>
        <v>0</v>
      </c>
      <c r="C62" s="59">
        <f>COUNTIFS(Feb!$B:$B,2104,Feb!$J:$J,4)</f>
        <v>0</v>
      </c>
      <c r="D62" s="59">
        <f>COUNTIFS(Mar!$B:$B,2104,Mar!$J:$J,4)</f>
        <v>0</v>
      </c>
      <c r="E62" s="59">
        <f>COUNTIFS(Apr!$B:$B,2104,Apr!$J:$J,4)</f>
        <v>0</v>
      </c>
      <c r="F62" s="59">
        <f>COUNTIFS(May!$B:$B,2104,May!$J:$J,4)</f>
        <v>0</v>
      </c>
      <c r="G62" s="59">
        <f>COUNTIFS(Jun!$B:$B,2104,Jun!$J:$J,4)</f>
        <v>0</v>
      </c>
      <c r="H62" s="59">
        <f>COUNTIFS(Jul!$B:$B,2104,Jul!$J:$J,4)</f>
        <v>0</v>
      </c>
      <c r="I62" s="59">
        <f>COUNTIFS(Aug!$B:$B,2104,Aug!$J:$J,4)</f>
        <v>0</v>
      </c>
      <c r="J62" s="59">
        <f>COUNTIFS(Sep!$B:$B,2104,Sep!$J:$J,4)</f>
        <v>0</v>
      </c>
      <c r="K62" s="59">
        <f>COUNTIFS(Oct!$B:$B,2104,Oct!$J:$J,4)</f>
        <v>0</v>
      </c>
      <c r="L62" s="59">
        <f>COUNTIFS(Nov!$B:$B,2104,Nov!$J:$J,4)</f>
        <v>0</v>
      </c>
      <c r="M62" s="59">
        <v>0</v>
      </c>
    </row>
    <row r="63" spans="1:13" s="8" customFormat="1" ht="11.25" customHeight="1">
      <c r="A63" s="10" t="s">
        <v>6</v>
      </c>
      <c r="B63" s="59">
        <f>COUNTIFS(Jan!$B:$B,2104,Jan!$J:$J,5)</f>
        <v>0</v>
      </c>
      <c r="C63" s="59">
        <f>COUNTIFS(Feb!$B:$B,2104,Feb!$J:$J,5)</f>
        <v>0</v>
      </c>
      <c r="D63" s="59">
        <f>COUNTIFS(Mar!$B:$B,2104,Mar!$J:$J,5)</f>
        <v>0</v>
      </c>
      <c r="E63" s="59">
        <f>COUNTIFS(Apr!$B:$B,2104,Apr!$J:$J,5)</f>
        <v>0</v>
      </c>
      <c r="F63" s="59">
        <f>COUNTIFS(May!$B:$B,2104,May!$J:$J,5)</f>
        <v>0</v>
      </c>
      <c r="G63" s="59">
        <f>COUNTIFS(Jun!$B:$B,2104,Jun!$J:$J,5)</f>
        <v>0</v>
      </c>
      <c r="H63" s="59">
        <f>COUNTIFS(Jul!$B:$B,2104,Jul!$J:$J,5)</f>
        <v>0</v>
      </c>
      <c r="I63" s="59">
        <f>COUNTIFS(Aug!$B:$B,2104,Aug!$J:$J,5)</f>
        <v>0</v>
      </c>
      <c r="J63" s="59">
        <f>COUNTIFS(Sep!$B:$B,2104,Sep!$J:$J,5)</f>
        <v>0</v>
      </c>
      <c r="K63" s="59">
        <f>COUNTIFS(Oct!$B:$B,2104,Oct!$J:$J,5)</f>
        <v>0</v>
      </c>
      <c r="L63" s="59">
        <f>COUNTIFS(Nov!$B:$B,2104,Nov!$J:$J,5)</f>
        <v>0</v>
      </c>
      <c r="M63" s="59">
        <v>0</v>
      </c>
    </row>
    <row r="64" spans="1:13" s="8" customFormat="1" ht="11.25" customHeight="1">
      <c r="A64" s="52" t="s">
        <v>141</v>
      </c>
      <c r="B64" s="69">
        <f>COUNTIFS(Jan!$B:$B,2104,Jan!$F:$F,456)</f>
        <v>0</v>
      </c>
      <c r="C64" s="69">
        <f>COUNTIFS(Feb!$B:$B,2104,Feb!$F:$F,456)</f>
        <v>0</v>
      </c>
      <c r="D64" s="69">
        <f>COUNTIFS(Mar!$B:$B,2104,Mar!$F:$F,456)</f>
        <v>0</v>
      </c>
      <c r="E64" s="69">
        <f>COUNTIFS(Apr!$B:$B,2104,Apr!$F:$F,456)</f>
        <v>0</v>
      </c>
      <c r="F64" s="69">
        <f>COUNTIFS(May!$B:$B,2104,May!$F:$F,456)</f>
        <v>0</v>
      </c>
      <c r="G64" s="69">
        <f>COUNTIFS(Jun!$B:$B,2104,Jun!$F:$F,456)</f>
        <v>0</v>
      </c>
      <c r="H64" s="69">
        <f>COUNTIFS(Jul!$B:$B,2104,Jul!$F:$F,456)</f>
        <v>0</v>
      </c>
      <c r="I64" s="69">
        <f>COUNTIFS(Aug!$B:$B,2104,Aug!$F:$F,456)</f>
        <v>0</v>
      </c>
      <c r="J64" s="69">
        <f>COUNTIFS(Sep!$B:$B,2104,Sep!$F:$F,456)</f>
        <v>0</v>
      </c>
      <c r="K64" s="69">
        <f>COUNTIFS(Oct!$B:$B,2104,Oct!$F:$F,456)</f>
        <v>0</v>
      </c>
      <c r="L64" s="69">
        <f>COUNTIFS(Nov!$B:$B,2104,Nov!$F:$F,456)</f>
        <v>0</v>
      </c>
      <c r="M64" s="69">
        <v>0</v>
      </c>
    </row>
    <row r="65" spans="1:13" s="8" customFormat="1" ht="11.25" customHeight="1" thickBot="1">
      <c r="A65" s="12" t="s">
        <v>16</v>
      </c>
      <c r="B65" s="70">
        <f>SUM(B54:B64)</f>
        <v>0</v>
      </c>
      <c r="C65" s="70">
        <f t="shared" ref="C65:M65" si="13">SUM(C54:C64)</f>
        <v>0</v>
      </c>
      <c r="D65" s="70">
        <f t="shared" si="13"/>
        <v>0</v>
      </c>
      <c r="E65" s="70">
        <f t="shared" si="13"/>
        <v>0</v>
      </c>
      <c r="F65" s="70">
        <f t="shared" si="13"/>
        <v>0</v>
      </c>
      <c r="G65" s="70">
        <f t="shared" si="13"/>
        <v>0</v>
      </c>
      <c r="H65" s="70">
        <f t="shared" si="13"/>
        <v>1</v>
      </c>
      <c r="I65" s="70">
        <f t="shared" si="13"/>
        <v>1</v>
      </c>
      <c r="J65" s="70">
        <f t="shared" si="13"/>
        <v>0</v>
      </c>
      <c r="K65" s="70">
        <f t="shared" si="13"/>
        <v>0</v>
      </c>
      <c r="L65" s="165">
        <f t="shared" si="13"/>
        <v>0</v>
      </c>
      <c r="M65" s="170">
        <f t="shared" si="13"/>
        <v>0</v>
      </c>
    </row>
    <row r="66" spans="1:13" s="8" customFormat="1" ht="15.75" customHeight="1">
      <c r="A66" s="6"/>
      <c r="B66" s="7"/>
      <c r="C66" s="7"/>
      <c r="D66" s="7"/>
      <c r="E66" s="7"/>
      <c r="F66" s="7"/>
      <c r="G66" s="7"/>
      <c r="H66" s="7"/>
      <c r="I66" s="7"/>
      <c r="J66" s="7"/>
      <c r="K66" s="7"/>
      <c r="L66" s="7"/>
      <c r="M66" s="7"/>
    </row>
    <row r="67" spans="1:13" ht="12" customHeight="1">
      <c r="A67" s="6"/>
      <c r="B67" s="7"/>
      <c r="C67" s="7"/>
      <c r="D67" s="7"/>
      <c r="E67" s="7"/>
      <c r="F67" s="7"/>
      <c r="G67" s="7"/>
      <c r="H67" s="7"/>
      <c r="I67" s="7"/>
      <c r="J67" s="7"/>
      <c r="K67" s="7"/>
      <c r="L67" s="7"/>
      <c r="M67" s="7"/>
    </row>
  </sheetData>
  <phoneticPr fontId="0" type="noConversion"/>
  <printOptions horizontalCentered="1" verticalCentered="1"/>
  <pageMargins left="0.14000000000000001" right="0.16" top="0.25" bottom="0.5" header="0.5" footer="0.25"/>
  <pageSetup scale="95" firstPageNumber="3" orientation="portrait" useFirstPageNumber="1" r:id="rId1"/>
  <headerFooter alignWithMargins="0">
    <oddFooter>&amp;R22 of 51</oddFooter>
  </headerFooter>
  <ignoredErrors>
    <ignoredError sqref="M52 M65" formulaRange="1"/>
  </ignoredErrors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67"/>
  <sheetViews>
    <sheetView view="pageBreakPreview" topLeftCell="A19" zoomScale="90" zoomScaleNormal="100" zoomScaleSheetLayoutView="90" workbookViewId="0">
      <selection activeCell="M32" sqref="M32"/>
    </sheetView>
  </sheetViews>
  <sheetFormatPr defaultRowHeight="12.75"/>
  <cols>
    <col min="1" max="1" width="22.85546875" style="1" customWidth="1"/>
    <col min="2" max="13" width="7.140625" style="1" customWidth="1"/>
    <col min="14" max="14" width="4.42578125" style="1" customWidth="1"/>
    <col min="15" max="16384" width="9.140625" style="1"/>
  </cols>
  <sheetData>
    <row r="1" spans="1:21" ht="18" customHeight="1">
      <c r="A1" s="130"/>
      <c r="B1" s="131"/>
      <c r="C1" s="131"/>
      <c r="D1" s="131"/>
      <c r="E1" s="131"/>
      <c r="F1" s="131"/>
      <c r="G1" s="131"/>
      <c r="H1" s="130"/>
      <c r="I1" s="131"/>
      <c r="J1" s="131"/>
      <c r="K1" s="131"/>
      <c r="L1" s="130"/>
      <c r="M1" s="143" t="s">
        <v>22</v>
      </c>
    </row>
    <row r="2" spans="1:21" ht="18" customHeight="1">
      <c r="A2" s="130"/>
      <c r="B2" s="135"/>
      <c r="C2" s="135"/>
      <c r="D2" s="135"/>
      <c r="E2" s="135"/>
      <c r="F2" s="135"/>
      <c r="G2" s="135"/>
      <c r="H2" s="130"/>
      <c r="I2" s="135"/>
      <c r="J2" s="135"/>
      <c r="K2" s="135"/>
      <c r="L2" s="130"/>
      <c r="M2" s="155" t="s">
        <v>13</v>
      </c>
    </row>
    <row r="3" spans="1:21" s="5" customFormat="1" ht="18" customHeight="1">
      <c r="A3" s="133"/>
      <c r="B3" s="133"/>
      <c r="C3" s="133"/>
      <c r="D3" s="133"/>
      <c r="E3" s="133"/>
      <c r="F3" s="133"/>
      <c r="G3" s="133"/>
      <c r="H3" s="133"/>
      <c r="I3" s="133"/>
      <c r="J3" s="136"/>
      <c r="K3" s="136"/>
      <c r="L3" s="133"/>
      <c r="M3" s="155" t="s">
        <v>63</v>
      </c>
      <c r="N3" s="134"/>
      <c r="O3" s="134"/>
      <c r="P3" s="134"/>
      <c r="Q3" s="134"/>
      <c r="R3" s="134"/>
      <c r="S3" s="134"/>
      <c r="T3" s="134"/>
      <c r="U3" s="134"/>
    </row>
    <row r="4" spans="1:21" s="8" customFormat="1" ht="6.75" customHeight="1" thickBot="1">
      <c r="A4" s="38"/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</row>
    <row r="5" spans="1:21" s="8" customFormat="1" ht="11.25" customHeight="1" thickBot="1">
      <c r="A5" s="53" t="s">
        <v>19</v>
      </c>
      <c r="B5" s="50">
        <v>41275</v>
      </c>
      <c r="C5" s="47">
        <v>41306</v>
      </c>
      <c r="D5" s="47">
        <v>41334</v>
      </c>
      <c r="E5" s="47">
        <v>41365</v>
      </c>
      <c r="F5" s="47">
        <v>41395</v>
      </c>
      <c r="G5" s="47">
        <v>41426</v>
      </c>
      <c r="H5" s="47">
        <v>41456</v>
      </c>
      <c r="I5" s="47">
        <v>41487</v>
      </c>
      <c r="J5" s="47">
        <v>41518</v>
      </c>
      <c r="K5" s="47">
        <v>41548</v>
      </c>
      <c r="L5" s="47">
        <v>41579</v>
      </c>
      <c r="M5" s="51">
        <v>41609</v>
      </c>
    </row>
    <row r="6" spans="1:21" s="8" customFormat="1" ht="11.25" customHeight="1">
      <c r="A6" s="41" t="s">
        <v>129</v>
      </c>
      <c r="B6" s="57">
        <f t="shared" ref="B6:M6" si="0">B32</f>
        <v>23</v>
      </c>
      <c r="C6" s="57">
        <f t="shared" si="0"/>
        <v>18</v>
      </c>
      <c r="D6" s="57">
        <f t="shared" si="0"/>
        <v>25</v>
      </c>
      <c r="E6" s="57">
        <f t="shared" si="0"/>
        <v>13</v>
      </c>
      <c r="F6" s="57">
        <f t="shared" si="0"/>
        <v>17</v>
      </c>
      <c r="G6" s="57">
        <f t="shared" si="0"/>
        <v>33</v>
      </c>
      <c r="H6" s="57">
        <f t="shared" si="0"/>
        <v>28</v>
      </c>
      <c r="I6" s="57">
        <f t="shared" si="0"/>
        <v>24</v>
      </c>
      <c r="J6" s="57">
        <f t="shared" si="0"/>
        <v>43</v>
      </c>
      <c r="K6" s="57">
        <f t="shared" si="0"/>
        <v>23</v>
      </c>
      <c r="L6" s="156">
        <f t="shared" si="0"/>
        <v>28</v>
      </c>
      <c r="M6" s="168">
        <f t="shared" si="0"/>
        <v>22</v>
      </c>
    </row>
    <row r="7" spans="1:21" s="8" customFormat="1" ht="11.25" customHeight="1">
      <c r="A7" s="42" t="s">
        <v>18</v>
      </c>
      <c r="B7" s="57">
        <f t="shared" ref="B7:M7" si="1">SUM(B10:B12)</f>
        <v>44</v>
      </c>
      <c r="C7" s="57">
        <f t="shared" si="1"/>
        <v>28</v>
      </c>
      <c r="D7" s="57">
        <f t="shared" si="1"/>
        <v>47</v>
      </c>
      <c r="E7" s="57">
        <f t="shared" si="1"/>
        <v>47</v>
      </c>
      <c r="F7" s="57">
        <f t="shared" si="1"/>
        <v>54</v>
      </c>
      <c r="G7" s="57">
        <f t="shared" si="1"/>
        <v>64</v>
      </c>
      <c r="H7" s="57">
        <f t="shared" si="1"/>
        <v>84</v>
      </c>
      <c r="I7" s="57">
        <f t="shared" si="1"/>
        <v>67</v>
      </c>
      <c r="J7" s="57">
        <f t="shared" si="1"/>
        <v>60</v>
      </c>
      <c r="K7" s="57">
        <f t="shared" si="1"/>
        <v>43</v>
      </c>
      <c r="L7" s="156">
        <f t="shared" si="1"/>
        <v>50</v>
      </c>
      <c r="M7" s="171">
        <f t="shared" si="1"/>
        <v>39</v>
      </c>
    </row>
    <row r="8" spans="1:21" s="8" customFormat="1" ht="11.25" customHeight="1" thickBot="1">
      <c r="A8" s="43" t="s">
        <v>14</v>
      </c>
      <c r="B8" s="58">
        <f t="shared" ref="B8:M8" si="2">SUM(B6:B7)</f>
        <v>67</v>
      </c>
      <c r="C8" s="58">
        <f t="shared" si="2"/>
        <v>46</v>
      </c>
      <c r="D8" s="58">
        <f t="shared" si="2"/>
        <v>72</v>
      </c>
      <c r="E8" s="58">
        <f t="shared" si="2"/>
        <v>60</v>
      </c>
      <c r="F8" s="58">
        <f t="shared" si="2"/>
        <v>71</v>
      </c>
      <c r="G8" s="58">
        <f t="shared" si="2"/>
        <v>97</v>
      </c>
      <c r="H8" s="58">
        <f t="shared" si="2"/>
        <v>112</v>
      </c>
      <c r="I8" s="58">
        <f t="shared" si="2"/>
        <v>91</v>
      </c>
      <c r="J8" s="58">
        <f t="shared" si="2"/>
        <v>103</v>
      </c>
      <c r="K8" s="58">
        <f t="shared" si="2"/>
        <v>66</v>
      </c>
      <c r="L8" s="157">
        <f t="shared" si="2"/>
        <v>78</v>
      </c>
      <c r="M8" s="172">
        <f t="shared" si="2"/>
        <v>61</v>
      </c>
    </row>
    <row r="9" spans="1:21" s="8" customFormat="1" ht="11.25" customHeight="1" thickBot="1">
      <c r="A9" s="54" t="s">
        <v>18</v>
      </c>
      <c r="B9" s="50">
        <v>41275</v>
      </c>
      <c r="C9" s="47">
        <v>41306</v>
      </c>
      <c r="D9" s="47">
        <v>41334</v>
      </c>
      <c r="E9" s="47">
        <v>41365</v>
      </c>
      <c r="F9" s="47">
        <v>41395</v>
      </c>
      <c r="G9" s="47">
        <v>41426</v>
      </c>
      <c r="H9" s="47">
        <v>41456</v>
      </c>
      <c r="I9" s="47">
        <v>41487</v>
      </c>
      <c r="J9" s="47">
        <v>41518</v>
      </c>
      <c r="K9" s="47">
        <v>41548</v>
      </c>
      <c r="L9" s="47">
        <v>41579</v>
      </c>
      <c r="M9" s="51">
        <v>41609</v>
      </c>
    </row>
    <row r="10" spans="1:21" s="8" customFormat="1" ht="11.25" customHeight="1">
      <c r="A10" s="9" t="s">
        <v>128</v>
      </c>
      <c r="B10" s="57">
        <f t="shared" ref="B10:M10" si="3">B52</f>
        <v>20</v>
      </c>
      <c r="C10" s="57">
        <f t="shared" si="3"/>
        <v>16</v>
      </c>
      <c r="D10" s="57">
        <f t="shared" si="3"/>
        <v>17</v>
      </c>
      <c r="E10" s="57">
        <f t="shared" si="3"/>
        <v>18</v>
      </c>
      <c r="F10" s="57">
        <f t="shared" si="3"/>
        <v>27</v>
      </c>
      <c r="G10" s="59">
        <f t="shared" si="3"/>
        <v>35</v>
      </c>
      <c r="H10" s="59">
        <f t="shared" si="3"/>
        <v>51</v>
      </c>
      <c r="I10" s="59">
        <f t="shared" si="3"/>
        <v>42</v>
      </c>
      <c r="J10" s="59">
        <f t="shared" si="3"/>
        <v>30</v>
      </c>
      <c r="K10" s="59">
        <f t="shared" si="3"/>
        <v>12</v>
      </c>
      <c r="L10" s="158">
        <f t="shared" si="3"/>
        <v>22</v>
      </c>
      <c r="M10" s="168">
        <f t="shared" si="3"/>
        <v>21</v>
      </c>
    </row>
    <row r="11" spans="1:21" s="8" customFormat="1" ht="11.25" customHeight="1">
      <c r="A11" s="9" t="s">
        <v>127</v>
      </c>
      <c r="B11" s="59">
        <f t="shared" ref="B11:M11" si="4">B65</f>
        <v>5</v>
      </c>
      <c r="C11" s="59">
        <f t="shared" si="4"/>
        <v>3</v>
      </c>
      <c r="D11" s="59">
        <f t="shared" si="4"/>
        <v>2</v>
      </c>
      <c r="E11" s="59">
        <f t="shared" si="4"/>
        <v>5</v>
      </c>
      <c r="F11" s="59">
        <f t="shared" si="4"/>
        <v>2</v>
      </c>
      <c r="G11" s="59">
        <f t="shared" si="4"/>
        <v>1</v>
      </c>
      <c r="H11" s="59">
        <f t="shared" si="4"/>
        <v>4</v>
      </c>
      <c r="I11" s="59">
        <f t="shared" si="4"/>
        <v>6</v>
      </c>
      <c r="J11" s="59">
        <f t="shared" si="4"/>
        <v>3</v>
      </c>
      <c r="K11" s="59">
        <f t="shared" si="4"/>
        <v>0</v>
      </c>
      <c r="L11" s="158">
        <f t="shared" si="4"/>
        <v>6</v>
      </c>
      <c r="M11" s="169">
        <f t="shared" si="4"/>
        <v>1</v>
      </c>
    </row>
    <row r="12" spans="1:21" s="8" customFormat="1" ht="11.25" customHeight="1" thickBot="1">
      <c r="A12" s="2" t="s">
        <v>12</v>
      </c>
      <c r="B12" s="60">
        <f>COUNTIFS(Jan!$B:$B,2111,Jan!$F:$F,800)</f>
        <v>19</v>
      </c>
      <c r="C12" s="60">
        <v>9</v>
      </c>
      <c r="D12" s="60">
        <v>28</v>
      </c>
      <c r="E12" s="60">
        <v>24</v>
      </c>
      <c r="F12" s="60">
        <v>25</v>
      </c>
      <c r="G12" s="60">
        <v>28</v>
      </c>
      <c r="H12" s="60">
        <v>29</v>
      </c>
      <c r="I12" s="60">
        <v>19</v>
      </c>
      <c r="J12" s="60">
        <v>27</v>
      </c>
      <c r="K12" s="60">
        <v>31</v>
      </c>
      <c r="L12" s="60">
        <v>22</v>
      </c>
      <c r="M12" s="60">
        <v>17</v>
      </c>
    </row>
    <row r="13" spans="1:21" s="8" customFormat="1" ht="5.0999999999999996" customHeight="1" thickBot="1">
      <c r="A13" s="3"/>
      <c r="B13" s="17"/>
      <c r="C13" s="17"/>
      <c r="D13" s="17"/>
      <c r="E13" s="17"/>
      <c r="F13" s="17"/>
      <c r="G13" s="17"/>
      <c r="H13" s="17"/>
      <c r="I13" s="17"/>
      <c r="J13" s="17"/>
      <c r="K13" s="17"/>
      <c r="L13" s="17"/>
      <c r="M13" s="147"/>
    </row>
    <row r="14" spans="1:21" s="16" customFormat="1" ht="11.25" customHeight="1">
      <c r="A14" s="44" t="s">
        <v>131</v>
      </c>
      <c r="B14" s="120">
        <v>6702</v>
      </c>
      <c r="C14" s="120">
        <v>6549</v>
      </c>
      <c r="D14" s="120">
        <v>7346</v>
      </c>
      <c r="E14" s="120">
        <v>6602</v>
      </c>
      <c r="F14" s="120">
        <v>7241</v>
      </c>
      <c r="G14" s="120">
        <v>7678</v>
      </c>
      <c r="H14" s="119">
        <v>6350</v>
      </c>
      <c r="I14" s="61">
        <v>5818</v>
      </c>
      <c r="J14" s="61">
        <v>7208</v>
      </c>
      <c r="K14" s="118">
        <v>7195</v>
      </c>
      <c r="L14" s="160">
        <v>6567</v>
      </c>
      <c r="M14" s="173">
        <v>7423</v>
      </c>
      <c r="O14" s="22"/>
      <c r="P14" s="22"/>
      <c r="Q14" s="22"/>
    </row>
    <row r="15" spans="1:21" s="8" customFormat="1" ht="11.25" customHeight="1">
      <c r="A15" s="45" t="s">
        <v>132</v>
      </c>
      <c r="B15" s="62">
        <f>IFERROR((SUMIFS(Jan!$N:$N,Jan!$J:$J,1,Jan!$B:$B,2111)+SUMIFS(Jan!$N:$N,Jan!$D:$D,"&gt;1",Jan!$B:$B,2111))/(COUNTIFS(Jan!$J:$J,1,Jan!$B:$B,2111)+COUNTIFS(Jan!$D:$D,"&gt;1",Jan!$B:$B,2111)),"")</f>
        <v>26.208333333333332</v>
      </c>
      <c r="C15" s="62">
        <v>27.59</v>
      </c>
      <c r="D15" s="62">
        <v>25.98</v>
      </c>
      <c r="E15" s="62">
        <v>26.16</v>
      </c>
      <c r="F15" s="62">
        <v>29.8</v>
      </c>
      <c r="G15" s="62">
        <v>26.72</v>
      </c>
      <c r="H15" s="62">
        <v>27.75</v>
      </c>
      <c r="I15" s="62">
        <v>27.82</v>
      </c>
      <c r="J15" s="62">
        <v>27.19</v>
      </c>
      <c r="K15" s="62">
        <v>29.53</v>
      </c>
      <c r="L15" s="62">
        <v>26.56</v>
      </c>
      <c r="M15" s="62">
        <v>26.54</v>
      </c>
      <c r="N15" s="15"/>
      <c r="O15" s="1"/>
      <c r="P15" s="1"/>
      <c r="Q15" s="1"/>
    </row>
    <row r="16" spans="1:21" s="8" customFormat="1" ht="11.25" customHeight="1">
      <c r="A16" s="45" t="s">
        <v>133</v>
      </c>
      <c r="B16" s="62">
        <f>IFERROR(AVERAGEIFS(Jan!$N:$N,Jan!$F:$F,800,Jan!$B:$B,2111),"")</f>
        <v>27.210526315789473</v>
      </c>
      <c r="C16" s="62">
        <v>28.82</v>
      </c>
      <c r="D16" s="62">
        <v>29.07</v>
      </c>
      <c r="E16" s="62">
        <v>27.8</v>
      </c>
      <c r="F16" s="62">
        <v>28</v>
      </c>
      <c r="G16" s="62">
        <v>27.64</v>
      </c>
      <c r="H16" s="62">
        <v>29.86</v>
      </c>
      <c r="I16" s="62">
        <v>32.6</v>
      </c>
      <c r="J16" s="62">
        <v>30.44</v>
      </c>
      <c r="K16" s="62">
        <v>29.52</v>
      </c>
      <c r="L16" s="62">
        <v>29.22</v>
      </c>
      <c r="M16" s="62">
        <v>28.72</v>
      </c>
      <c r="O16" s="1"/>
      <c r="P16" s="1"/>
      <c r="Q16" s="1"/>
    </row>
    <row r="17" spans="1:17" s="8" customFormat="1" ht="11.25" customHeight="1">
      <c r="A17" s="45" t="s">
        <v>134</v>
      </c>
      <c r="B17" s="63">
        <f>IFERROR((SUMIFS(Jan!$M:$M,Jan!$J:$J,1,Jan!$B:$B,2111)+SUMIFS(Jan!$M:$M,Jan!$D:$D,"&gt;1",Jan!$B:$B,2111))/(COUNTIFS(Jan!$J:$J,1,Jan!$B:$B,2111)+COUNTIFS(Jan!$D:$D,"&gt;1",Jan!$B:$B,2111)),"")</f>
        <v>2.5249999999999999</v>
      </c>
      <c r="C17" s="63">
        <v>2.91</v>
      </c>
      <c r="D17" s="63">
        <v>4.2300000000000004</v>
      </c>
      <c r="E17" s="63">
        <v>3.37</v>
      </c>
      <c r="F17" s="63">
        <v>2.4300000000000002</v>
      </c>
      <c r="G17" s="63">
        <v>4.4000000000000004</v>
      </c>
      <c r="H17" s="63">
        <v>2.39</v>
      </c>
      <c r="I17" s="63">
        <v>2.67</v>
      </c>
      <c r="J17" s="63">
        <v>3.87</v>
      </c>
      <c r="K17" s="63">
        <v>3.72</v>
      </c>
      <c r="L17" s="63">
        <v>2.58</v>
      </c>
      <c r="M17" s="63">
        <v>1.52</v>
      </c>
      <c r="O17" s="1"/>
      <c r="P17" s="1"/>
      <c r="Q17" s="1"/>
    </row>
    <row r="18" spans="1:17" s="8" customFormat="1" ht="11.25" customHeight="1" thickBot="1">
      <c r="A18" s="43" t="s">
        <v>135</v>
      </c>
      <c r="B18" s="64">
        <f>IFERROR(AVERAGEIFS(Jan!$M:$M,Jan!$F:$F,800,Jan!$B:$B,2111),"")</f>
        <v>3.0736842105263151</v>
      </c>
      <c r="C18" s="64">
        <v>0.81</v>
      </c>
      <c r="D18" s="64">
        <v>3.65</v>
      </c>
      <c r="E18" s="64">
        <v>2.94</v>
      </c>
      <c r="F18" s="64">
        <v>3.86</v>
      </c>
      <c r="G18" s="64">
        <v>2.91</v>
      </c>
      <c r="H18" s="64">
        <v>1.23</v>
      </c>
      <c r="I18" s="64">
        <v>3.1</v>
      </c>
      <c r="J18" s="64">
        <v>1.68</v>
      </c>
      <c r="K18" s="64">
        <v>3.93</v>
      </c>
      <c r="L18" s="64">
        <v>1.24</v>
      </c>
      <c r="M18" s="64">
        <v>0.51</v>
      </c>
    </row>
    <row r="19" spans="1:17" s="8" customFormat="1" ht="5.0999999999999996" customHeight="1" thickBot="1">
      <c r="A19" s="3"/>
      <c r="B19" s="17"/>
      <c r="C19" s="17"/>
      <c r="D19" s="17"/>
      <c r="E19" s="17"/>
      <c r="F19" s="17"/>
      <c r="G19" s="17"/>
      <c r="H19" s="17"/>
      <c r="I19" s="17"/>
      <c r="J19" s="17"/>
      <c r="K19" s="17"/>
      <c r="L19" s="17"/>
      <c r="M19" s="147"/>
    </row>
    <row r="20" spans="1:17" s="8" customFormat="1" ht="11.25" customHeight="1">
      <c r="A20" s="42" t="s">
        <v>52</v>
      </c>
      <c r="B20" s="65">
        <v>31</v>
      </c>
      <c r="C20" s="65">
        <v>28</v>
      </c>
      <c r="D20" s="65">
        <v>31</v>
      </c>
      <c r="E20" s="65">
        <v>30</v>
      </c>
      <c r="F20" s="65">
        <v>31</v>
      </c>
      <c r="G20" s="65">
        <v>30</v>
      </c>
      <c r="H20" s="65">
        <v>31</v>
      </c>
      <c r="I20" s="65">
        <v>31</v>
      </c>
      <c r="J20" s="65">
        <v>30</v>
      </c>
      <c r="K20" s="65">
        <v>31</v>
      </c>
      <c r="L20" s="161">
        <v>30</v>
      </c>
      <c r="M20" s="174">
        <v>31</v>
      </c>
    </row>
    <row r="21" spans="1:17" s="8" customFormat="1" ht="11.25" customHeight="1">
      <c r="A21" s="9" t="s">
        <v>15</v>
      </c>
      <c r="B21" s="66">
        <f>B12/B20</f>
        <v>0.61290322580645162</v>
      </c>
      <c r="C21" s="66">
        <f t="shared" ref="C21:M21" si="5">C12/C20</f>
        <v>0.32142857142857145</v>
      </c>
      <c r="D21" s="66">
        <f>D12/D20</f>
        <v>0.90322580645161288</v>
      </c>
      <c r="E21" s="66">
        <f>E12/E20</f>
        <v>0.8</v>
      </c>
      <c r="F21" s="66">
        <f>F12/F20</f>
        <v>0.80645161290322576</v>
      </c>
      <c r="G21" s="66">
        <f>G12/G20</f>
        <v>0.93333333333333335</v>
      </c>
      <c r="H21" s="66">
        <f t="shared" si="5"/>
        <v>0.93548387096774188</v>
      </c>
      <c r="I21" s="66">
        <f t="shared" si="5"/>
        <v>0.61290322580645162</v>
      </c>
      <c r="J21" s="66">
        <f t="shared" si="5"/>
        <v>0.9</v>
      </c>
      <c r="K21" s="66">
        <f t="shared" si="5"/>
        <v>1</v>
      </c>
      <c r="L21" s="162">
        <f t="shared" si="5"/>
        <v>0.73333333333333328</v>
      </c>
      <c r="M21" s="175">
        <f t="shared" si="5"/>
        <v>0.54838709677419351</v>
      </c>
    </row>
    <row r="22" spans="1:17" s="8" customFormat="1" ht="11.25" customHeight="1">
      <c r="A22" s="9" t="s">
        <v>130</v>
      </c>
      <c r="B22" s="67">
        <f t="shared" ref="B22:G22" si="6">IFERROR(B12/B7,0)</f>
        <v>0.43181818181818182</v>
      </c>
      <c r="C22" s="67">
        <f t="shared" si="6"/>
        <v>0.32142857142857145</v>
      </c>
      <c r="D22" s="67">
        <f t="shared" si="6"/>
        <v>0.5957446808510638</v>
      </c>
      <c r="E22" s="67">
        <f t="shared" si="6"/>
        <v>0.51063829787234039</v>
      </c>
      <c r="F22" s="67">
        <f t="shared" si="6"/>
        <v>0.46296296296296297</v>
      </c>
      <c r="G22" s="67">
        <f t="shared" si="6"/>
        <v>0.4375</v>
      </c>
      <c r="H22" s="67">
        <f t="shared" ref="H22:M22" si="7">IFERROR(H12/H7,0)</f>
        <v>0.34523809523809523</v>
      </c>
      <c r="I22" s="67">
        <f t="shared" si="7"/>
        <v>0.28358208955223879</v>
      </c>
      <c r="J22" s="67">
        <f t="shared" si="7"/>
        <v>0.45</v>
      </c>
      <c r="K22" s="116">
        <f t="shared" si="7"/>
        <v>0.72093023255813948</v>
      </c>
      <c r="L22" s="67">
        <f t="shared" si="7"/>
        <v>0.44</v>
      </c>
      <c r="M22" s="176">
        <f t="shared" si="7"/>
        <v>0.4358974358974359</v>
      </c>
      <c r="N22" s="1"/>
    </row>
    <row r="23" spans="1:17" s="8" customFormat="1" ht="11.25" customHeight="1" thickBot="1">
      <c r="A23" s="9" t="s">
        <v>53</v>
      </c>
      <c r="B23" s="67">
        <f t="shared" ref="B23:G23" si="8">IFERROR(B12/(B11+B12),0)</f>
        <v>0.79166666666666663</v>
      </c>
      <c r="C23" s="67">
        <f t="shared" si="8"/>
        <v>0.75</v>
      </c>
      <c r="D23" s="67">
        <f t="shared" si="8"/>
        <v>0.93333333333333335</v>
      </c>
      <c r="E23" s="67">
        <f t="shared" si="8"/>
        <v>0.82758620689655171</v>
      </c>
      <c r="F23" s="67">
        <f t="shared" si="8"/>
        <v>0.92592592592592593</v>
      </c>
      <c r="G23" s="67">
        <f t="shared" si="8"/>
        <v>0.96551724137931039</v>
      </c>
      <c r="H23" s="67">
        <f t="shared" ref="H23:M23" si="9">IFERROR(H12/(H11+H12),0)</f>
        <v>0.87878787878787878</v>
      </c>
      <c r="I23" s="67">
        <f t="shared" si="9"/>
        <v>0.76</v>
      </c>
      <c r="J23" s="67">
        <f t="shared" si="9"/>
        <v>0.9</v>
      </c>
      <c r="K23" s="117">
        <f t="shared" si="9"/>
        <v>1</v>
      </c>
      <c r="L23" s="163">
        <f t="shared" si="9"/>
        <v>0.7857142857142857</v>
      </c>
      <c r="M23" s="177">
        <f t="shared" si="9"/>
        <v>0.94444444444444442</v>
      </c>
      <c r="N23" s="4"/>
    </row>
    <row r="24" spans="1:17" s="8" customFormat="1" ht="11.25" customHeight="1" thickBot="1">
      <c r="A24" s="53" t="s">
        <v>21</v>
      </c>
      <c r="B24" s="50">
        <v>41275</v>
      </c>
      <c r="C24" s="47">
        <v>41306</v>
      </c>
      <c r="D24" s="47">
        <v>41334</v>
      </c>
      <c r="E24" s="47">
        <v>41365</v>
      </c>
      <c r="F24" s="47">
        <v>41395</v>
      </c>
      <c r="G24" s="47">
        <v>41426</v>
      </c>
      <c r="H24" s="47">
        <v>41456</v>
      </c>
      <c r="I24" s="47">
        <v>41487</v>
      </c>
      <c r="J24" s="47">
        <v>41518</v>
      </c>
      <c r="K24" s="47">
        <v>41548</v>
      </c>
      <c r="L24" s="47">
        <v>41579</v>
      </c>
      <c r="M24" s="51">
        <v>41609</v>
      </c>
    </row>
    <row r="25" spans="1:17" s="8" customFormat="1" ht="11.25" customHeight="1">
      <c r="A25" s="18" t="s">
        <v>5</v>
      </c>
      <c r="B25" s="68">
        <f>COUNTIFS(Jan!$B:$B,2111,Jan!$J:$J,18)</f>
        <v>11</v>
      </c>
      <c r="C25" s="68">
        <v>9</v>
      </c>
      <c r="D25" s="68">
        <v>8</v>
      </c>
      <c r="E25" s="68">
        <v>4</v>
      </c>
      <c r="F25" s="68">
        <v>1</v>
      </c>
      <c r="G25" s="68">
        <v>4</v>
      </c>
      <c r="H25" s="68">
        <v>8</v>
      </c>
      <c r="I25" s="68">
        <v>10</v>
      </c>
      <c r="J25" s="68">
        <v>12</v>
      </c>
      <c r="K25" s="68">
        <v>6</v>
      </c>
      <c r="L25" s="68">
        <v>7</v>
      </c>
      <c r="M25" s="68">
        <v>7</v>
      </c>
    </row>
    <row r="26" spans="1:17" s="8" customFormat="1" ht="11.25" customHeight="1">
      <c r="A26" s="46" t="s">
        <v>40</v>
      </c>
      <c r="B26" s="57">
        <f>COUNTIFS(Jan!$B:$B,2111,Jan!$J:$J,41)</f>
        <v>0</v>
      </c>
      <c r="C26" s="57">
        <f>COUNTIFS(Feb!$B:$B,2111,Feb!$J:$J,41)</f>
        <v>0</v>
      </c>
      <c r="D26" s="57">
        <f>COUNTIFS(Mar!$B:$B,2111,Mar!$J:$J,41)</f>
        <v>0</v>
      </c>
      <c r="E26" s="57">
        <f>COUNTIFS(Apr!$B:$B,2111,Apr!$J:$J,41)</f>
        <v>0</v>
      </c>
      <c r="F26" s="57">
        <f>COUNTIFS(May!$B:$B,2111,May!$J:$J,41)</f>
        <v>0</v>
      </c>
      <c r="G26" s="57">
        <v>7</v>
      </c>
      <c r="H26" s="57">
        <f>COUNTIFS(Jul!$B:$B,2111,Jul!$J:$J,41)</f>
        <v>0</v>
      </c>
      <c r="I26" s="57">
        <f>COUNTIFS(Aug!$B:$B,2111,Aug!$J:$J,41)</f>
        <v>0</v>
      </c>
      <c r="J26" s="57">
        <f>COUNTIFS(Sep!$B:$B,2111,Sep!$J:$J,41)</f>
        <v>0</v>
      </c>
      <c r="K26" s="57">
        <f>COUNTIFS(Oct!$B:$B,2111,Oct!$J:$J,41)</f>
        <v>0</v>
      </c>
      <c r="L26" s="57">
        <v>0</v>
      </c>
      <c r="M26" s="57">
        <v>0</v>
      </c>
    </row>
    <row r="27" spans="1:17" s="8" customFormat="1" ht="11.25" customHeight="1">
      <c r="A27" s="9" t="s">
        <v>11</v>
      </c>
      <c r="B27" s="179">
        <f>COUNTIFS(Jan!$B:$B,2111,Jan!$J:$J,17)</f>
        <v>12</v>
      </c>
      <c r="C27" s="206">
        <v>9</v>
      </c>
      <c r="D27" s="206">
        <v>16</v>
      </c>
      <c r="E27" s="206">
        <v>9</v>
      </c>
      <c r="F27" s="206">
        <v>15</v>
      </c>
      <c r="G27" s="206">
        <v>21</v>
      </c>
      <c r="H27" s="206">
        <v>20</v>
      </c>
      <c r="I27" s="206">
        <v>11</v>
      </c>
      <c r="J27" s="206">
        <v>29</v>
      </c>
      <c r="K27" s="206">
        <v>16</v>
      </c>
      <c r="L27" s="206">
        <v>20</v>
      </c>
      <c r="M27" s="206">
        <v>15</v>
      </c>
    </row>
    <row r="28" spans="1:17" s="8" customFormat="1" ht="11.25" customHeight="1">
      <c r="A28" s="9" t="s">
        <v>143</v>
      </c>
      <c r="B28" s="59">
        <f>COUNTIFS(Jan!$B:$B,2111,Jan!$F:$F,455)</f>
        <v>0</v>
      </c>
      <c r="C28" s="59">
        <f>COUNTIFS(Feb!$B:$B,2111,Feb!$F:$F,455)</f>
        <v>0</v>
      </c>
      <c r="D28" s="59">
        <f>COUNTIFS(Mar!$B:$B,2111,Mar!$F:$F,455)</f>
        <v>0</v>
      </c>
      <c r="E28" s="59">
        <f>COUNTIFS(Apr!$B:$B,2111,Apr!$F:$F,455)</f>
        <v>0</v>
      </c>
      <c r="F28" s="59">
        <f>COUNTIFS(May!$B:$B,2111,May!$F:$F,455)</f>
        <v>0</v>
      </c>
      <c r="G28" s="59">
        <f>COUNTIFS(Jun!$B:$B,2111,Jun!$F:$F,455)</f>
        <v>0</v>
      </c>
      <c r="H28" s="59">
        <f>COUNTIFS(Jul!$B:$B,2111,Jul!$F:$F,455)</f>
        <v>0</v>
      </c>
      <c r="I28" s="59">
        <f>COUNTIFS(Aug!$B:$B,2111,Aug!$F:$F,455)</f>
        <v>0</v>
      </c>
      <c r="J28" s="59">
        <f>COUNTIFS(Sep!$B:$B,2111,Sep!$F:$F,455)</f>
        <v>0</v>
      </c>
      <c r="K28" s="59">
        <f>COUNTIFS(Oct!$B:$B,2111,Oct!$F:$F,455)</f>
        <v>0</v>
      </c>
      <c r="L28" s="59">
        <f>COUNTIFS(Nov!$B:$B,2111,Nov!$F:$F,455)</f>
        <v>0</v>
      </c>
      <c r="M28" s="59">
        <v>0</v>
      </c>
    </row>
    <row r="29" spans="1:17" s="8" customFormat="1" ht="11.25" customHeight="1">
      <c r="A29" s="9" t="s">
        <v>23</v>
      </c>
      <c r="B29" s="59">
        <f>COUNTIFS(Jan!$B:$B,2111,Jan!$J:$J,31)</f>
        <v>0</v>
      </c>
      <c r="C29" s="59">
        <f>COUNTIFS(Feb!$B:$B,2111,Feb!$J:$J,31)</f>
        <v>0</v>
      </c>
      <c r="D29" s="59">
        <f>COUNTIFS(Mar!$B:$B,2111,Mar!$J:$J,31)</f>
        <v>0</v>
      </c>
      <c r="E29" s="59">
        <f>COUNTIFS(Apr!$B:$B,2111,Apr!$J:$J,31)</f>
        <v>0</v>
      </c>
      <c r="F29" s="59">
        <f>COUNTIFS(May!$B:$B,2111,May!$J:$J,31)</f>
        <v>0</v>
      </c>
      <c r="G29" s="59">
        <f>COUNTIFS(Jun!$B:$B,2111,Jun!$J:$J,31)</f>
        <v>0</v>
      </c>
      <c r="H29" s="59">
        <f>COUNTIFS(Jul!$B:$B,2111,Jul!$J:$J,31)</f>
        <v>0</v>
      </c>
      <c r="I29" s="59">
        <f>COUNTIFS(Aug!$B:$B,2111,Aug!$J:$J,31)</f>
        <v>0</v>
      </c>
      <c r="J29" s="59">
        <f>COUNTIFS(Sep!$B:$B,2111,Sep!$J:$J,31)</f>
        <v>0</v>
      </c>
      <c r="K29" s="59">
        <f>COUNTIFS(Oct!$B:$B,2111,Oct!$J:$J,31)</f>
        <v>0</v>
      </c>
      <c r="L29" s="59">
        <f>COUNTIFS(Nov!$B:$B,2111,Nov!$J:$J,31)</f>
        <v>0</v>
      </c>
      <c r="M29" s="59">
        <v>0</v>
      </c>
    </row>
    <row r="30" spans="1:17" s="8" customFormat="1" ht="11.25" customHeight="1">
      <c r="A30" s="9" t="s">
        <v>37</v>
      </c>
      <c r="B30" s="59">
        <f>COUNTIFS(Jan!$B:$B,2111,Jan!$J:$J,4400)</f>
        <v>0</v>
      </c>
      <c r="C30" s="59">
        <f>COUNTIFS(Feb!$B:$B,2111,Feb!$J:$J,4400)</f>
        <v>0</v>
      </c>
      <c r="D30" s="59">
        <v>1</v>
      </c>
      <c r="E30" s="59">
        <f>COUNTIFS(Apr!$B:$B,2111,Apr!$J:$J,4400)</f>
        <v>0</v>
      </c>
      <c r="F30" s="59">
        <v>1</v>
      </c>
      <c r="G30" s="59">
        <v>1</v>
      </c>
      <c r="H30" s="59">
        <f>COUNTIFS(Jul!$B:$B,2111,Jul!$J:$J,4400)</f>
        <v>0</v>
      </c>
      <c r="I30" s="59">
        <v>3</v>
      </c>
      <c r="J30" s="59">
        <v>2</v>
      </c>
      <c r="K30" s="59">
        <v>1</v>
      </c>
      <c r="L30" s="59">
        <v>1</v>
      </c>
      <c r="M30" s="59">
        <v>0</v>
      </c>
    </row>
    <row r="31" spans="1:17" s="8" customFormat="1" ht="11.25" customHeight="1">
      <c r="A31" s="10" t="s">
        <v>24</v>
      </c>
      <c r="B31" s="59">
        <f>COUNTIFS(Jan!$B:$B,2111,Jan!$J:$J,30)</f>
        <v>0</v>
      </c>
      <c r="C31" s="59">
        <f>COUNTIFS(Feb!$B:$B,2111,Feb!$J:$J,30)</f>
        <v>0</v>
      </c>
      <c r="D31" s="59">
        <f>COUNTIFS(Mar!$B:$B,2111,Mar!$J:$J,30)</f>
        <v>0</v>
      </c>
      <c r="E31" s="59">
        <f>COUNTIFS(Apr!$B:$B,2111,Apr!$J:$J,30)</f>
        <v>0</v>
      </c>
      <c r="F31" s="59">
        <f>COUNTIFS(May!$B:$B,2111,May!$J:$J,30)</f>
        <v>0</v>
      </c>
      <c r="G31" s="59">
        <f>COUNTIFS(Jun!$B:$B,2111,Jun!$J:$J,30)</f>
        <v>0</v>
      </c>
      <c r="H31" s="59">
        <f>COUNTIFS(Jul!$B:$B,2111,Jul!$J:$J,30)</f>
        <v>0</v>
      </c>
      <c r="I31" s="59">
        <f>COUNTIFS(Aug!$B:$B,2111,Aug!$J:$J,30)</f>
        <v>0</v>
      </c>
      <c r="J31" s="59">
        <f>COUNTIFS(Sep!$B:$B,2111,Sep!$J:$J,30)</f>
        <v>0</v>
      </c>
      <c r="K31" s="59">
        <f>COUNTIFS(Oct!$B:$B,2111,Oct!$J:$J,30)</f>
        <v>0</v>
      </c>
      <c r="L31" s="59">
        <f>COUNTIFS(Nov!$B:$B,2111,Nov!$J:$J,30)</f>
        <v>0</v>
      </c>
      <c r="M31" s="59">
        <v>0</v>
      </c>
    </row>
    <row r="32" spans="1:17" s="14" customFormat="1" ht="11.25" customHeight="1" thickBot="1">
      <c r="A32" s="2" t="s">
        <v>140</v>
      </c>
      <c r="B32" s="60">
        <f>SUM(B25:B31)</f>
        <v>23</v>
      </c>
      <c r="C32" s="60">
        <f t="shared" ref="C32:M32" si="10">SUM(C25:C31)</f>
        <v>18</v>
      </c>
      <c r="D32" s="60">
        <f>SUM(D25:D31)</f>
        <v>25</v>
      </c>
      <c r="E32" s="60">
        <f>SUM(E25:E31)</f>
        <v>13</v>
      </c>
      <c r="F32" s="60">
        <f>SUM(F25:F31)</f>
        <v>17</v>
      </c>
      <c r="G32" s="60">
        <f>SUM(G25:G31)</f>
        <v>33</v>
      </c>
      <c r="H32" s="60">
        <f t="shared" si="10"/>
        <v>28</v>
      </c>
      <c r="I32" s="60">
        <f t="shared" si="10"/>
        <v>24</v>
      </c>
      <c r="J32" s="60">
        <f t="shared" si="10"/>
        <v>43</v>
      </c>
      <c r="K32" s="60">
        <f t="shared" si="10"/>
        <v>23</v>
      </c>
      <c r="L32" s="159">
        <f t="shared" si="10"/>
        <v>28</v>
      </c>
      <c r="M32" s="170">
        <f t="shared" si="10"/>
        <v>22</v>
      </c>
    </row>
    <row r="33" spans="1:13" ht="12" customHeight="1" thickBot="1">
      <c r="A33" s="55" t="s">
        <v>136</v>
      </c>
      <c r="B33" s="50">
        <v>41275</v>
      </c>
      <c r="C33" s="47">
        <v>41306</v>
      </c>
      <c r="D33" s="47">
        <v>41334</v>
      </c>
      <c r="E33" s="47">
        <v>41365</v>
      </c>
      <c r="F33" s="47">
        <v>41395</v>
      </c>
      <c r="G33" s="47">
        <v>41426</v>
      </c>
      <c r="H33" s="47">
        <v>41456</v>
      </c>
      <c r="I33" s="47">
        <v>41487</v>
      </c>
      <c r="J33" s="47">
        <v>41518</v>
      </c>
      <c r="K33" s="47">
        <v>41548</v>
      </c>
      <c r="L33" s="47">
        <v>41579</v>
      </c>
      <c r="M33" s="51">
        <v>41609</v>
      </c>
    </row>
    <row r="34" spans="1:13" s="8" customFormat="1" ht="11.25" customHeight="1">
      <c r="A34" s="46" t="s">
        <v>33</v>
      </c>
      <c r="B34" s="57">
        <f>COUNTIFS(Jan!$B:$B,2111,Jan!$J:$J,40)</f>
        <v>0</v>
      </c>
      <c r="C34" s="57">
        <f>COUNTIFS(Feb!$B:$B,2111,Feb!$J:$J,40)</f>
        <v>0</v>
      </c>
      <c r="D34" s="57">
        <f>COUNTIFS(Mar!$B:$B,2111,Mar!$J:$J,40)</f>
        <v>0</v>
      </c>
      <c r="E34" s="57">
        <f>COUNTIFS(Apr!$B:$B,2111,Apr!$J:$J,40)</f>
        <v>0</v>
      </c>
      <c r="F34" s="57">
        <f>COUNTIFS(May!$B:$B,2111,May!$J:$J,40)</f>
        <v>0</v>
      </c>
      <c r="G34" s="57">
        <f>COUNTIFS(Jun!$B:$B,2111,Jun!$J:$J,40)</f>
        <v>0</v>
      </c>
      <c r="H34" s="57">
        <f>COUNTIFS(Jul!$B:$B,2111,Jul!$J:$J,40)</f>
        <v>0</v>
      </c>
      <c r="I34" s="57">
        <f>COUNTIFS(Aug!$B:$B,2111,Aug!$J:$J,40)</f>
        <v>0</v>
      </c>
      <c r="J34" s="57">
        <v>1</v>
      </c>
      <c r="K34" s="57">
        <f>COUNTIFS(Oct!$B:$B,2111,Oct!$J:$J,40)</f>
        <v>0</v>
      </c>
      <c r="L34" s="57">
        <f>COUNTIFS(Nov!$B:$B,2111,Nov!$J:$J,40)</f>
        <v>0</v>
      </c>
      <c r="M34" s="57">
        <v>0</v>
      </c>
    </row>
    <row r="35" spans="1:13" s="8" customFormat="1" ht="11.25" customHeight="1">
      <c r="A35" s="10" t="s">
        <v>4</v>
      </c>
      <c r="B35" s="59">
        <f>COUNTIFS(Jan!$B:$B,2111,Jan!$J:$J,15)</f>
        <v>0</v>
      </c>
      <c r="C35" s="59">
        <f>COUNTIFS(Feb!$B:$B,2111,Feb!$J:$J,15)</f>
        <v>0</v>
      </c>
      <c r="D35" s="59">
        <v>1</v>
      </c>
      <c r="E35" s="59">
        <f>COUNTIFS(Apr!$B:$B,2111,Apr!$J:$J,15)</f>
        <v>0</v>
      </c>
      <c r="F35" s="59">
        <v>1</v>
      </c>
      <c r="G35" s="59">
        <v>2</v>
      </c>
      <c r="H35" s="59">
        <v>1</v>
      </c>
      <c r="I35" s="59">
        <f>COUNTIFS(Aug!$B:$B,2111,Aug!$J:$J,15)</f>
        <v>0</v>
      </c>
      <c r="J35" s="59">
        <v>2</v>
      </c>
      <c r="K35" s="59">
        <f>COUNTIFS(Oct!$B:$B,2111,Oct!$J:$J,15)</f>
        <v>0</v>
      </c>
      <c r="L35" s="59">
        <f>COUNTIFS(Nov!$B:$B,2111,Nov!$J:$J,15)</f>
        <v>0</v>
      </c>
      <c r="M35" s="59">
        <v>0</v>
      </c>
    </row>
    <row r="36" spans="1:13" s="8" customFormat="1" ht="11.25" customHeight="1">
      <c r="A36" s="10" t="s">
        <v>39</v>
      </c>
      <c r="B36" s="59">
        <f>COUNTIFS(Jan!$B:$B,2111,Jan!$J:$J,29)</f>
        <v>7</v>
      </c>
      <c r="C36" s="59">
        <v>5</v>
      </c>
      <c r="D36" s="59">
        <v>4</v>
      </c>
      <c r="E36" s="59">
        <v>4</v>
      </c>
      <c r="F36" s="59">
        <v>2</v>
      </c>
      <c r="G36" s="59">
        <v>6</v>
      </c>
      <c r="H36" s="59">
        <v>8</v>
      </c>
      <c r="I36" s="59">
        <v>2</v>
      </c>
      <c r="J36" s="59">
        <v>3</v>
      </c>
      <c r="K36" s="59">
        <v>7</v>
      </c>
      <c r="L36" s="59">
        <v>1</v>
      </c>
      <c r="M36" s="59">
        <v>2</v>
      </c>
    </row>
    <row r="37" spans="1:13" s="8" customFormat="1" ht="11.25" customHeight="1">
      <c r="A37" s="10" t="s">
        <v>3</v>
      </c>
      <c r="B37" s="59">
        <f>COUNTIFS(Jan!$B:$B,2111,Jan!$J:$J,13)</f>
        <v>1</v>
      </c>
      <c r="C37" s="59">
        <f>COUNTIFS(Feb!$B:$B,2111,Feb!$J:$J,13)</f>
        <v>0</v>
      </c>
      <c r="D37" s="59">
        <f>COUNTIFS(Mar!$B:$B,2111,Mar!$J:$J,13)</f>
        <v>0</v>
      </c>
      <c r="E37" s="59">
        <f>COUNTIFS(Apr!$B:$B,2111,Apr!$J:$J,13)</f>
        <v>0</v>
      </c>
      <c r="F37" s="59">
        <v>1</v>
      </c>
      <c r="G37" s="59">
        <v>1</v>
      </c>
      <c r="H37" s="59">
        <f>COUNTIFS(Jul!$B:$B,2111,Jul!$J:$J,13)</f>
        <v>0</v>
      </c>
      <c r="I37" s="59">
        <v>1</v>
      </c>
      <c r="J37" s="59">
        <v>2</v>
      </c>
      <c r="K37" s="59">
        <f>COUNTIFS(Oct!$B:$B,2111,Oct!$J:$J,13)</f>
        <v>0</v>
      </c>
      <c r="L37" s="59">
        <f>COUNTIFS(Nov!$B:$B,2111,Nov!$J:$J,13)</f>
        <v>0</v>
      </c>
      <c r="M37" s="59">
        <v>1</v>
      </c>
    </row>
    <row r="38" spans="1:13" s="8" customFormat="1" ht="11.25" customHeight="1">
      <c r="A38" s="9" t="s">
        <v>218</v>
      </c>
      <c r="B38" s="59">
        <f>COUNTIFS(Jan!$B:$B,2111,Jan!$J:$J,43)</f>
        <v>1</v>
      </c>
      <c r="C38" s="59">
        <f>COUNTIFS(Feb!$B:$B,2111,Feb!$J:$J,43)</f>
        <v>0</v>
      </c>
      <c r="D38" s="59">
        <f>COUNTIFS(Mar!$B:$B,2111,Mar!$J:$J,43)</f>
        <v>0</v>
      </c>
      <c r="E38" s="59">
        <f>COUNTIFS(Apr!$B:$B,2111,Apr!$J:$J,43)</f>
        <v>0</v>
      </c>
      <c r="F38" s="59">
        <f>COUNTIFS(May!$B:$B,2111,May!$J:$J,43)</f>
        <v>0</v>
      </c>
      <c r="G38" s="59">
        <f>COUNTIFS(Jun!$B:$B,2111,Jun!$J:$J,43)</f>
        <v>0</v>
      </c>
      <c r="H38" s="59">
        <v>2</v>
      </c>
      <c r="I38" s="59">
        <f>COUNTIFS(Aug!$B:$B,2111,Aug!$J:$J,43)</f>
        <v>0</v>
      </c>
      <c r="J38" s="59">
        <f>COUNTIFS(Sep!$B:$B,2111,Sep!$J:$J,43)</f>
        <v>0</v>
      </c>
      <c r="K38" s="59">
        <f>COUNTIFS(Oct!$B:$B,2111,Oct!$J:$J,43)</f>
        <v>0</v>
      </c>
      <c r="L38" s="59">
        <v>2</v>
      </c>
      <c r="M38" s="59">
        <v>2</v>
      </c>
    </row>
    <row r="39" spans="1:13" s="8" customFormat="1" ht="11.25" customHeight="1">
      <c r="A39" s="10" t="s">
        <v>25</v>
      </c>
      <c r="B39" s="59">
        <f>COUNTIFS(Jan!$B:$B,2111,Jan!$J:$J,24)</f>
        <v>3</v>
      </c>
      <c r="C39" s="59">
        <v>4</v>
      </c>
      <c r="D39" s="59">
        <v>5</v>
      </c>
      <c r="E39" s="59">
        <v>9</v>
      </c>
      <c r="F39" s="59">
        <v>12</v>
      </c>
      <c r="G39" s="59">
        <v>5</v>
      </c>
      <c r="H39" s="59">
        <v>12</v>
      </c>
      <c r="I39" s="59">
        <v>7</v>
      </c>
      <c r="J39" s="59">
        <v>9</v>
      </c>
      <c r="K39" s="59">
        <v>1</v>
      </c>
      <c r="L39" s="59">
        <v>7</v>
      </c>
      <c r="M39" s="59">
        <v>5</v>
      </c>
    </row>
    <row r="40" spans="1:13" s="8" customFormat="1" ht="11.25" customHeight="1">
      <c r="A40" s="10" t="s">
        <v>34</v>
      </c>
      <c r="B40" s="59">
        <f>COUNTIFS(Jan!$B:$B,2111,Jan!$J:$J,9)</f>
        <v>0</v>
      </c>
      <c r="C40" s="59">
        <f>COUNTIFS(Feb!$B:$B,2111,Feb!$J:$J,9)</f>
        <v>0</v>
      </c>
      <c r="D40" s="59">
        <f>COUNTIFS(Mar!$B:$B,2111,Mar!$J:$J,9)</f>
        <v>0</v>
      </c>
      <c r="E40" s="59">
        <f>COUNTIFS(Apr!$B:$B,2111,Apr!$J:$J,9)</f>
        <v>0</v>
      </c>
      <c r="F40" s="59">
        <f>COUNTIFS(May!$B:$B,2111,May!$J:$J,9)</f>
        <v>0</v>
      </c>
      <c r="G40" s="59">
        <f>COUNTIFS(Jun!$B:$B,2111,Jun!$J:$J,9)</f>
        <v>0</v>
      </c>
      <c r="H40" s="59">
        <f>COUNTIFS(Jul!$B:$B,2111,Jul!$J:$J,9)</f>
        <v>0</v>
      </c>
      <c r="I40" s="59">
        <f>COUNTIFS(Aug!$B:$B,2111,Aug!$J:$J,9)</f>
        <v>0</v>
      </c>
      <c r="J40" s="59">
        <f>COUNTIFS(Sep!$B:$B,2111,Sep!$J:$J,9)</f>
        <v>0</v>
      </c>
      <c r="K40" s="59">
        <f>COUNTIFS(Oct!$B:$B,2111,Oct!$J:$J,9)</f>
        <v>0</v>
      </c>
      <c r="L40" s="59">
        <f>COUNTIFS(Nov!$B:$B,2111,Nov!$J:$J,9)</f>
        <v>0</v>
      </c>
      <c r="M40" s="59">
        <v>0</v>
      </c>
    </row>
    <row r="41" spans="1:13" s="8" customFormat="1" ht="11.25" customHeight="1">
      <c r="A41" s="10" t="s">
        <v>31</v>
      </c>
      <c r="B41" s="59">
        <f>COUNTIFS(Jan!$B:$B,2111,Jan!$J:$J,10)</f>
        <v>1</v>
      </c>
      <c r="C41" s="59">
        <v>1</v>
      </c>
      <c r="D41" s="59">
        <v>2</v>
      </c>
      <c r="E41" s="59">
        <v>2</v>
      </c>
      <c r="F41" s="59">
        <v>5</v>
      </c>
      <c r="G41" s="59">
        <v>6</v>
      </c>
      <c r="H41" s="59">
        <v>10</v>
      </c>
      <c r="I41" s="59">
        <v>15</v>
      </c>
      <c r="J41" s="59">
        <v>7</v>
      </c>
      <c r="K41" s="59">
        <f>COUNTIFS(Oct!$B:$B,2111,Oct!$J:$J,10)</f>
        <v>0</v>
      </c>
      <c r="L41" s="59">
        <v>2</v>
      </c>
      <c r="M41" s="59">
        <v>5</v>
      </c>
    </row>
    <row r="42" spans="1:13" s="8" customFormat="1" ht="11.25" customHeight="1">
      <c r="A42" s="10" t="s">
        <v>144</v>
      </c>
      <c r="B42" s="59">
        <f>COUNTIFS(Jan!$B:$B,2111,Jan!$F:$F,462)</f>
        <v>0</v>
      </c>
      <c r="C42" s="59">
        <f>COUNTIFS(Feb!$B:$B,2111,Feb!$F:$F,462)</f>
        <v>0</v>
      </c>
      <c r="D42" s="59">
        <f>COUNTIFS(Mar!$B:$B,2111,Mar!$F:$F,462)</f>
        <v>0</v>
      </c>
      <c r="E42" s="59">
        <f>COUNTIFS(Apr!$B:$B,2111,Apr!$F:$F,462)</f>
        <v>0</v>
      </c>
      <c r="F42" s="59">
        <f>COUNTIFS(May!$B:$B,2111,May!$F:$F,462)</f>
        <v>0</v>
      </c>
      <c r="G42" s="59">
        <f>COUNTIFS(Jun!$B:$B,2111,Jun!$F:$F,462)</f>
        <v>0</v>
      </c>
      <c r="H42" s="59">
        <f>COUNTIFS(Jul!$B:$B,2111,Jul!$F:$F,462)</f>
        <v>0</v>
      </c>
      <c r="I42" s="59">
        <f>COUNTIFS(Aug!$B:$B,2111,Aug!$F:$F,462)</f>
        <v>0</v>
      </c>
      <c r="J42" s="59">
        <f>COUNTIFS(Sep!$B:$B,2111,Sep!$F:$F,462)</f>
        <v>0</v>
      </c>
      <c r="K42" s="59">
        <f>COUNTIFS(Oct!$B:$B,2111,Oct!$F:$F,462)</f>
        <v>0</v>
      </c>
      <c r="L42" s="59">
        <f>COUNTIFS(Nov!$B:$B,2111,Nov!$F:$F,462)</f>
        <v>0</v>
      </c>
      <c r="M42" s="59">
        <v>0</v>
      </c>
    </row>
    <row r="43" spans="1:13" s="8" customFormat="1" ht="11.25" customHeight="1">
      <c r="A43" s="10" t="s">
        <v>1</v>
      </c>
      <c r="B43" s="59">
        <f>COUNTIFS(Jan!$B:$B,2111,Jan!$J:$J,11)</f>
        <v>1</v>
      </c>
      <c r="C43" s="59">
        <f>COUNTIFS(Feb!$B:$B,2111,Feb!$J:$J,11)</f>
        <v>0</v>
      </c>
      <c r="D43" s="59">
        <f>COUNTIFS(Mar!$B:$B,2111,Mar!$J:$J,11)</f>
        <v>0</v>
      </c>
      <c r="E43" s="59">
        <f>COUNTIFS(Apr!$B:$B,2111,Apr!$J:$J,11)</f>
        <v>0</v>
      </c>
      <c r="F43" s="59">
        <f>COUNTIFS(May!$B:$B,2111,May!$J:$J,11)</f>
        <v>0</v>
      </c>
      <c r="G43" s="59">
        <f>COUNTIFS(Jun!$B:$B,2111,Jun!$J:$J,11)</f>
        <v>0</v>
      </c>
      <c r="H43" s="59">
        <v>1</v>
      </c>
      <c r="I43" s="59">
        <v>2</v>
      </c>
      <c r="J43" s="59">
        <v>1</v>
      </c>
      <c r="K43" s="59">
        <f>COUNTIFS(Oct!$B:$B,2111,Oct!$J:$J,11)</f>
        <v>0</v>
      </c>
      <c r="L43" s="59">
        <v>1</v>
      </c>
      <c r="M43" s="59">
        <v>0</v>
      </c>
    </row>
    <row r="44" spans="1:13" s="8" customFormat="1" ht="11.25" customHeight="1">
      <c r="A44" s="10" t="s">
        <v>26</v>
      </c>
      <c r="B44" s="59">
        <f>COUNTIFS(Jan!$B:$B,2111,Jan!$J:$J,20)</f>
        <v>0</v>
      </c>
      <c r="C44" s="59">
        <f>COUNTIFS(Feb!$B:$B,2111,Feb!$J:$J,20)</f>
        <v>0</v>
      </c>
      <c r="D44" s="59">
        <f>COUNTIFS(Mar!$B:$B,2111,Mar!$J:$J,20)</f>
        <v>0</v>
      </c>
      <c r="E44" s="59">
        <f>COUNTIFS(Apr!$B:$B,2111,Apr!$J:$J,20)</f>
        <v>0</v>
      </c>
      <c r="F44" s="59">
        <f>COUNTIFS(May!$B:$B,2111,May!$J:$J,20)</f>
        <v>0</v>
      </c>
      <c r="G44" s="59">
        <v>1</v>
      </c>
      <c r="H44" s="59">
        <f>COUNTIFS(Jul!$B:$B,2111,Jul!$J:$J,20)</f>
        <v>0</v>
      </c>
      <c r="I44" s="59">
        <f>COUNTIFS(Aug!$B:$B,2111,Aug!$J:$J,20)</f>
        <v>0</v>
      </c>
      <c r="J44" s="59">
        <f>COUNTIFS(Sep!$B:$B,2111,Sep!$J:$J,20)</f>
        <v>0</v>
      </c>
      <c r="K44" s="59">
        <f>COUNTIFS(Oct!$B:$B,2111,Oct!$J:$J,20)</f>
        <v>0</v>
      </c>
      <c r="L44" s="59">
        <f>COUNTIFS(Nov!$B:$B,2111,Nov!$J:$J,20)</f>
        <v>0</v>
      </c>
      <c r="M44" s="59">
        <v>0</v>
      </c>
    </row>
    <row r="45" spans="1:13" s="8" customFormat="1" ht="11.25" customHeight="1">
      <c r="A45" s="10" t="s">
        <v>32</v>
      </c>
      <c r="B45" s="59">
        <f>COUNTIFS(Jan!$B:$B,2111,Jan!$J:$J,2)</f>
        <v>6</v>
      </c>
      <c r="C45" s="59">
        <v>6</v>
      </c>
      <c r="D45" s="59">
        <v>2</v>
      </c>
      <c r="E45" s="59">
        <v>3</v>
      </c>
      <c r="F45" s="59">
        <v>5</v>
      </c>
      <c r="G45" s="59">
        <v>12</v>
      </c>
      <c r="H45" s="59">
        <v>13</v>
      </c>
      <c r="I45" s="59">
        <v>11</v>
      </c>
      <c r="J45" s="59">
        <v>4</v>
      </c>
      <c r="K45" s="59">
        <v>2</v>
      </c>
      <c r="L45" s="59">
        <v>6</v>
      </c>
      <c r="M45" s="59">
        <v>6</v>
      </c>
    </row>
    <row r="46" spans="1:13" s="8" customFormat="1" ht="11.25" customHeight="1">
      <c r="A46" s="10" t="s">
        <v>28</v>
      </c>
      <c r="B46" s="59">
        <f>COUNTIFS(Jan!$B:$B,2111,Jan!$J:$J,1700)+COUNTIFS(Jan!$B:$B,2111,Jan!$F:$F,1700)+COUNTIFS(Jan!$B:$B,2111,Jan!$J:$J,19)</f>
        <v>0</v>
      </c>
      <c r="C46" s="59">
        <f>COUNTIFS(Feb!$B:$B,2111,Feb!$J:$J,1700)+COUNTIFS(Feb!$B:$B,2111,Feb!$F:$F,1700)+COUNTIFS(Feb!$B:$B,2111,Feb!$J:$J,19)</f>
        <v>0</v>
      </c>
      <c r="D46" s="59">
        <f>COUNTIFS(Mar!$B:$B,2111,Mar!$J:$J,1700)+COUNTIFS(Mar!$B:$B,2111,Mar!$F:$F,1700)+COUNTIFS(Mar!$B:$B,2111,Mar!$J:$J,19)</f>
        <v>0</v>
      </c>
      <c r="E46" s="59">
        <f>COUNTIFS(Apr!$B:$B,2111,Apr!$J:$J,1700)+COUNTIFS(Apr!$B:$B,2111,Apr!$F:$F,1700)+COUNTIFS(Apr!$B:$B,2111,Apr!$J:$J,19)</f>
        <v>0</v>
      </c>
      <c r="F46" s="59">
        <f>COUNTIFS(May!$B:$B,2111,May!$J:$J,1700)+COUNTIFS(May!$B:$B,2111,May!$F:$F,1700)+COUNTIFS(May!$B:$B,2111,May!$J:$J,19)</f>
        <v>0</v>
      </c>
      <c r="G46" s="59">
        <f>COUNTIFS(Jun!$B:$B,2111,Jun!$J:$J,1700)+COUNTIFS(Jun!$B:$B,2111,Jun!$F:$F,1700)+COUNTIFS(Jun!$B:$B,2111,Jun!$J:$J,19)</f>
        <v>0</v>
      </c>
      <c r="H46" s="59">
        <f>COUNTIFS(Jul!$B:$B,2111,Jul!$J:$J,1700)+COUNTIFS(Jul!$B:$B,2111,Jul!$F:$F,1700)+COUNTIFS(Jul!$B:$B,2111,Jul!$J:$J,19)</f>
        <v>0</v>
      </c>
      <c r="I46" s="59">
        <v>1</v>
      </c>
      <c r="J46" s="59">
        <f>COUNTIFS(Sep!$B:$B,2111,Sep!$J:$J,1700)+COUNTIFS(Sep!$B:$B,2111,Sep!$F:$F,1700)+COUNTIFS(Sep!$B:$B,2111,Sep!$J:$J,19)</f>
        <v>0</v>
      </c>
      <c r="K46" s="59">
        <f>COUNTIFS(Oct!$B:$B,2111,Oct!$J:$J,1700)+COUNTIFS(Oct!$B:$B,2111,Oct!$F:$F,1700)+COUNTIFS(Oct!$B:$B,2111,Oct!$J:$J,19)</f>
        <v>0</v>
      </c>
      <c r="L46" s="59">
        <f>COUNTIFS(Nov!$B:$B,2111,Nov!$J:$J,1700)+COUNTIFS(Nov!$B:$B,2111,Nov!$F:$F,1700)+COUNTIFS(Nov!$B:$B,2111,Nov!$J:$J,19)</f>
        <v>0</v>
      </c>
      <c r="M46" s="59">
        <v>0</v>
      </c>
    </row>
    <row r="47" spans="1:13" s="8" customFormat="1" ht="11.25" customHeight="1">
      <c r="A47" s="10" t="s">
        <v>0</v>
      </c>
      <c r="B47" s="59">
        <f>COUNTIFS(Jan!$B:$B,2111,Jan!$J:$J,3)</f>
        <v>0</v>
      </c>
      <c r="C47" s="59">
        <f>COUNTIFS(Feb!$B:$B,2111,Feb!$J:$J,3)</f>
        <v>0</v>
      </c>
      <c r="D47" s="59">
        <v>2</v>
      </c>
      <c r="E47" s="59">
        <f>COUNTIFS(Apr!$B:$B,2111,Apr!$J:$J,3)</f>
        <v>0</v>
      </c>
      <c r="F47" s="59">
        <f>COUNTIFS(May!$B:$B,2111,May!$J:$J,3)</f>
        <v>0</v>
      </c>
      <c r="G47" s="59">
        <v>1</v>
      </c>
      <c r="H47" s="59">
        <v>1</v>
      </c>
      <c r="I47" s="59">
        <v>1</v>
      </c>
      <c r="J47" s="59">
        <f>COUNTIFS(Sep!$B:$B,2111,Sep!$J:$J,3)</f>
        <v>0</v>
      </c>
      <c r="K47" s="59">
        <v>2</v>
      </c>
      <c r="L47" s="59">
        <v>1</v>
      </c>
      <c r="M47" s="59">
        <v>0</v>
      </c>
    </row>
    <row r="48" spans="1:13" s="8" customFormat="1" ht="11.25" customHeight="1">
      <c r="A48" s="10" t="s">
        <v>35</v>
      </c>
      <c r="B48" s="59">
        <f>COUNTIFS(Jan!$B:$B,2111,Jan!$J:$J,7400)</f>
        <v>0</v>
      </c>
      <c r="C48" s="59">
        <f>COUNTIFS(Feb!$B:$B,2111,Feb!$J:$J,7400)</f>
        <v>0</v>
      </c>
      <c r="D48" s="59">
        <f>COUNTIFS(Mar!$B:$B,2111,Mar!$J:$J,7400)</f>
        <v>0</v>
      </c>
      <c r="E48" s="59">
        <f>COUNTIFS(Apr!$B:$B,2111,Apr!$J:$J,7400)</f>
        <v>0</v>
      </c>
      <c r="F48" s="59">
        <f>COUNTIFS(May!$B:$B,2111,May!$J:$J,7400)</f>
        <v>0</v>
      </c>
      <c r="G48" s="59">
        <f>COUNTIFS(Jun!$B:$B,2111,Jun!$J:$J,7400)</f>
        <v>0</v>
      </c>
      <c r="H48" s="59">
        <f>COUNTIFS(Jul!$B:$B,2111,Jul!$J:$J,7400)</f>
        <v>0</v>
      </c>
      <c r="I48" s="59">
        <v>1</v>
      </c>
      <c r="J48" s="59">
        <v>1</v>
      </c>
      <c r="K48" s="59">
        <f>COUNTIFS(Oct!$B:$B,2111,Oct!$J:$J,7400)</f>
        <v>0</v>
      </c>
      <c r="L48" s="59">
        <f>COUNTIFS(Nov!$B:$B,2111,Nov!$J:$J,7400)</f>
        <v>0</v>
      </c>
      <c r="M48" s="59">
        <v>0</v>
      </c>
    </row>
    <row r="49" spans="1:13" s="8" customFormat="1" ht="11.25" customHeight="1">
      <c r="A49" s="10" t="s">
        <v>2</v>
      </c>
      <c r="B49" s="59">
        <f>COUNTIFS(Jan!$B:$B,2111,Jan!$J:$J,14)</f>
        <v>0</v>
      </c>
      <c r="C49" s="59">
        <f>COUNTIFS(Feb!$B:$B,2111,Feb!$J:$J,14)</f>
        <v>0</v>
      </c>
      <c r="D49" s="59">
        <v>1</v>
      </c>
      <c r="E49" s="59">
        <f>COUNTIFS(Apr!$B:$B,2111,Apr!$J:$J,14)</f>
        <v>0</v>
      </c>
      <c r="F49" s="59">
        <v>1</v>
      </c>
      <c r="G49" s="59">
        <v>1</v>
      </c>
      <c r="H49" s="59">
        <v>3</v>
      </c>
      <c r="I49" s="59">
        <v>1</v>
      </c>
      <c r="J49" s="59">
        <f>COUNTIFS(Sep!$B:$B,2111,Sep!$J:$J,14)</f>
        <v>0</v>
      </c>
      <c r="K49" s="59">
        <f>COUNTIFS(Oct!$B:$B,2111,Oct!$J:$J,14)</f>
        <v>0</v>
      </c>
      <c r="L49" s="59">
        <v>1</v>
      </c>
      <c r="M49" s="59">
        <v>0</v>
      </c>
    </row>
    <row r="50" spans="1:13" s="8" customFormat="1" ht="11.25" customHeight="1">
      <c r="A50" s="10" t="s">
        <v>142</v>
      </c>
      <c r="B50" s="59">
        <f>COUNTIFS(Jan!$B:$B,2111,Jan!$F:$F,466)</f>
        <v>0</v>
      </c>
      <c r="C50" s="59">
        <f>COUNTIFS(Feb!$B:$B,2111,Feb!$F:$F,466)</f>
        <v>0</v>
      </c>
      <c r="D50" s="59">
        <f>COUNTIFS(Mar!$B:$B,2111,Mar!$F:$F,466)</f>
        <v>0</v>
      </c>
      <c r="E50" s="59">
        <f>COUNTIFS(Apr!$B:$B,2111,Apr!$F:$F,466)</f>
        <v>0</v>
      </c>
      <c r="F50" s="59">
        <f>COUNTIFS(May!$B:$B,2111,May!$F:$F,466)</f>
        <v>0</v>
      </c>
      <c r="G50" s="59">
        <f>COUNTIFS(Jun!$B:$B,2111,Jun!$F:$F,466)</f>
        <v>0</v>
      </c>
      <c r="H50" s="59">
        <f>COUNTIFS(Jul!$B:$B,2111,Jul!$F:$F,466)</f>
        <v>0</v>
      </c>
      <c r="I50" s="59">
        <f>COUNTIFS(Aug!$B:$B,2111,Aug!$F:$F,466)</f>
        <v>0</v>
      </c>
      <c r="J50" s="59">
        <f>COUNTIFS(Sep!$B:$B,2111,Sep!$F:$F,466)</f>
        <v>0</v>
      </c>
      <c r="K50" s="59">
        <f>COUNTIFS(Oct!$B:$B,2111,Oct!$F:$F,466)</f>
        <v>0</v>
      </c>
      <c r="L50" s="59">
        <v>1</v>
      </c>
      <c r="M50" s="59">
        <v>0</v>
      </c>
    </row>
    <row r="51" spans="1:13" s="8" customFormat="1" ht="11.25" customHeight="1">
      <c r="A51" s="10" t="s">
        <v>27</v>
      </c>
      <c r="B51" s="59">
        <f>COUNTIFS(Jan!$B:$B,2111,Jan!$J:$J,25)</f>
        <v>0</v>
      </c>
      <c r="C51" s="59">
        <f>COUNTIFS(Feb!$B:$B,2111,Feb!$J:$J,25)</f>
        <v>0</v>
      </c>
      <c r="D51" s="59">
        <f>COUNTIFS(Mar!$B:$B,2111,Mar!$J:$J,25)</f>
        <v>0</v>
      </c>
      <c r="E51" s="59">
        <f>COUNTIFS(Apr!$B:$B,2111,Apr!$J:$J,25)</f>
        <v>0</v>
      </c>
      <c r="F51" s="59">
        <f>COUNTIFS(May!$B:$B,2111,May!$J:$J,25)</f>
        <v>0</v>
      </c>
      <c r="G51" s="59">
        <f>COUNTIFS(Jun!$B:$B,2111,Jun!$J:$J,25)</f>
        <v>0</v>
      </c>
      <c r="H51" s="59">
        <f>COUNTIFS(Jul!$B:$B,2111,Jul!$J:$J,25)</f>
        <v>0</v>
      </c>
      <c r="I51" s="59">
        <f>COUNTIFS(Aug!$B:$B,2111,Aug!$J:$J,25)</f>
        <v>0</v>
      </c>
      <c r="J51" s="59">
        <f>COUNTIFS(Sep!$B:$B,2111,Sep!$J:$J,25)</f>
        <v>0</v>
      </c>
      <c r="K51" s="59">
        <f>COUNTIFS(Oct!$B:$B,2111,Oct!$J:$J,25)</f>
        <v>0</v>
      </c>
      <c r="L51" s="59">
        <f>COUNTIFS(Nov!$B:$B,2111,Nov!$J:$J,25)</f>
        <v>0</v>
      </c>
      <c r="M51" s="59">
        <v>0</v>
      </c>
    </row>
    <row r="52" spans="1:13" s="8" customFormat="1" ht="11.25" customHeight="1" thickBot="1">
      <c r="A52" s="11" t="s">
        <v>16</v>
      </c>
      <c r="B52" s="60">
        <f t="shared" ref="B52:G52" si="11">SUM(B34:B51)</f>
        <v>20</v>
      </c>
      <c r="C52" s="60">
        <f t="shared" si="11"/>
        <v>16</v>
      </c>
      <c r="D52" s="60">
        <f t="shared" si="11"/>
        <v>17</v>
      </c>
      <c r="E52" s="60">
        <f t="shared" si="11"/>
        <v>18</v>
      </c>
      <c r="F52" s="60">
        <f t="shared" si="11"/>
        <v>27</v>
      </c>
      <c r="G52" s="60">
        <f t="shared" si="11"/>
        <v>35</v>
      </c>
      <c r="H52" s="60">
        <f t="shared" ref="H52:M52" si="12">SUM(H34:H51)</f>
        <v>51</v>
      </c>
      <c r="I52" s="60">
        <f t="shared" si="12"/>
        <v>42</v>
      </c>
      <c r="J52" s="60">
        <f t="shared" si="12"/>
        <v>30</v>
      </c>
      <c r="K52" s="60">
        <f t="shared" si="12"/>
        <v>12</v>
      </c>
      <c r="L52" s="159">
        <f t="shared" si="12"/>
        <v>22</v>
      </c>
      <c r="M52" s="170">
        <f t="shared" si="12"/>
        <v>21</v>
      </c>
    </row>
    <row r="53" spans="1:13" ht="12" customHeight="1" thickBot="1">
      <c r="A53" s="55" t="s">
        <v>137</v>
      </c>
      <c r="B53" s="50">
        <v>41275</v>
      </c>
      <c r="C53" s="47">
        <v>41306</v>
      </c>
      <c r="D53" s="47">
        <v>41334</v>
      </c>
      <c r="E53" s="47">
        <v>41365</v>
      </c>
      <c r="F53" s="47">
        <v>41395</v>
      </c>
      <c r="G53" s="47">
        <v>41426</v>
      </c>
      <c r="H53" s="47">
        <v>41456</v>
      </c>
      <c r="I53" s="47">
        <v>41487</v>
      </c>
      <c r="J53" s="47">
        <v>41518</v>
      </c>
      <c r="K53" s="47">
        <v>41548</v>
      </c>
      <c r="L53" s="47">
        <v>41579</v>
      </c>
      <c r="M53" s="51">
        <v>41609</v>
      </c>
    </row>
    <row r="54" spans="1:13" s="8" customFormat="1" ht="11.25" customHeight="1">
      <c r="A54" s="10" t="s">
        <v>30</v>
      </c>
      <c r="B54" s="57">
        <f>COUNTIFS(Jan!$B:$B,2111,Jan!$J:$J,7)</f>
        <v>0</v>
      </c>
      <c r="C54" s="57">
        <f>COUNTIFS(Feb!$B:$B,2111,Feb!$J:$J,7)</f>
        <v>0</v>
      </c>
      <c r="D54" s="57">
        <v>1</v>
      </c>
      <c r="E54" s="57">
        <v>1</v>
      </c>
      <c r="F54" s="57">
        <v>1</v>
      </c>
      <c r="G54" s="57">
        <f>COUNTIFS(Jun!$B:$B,2111,Jun!$J:$J,7)</f>
        <v>0</v>
      </c>
      <c r="H54" s="57">
        <v>3</v>
      </c>
      <c r="I54" s="57">
        <f>COUNTIFS(Aug!$B:$B,2111,Aug!$J:$J,7)</f>
        <v>0</v>
      </c>
      <c r="J54" s="57">
        <v>2</v>
      </c>
      <c r="K54" s="57">
        <f>COUNTIFS(Oct!$B:$B,2111,Oct!$J:$J,7)</f>
        <v>0</v>
      </c>
      <c r="L54" s="57">
        <f>COUNTIFS(Nov!$B:$B,2111,Nov!$J:$J,7)</f>
        <v>0</v>
      </c>
      <c r="M54" s="57">
        <v>2</v>
      </c>
    </row>
    <row r="55" spans="1:13" s="8" customFormat="1" ht="11.25" customHeight="1">
      <c r="A55" s="10" t="s">
        <v>29</v>
      </c>
      <c r="B55" s="59">
        <f>COUNTIFS(Jan!$B:$B,2111,Jan!$J:$J,8)</f>
        <v>0</v>
      </c>
      <c r="C55" s="59">
        <f>COUNTIFS(Feb!$B:$B,2111,Feb!$J:$J,8)</f>
        <v>0</v>
      </c>
      <c r="D55" s="59">
        <v>1</v>
      </c>
      <c r="E55" s="59">
        <f>COUNTIFS(Apr!$B:$B,2111,Apr!$J:$J,8)</f>
        <v>0</v>
      </c>
      <c r="F55" s="59">
        <f>COUNTIFS(May!$B:$B,2111,May!$J:$J,8)</f>
        <v>0</v>
      </c>
      <c r="G55" s="59">
        <f>COUNTIFS(Jun!$B:$B,2111,Jun!$J:$J,8)</f>
        <v>0</v>
      </c>
      <c r="H55" s="59">
        <f>COUNTIFS(Jul!$B:$B,2111,Jul!$J:$J,8)</f>
        <v>0</v>
      </c>
      <c r="I55" s="59">
        <f>COUNTIFS(Aug!$B:$B,2111,Aug!$J:$J,8)</f>
        <v>0</v>
      </c>
      <c r="J55" s="59">
        <f>COUNTIFS(Sep!$B:$B,2111,Sep!$J:$J,8)</f>
        <v>0</v>
      </c>
      <c r="K55" s="59">
        <f>COUNTIFS(Oct!$B:$B,2111,Oct!$J:$J,8)</f>
        <v>0</v>
      </c>
      <c r="L55" s="59">
        <f>COUNTIFS(Nov!$B:$B,2111,Nov!$J:$J,8)</f>
        <v>0</v>
      </c>
      <c r="M55" s="59">
        <v>0</v>
      </c>
    </row>
    <row r="56" spans="1:13" s="8" customFormat="1" ht="11.25" customHeight="1">
      <c r="A56" s="10" t="s">
        <v>7</v>
      </c>
      <c r="B56" s="59">
        <f>COUNTIFS(Jan!$B:$B,2111,Jan!$J:$J,12)</f>
        <v>0</v>
      </c>
      <c r="C56" s="59">
        <v>1</v>
      </c>
      <c r="D56" s="59">
        <f>COUNTIFS(Mar!$B:$B,2111,Mar!$J:$J,12)</f>
        <v>0</v>
      </c>
      <c r="E56" s="59">
        <v>3</v>
      </c>
      <c r="F56" s="59">
        <f>COUNTIFS(May!$B:$B,2111,May!$J:$J,12)</f>
        <v>0</v>
      </c>
      <c r="G56" s="59">
        <f>COUNTIFS(Jun!$B:$B,2111,Jun!$J:$J,12)</f>
        <v>0</v>
      </c>
      <c r="H56" s="59">
        <f>COUNTIFS(Jul!$B:$B,2111,Jul!$J:$J,12)</f>
        <v>0</v>
      </c>
      <c r="I56" s="59">
        <v>2</v>
      </c>
      <c r="J56" s="59">
        <f>COUNTIFS(Sep!$B:$B,2111,Sep!$J:$J,12)</f>
        <v>0</v>
      </c>
      <c r="K56" s="59">
        <f>COUNTIFS(Oct!$B:$B,2111,Oct!$J:$J,12)</f>
        <v>0</v>
      </c>
      <c r="L56" s="59">
        <v>2</v>
      </c>
      <c r="M56" s="59">
        <v>0</v>
      </c>
    </row>
    <row r="57" spans="1:13" s="8" customFormat="1" ht="11.25" customHeight="1">
      <c r="A57" s="10" t="s">
        <v>10</v>
      </c>
      <c r="B57" s="59">
        <f>COUNTIFS(Jan!$B:$B,2111,Jan!$J:$J,5100)</f>
        <v>0</v>
      </c>
      <c r="C57" s="59">
        <f>COUNTIFS(Feb!$B:$B,2111,Feb!$J:$J,5100)</f>
        <v>0</v>
      </c>
      <c r="D57" s="59">
        <f>COUNTIFS(Mar!$B:$B,2111,Mar!$J:$J,5100)</f>
        <v>0</v>
      </c>
      <c r="E57" s="59">
        <f>COUNTIFS(Apr!$B:$B,2111,Apr!$J:$J,5100)</f>
        <v>0</v>
      </c>
      <c r="F57" s="59">
        <f>COUNTIFS(May!$B:$B,2111,May!$J:$J,5100)</f>
        <v>0</v>
      </c>
      <c r="G57" s="59">
        <f>COUNTIFS(Jun!$B:$B,2111,Jun!$J:$J,5100)</f>
        <v>0</v>
      </c>
      <c r="H57" s="59">
        <v>1</v>
      </c>
      <c r="I57" s="59">
        <f>COUNTIFS(Aug!$B:$B,2111,Aug!$J:$J,5100)</f>
        <v>0</v>
      </c>
      <c r="J57" s="59">
        <f>COUNTIFS(Sep!$B:$B,2111,Sep!$J:$J,5100)</f>
        <v>0</v>
      </c>
      <c r="K57" s="59">
        <f>COUNTIFS(Oct!$B:$B,2111,Oct!$J:$J,5100)</f>
        <v>0</v>
      </c>
      <c r="L57" s="59">
        <f>COUNTIFS(Nov!$B:$B,2111,Nov!$J:$J,5100)</f>
        <v>0</v>
      </c>
      <c r="M57" s="59">
        <v>1</v>
      </c>
    </row>
    <row r="58" spans="1:13" s="8" customFormat="1" ht="11.25" customHeight="1">
      <c r="A58" s="10" t="s">
        <v>36</v>
      </c>
      <c r="B58" s="59">
        <f>COUNTIFS(Jan!$B:$B,2111,Jan!$J:$J,6200)</f>
        <v>0</v>
      </c>
      <c r="C58" s="59">
        <f>COUNTIFS(Feb!$B:$B,2111,Feb!$J:$J,6200)</f>
        <v>0</v>
      </c>
      <c r="D58" s="59">
        <f>COUNTIFS(Mar!$B:$B,2111,Mar!$J:$J,6200)</f>
        <v>0</v>
      </c>
      <c r="E58" s="59">
        <f>COUNTIFS(Apr!$B:$B,2111,Apr!$J:$J,6200)</f>
        <v>0</v>
      </c>
      <c r="F58" s="59">
        <f>COUNTIFS(May!$B:$B,2111,May!$J:$J,6200)</f>
        <v>0</v>
      </c>
      <c r="G58" s="59">
        <f>COUNTIFS(Jun!$B:$B,2111,Jun!$J:$J,6200)</f>
        <v>0</v>
      </c>
      <c r="H58" s="59">
        <f>COUNTIFS(Jul!$B:$B,2111,Jul!$J:$J,6200)</f>
        <v>0</v>
      </c>
      <c r="I58" s="59">
        <f>COUNTIFS(Aug!$B:$B,2111,Aug!$J:$J,6200)</f>
        <v>0</v>
      </c>
      <c r="J58" s="59">
        <v>1</v>
      </c>
      <c r="K58" s="59">
        <f>COUNTIFS(Oct!$B:$B,2111,Oct!$J:$J,6200)</f>
        <v>0</v>
      </c>
      <c r="L58" s="59">
        <f>COUNTIFS(Nov!$B:$B,2111,Nov!$J:$J,6200)</f>
        <v>0</v>
      </c>
      <c r="M58" s="59">
        <v>0</v>
      </c>
    </row>
    <row r="59" spans="1:13" s="8" customFormat="1" ht="11.25" customHeight="1">
      <c r="A59" s="10" t="s">
        <v>145</v>
      </c>
      <c r="B59" s="59">
        <f>COUNTIFS(Jan!$B:$B,2111,Jan!$J:$J,28)</f>
        <v>0</v>
      </c>
      <c r="C59" s="59">
        <f>COUNTIFS(Feb!$B:$B,2111,Feb!$J:$J,28)</f>
        <v>0</v>
      </c>
      <c r="D59" s="59">
        <f>COUNTIFS(Mar!$B:$B,2111,Mar!$J:$J,28)</f>
        <v>0</v>
      </c>
      <c r="E59" s="59">
        <f>COUNTIFS(Apr!$B:$B,2111,Apr!$J:$J,28)</f>
        <v>0</v>
      </c>
      <c r="F59" s="59">
        <f>COUNTIFS(May!$B:$B,2111,May!$J:$J,28)</f>
        <v>0</v>
      </c>
      <c r="G59" s="59">
        <f>COUNTIFS(Jun!$B:$B,2111,Jun!$J:$J,28)</f>
        <v>0</v>
      </c>
      <c r="H59" s="59">
        <f>COUNTIFS(Jul!$B:$B,2111,Jul!$J:$J,28)</f>
        <v>0</v>
      </c>
      <c r="I59" s="59">
        <f>COUNTIFS(Aug!$B:$B,2111,Aug!$J:$J,28)</f>
        <v>0</v>
      </c>
      <c r="J59" s="59">
        <f>COUNTIFS(Sep!$B:$B,2111,Sep!$J:$J,28)</f>
        <v>0</v>
      </c>
      <c r="K59" s="59">
        <f>COUNTIFS(Oct!$B:$B,2111,Oct!$J:$J,28)</f>
        <v>0</v>
      </c>
      <c r="L59" s="59">
        <f>COUNTIFS(Nov!$B:$B,2111,Nov!$J:$J,28)</f>
        <v>0</v>
      </c>
      <c r="M59" s="59">
        <v>0</v>
      </c>
    </row>
    <row r="60" spans="1:13" s="8" customFormat="1" ht="11.25" customHeight="1">
      <c r="A60" s="10" t="s">
        <v>38</v>
      </c>
      <c r="B60" s="59">
        <f>COUNTIFS(Jan!$B:$B,2111,Jan!$J:$J,6100)</f>
        <v>0</v>
      </c>
      <c r="C60" s="59">
        <f>COUNTIFS(Feb!$B:$B,2111,Feb!$J:$J,6100)</f>
        <v>0</v>
      </c>
      <c r="D60" s="59">
        <f>COUNTIFS(Mar!$B:$B,2111,Mar!$J:$J,6100)</f>
        <v>0</v>
      </c>
      <c r="E60" s="59">
        <f>COUNTIFS(Apr!$B:$B,2111,Apr!$J:$J,6100)</f>
        <v>0</v>
      </c>
      <c r="F60" s="59">
        <v>1</v>
      </c>
      <c r="G60" s="59">
        <f>COUNTIFS(Jun!$B:$B,2111,Jun!$J:$J,6100)</f>
        <v>0</v>
      </c>
      <c r="H60" s="59">
        <f>COUNTIFS(Jul!$B:$B,2111,Jul!$J:$J,6100)</f>
        <v>0</v>
      </c>
      <c r="I60" s="59">
        <v>4</v>
      </c>
      <c r="J60" s="59">
        <f>COUNTIFS(Sep!$B:$B,2111,Sep!$J:$J,6100)</f>
        <v>0</v>
      </c>
      <c r="K60" s="59">
        <f>COUNTIFS(Oct!$B:$B,2111,Oct!$J:$J,6100)</f>
        <v>0</v>
      </c>
      <c r="L60" s="59">
        <v>4</v>
      </c>
      <c r="M60" s="59">
        <v>0</v>
      </c>
    </row>
    <row r="61" spans="1:13" s="8" customFormat="1" ht="11.25" customHeight="1">
      <c r="A61" s="10" t="s">
        <v>9</v>
      </c>
      <c r="B61" s="59">
        <f>COUNTIFS(Jan!$B:$B,2111,Jan!$J:$J,6)</f>
        <v>0</v>
      </c>
      <c r="C61" s="59">
        <f>COUNTIFS(Feb!$B:$B,2111,Feb!$J:$J,6)</f>
        <v>0</v>
      </c>
      <c r="D61" s="59">
        <f>COUNTIFS(Mar!$B:$B,2111,Mar!$J:$J,6)</f>
        <v>0</v>
      </c>
      <c r="E61" s="59">
        <f>COUNTIFS(Apr!$B:$B,2111,Apr!$J:$J,6)</f>
        <v>0</v>
      </c>
      <c r="F61" s="59">
        <f>COUNTIFS(May!$B:$B,2111,May!$J:$J,6)</f>
        <v>0</v>
      </c>
      <c r="G61" s="59">
        <f>COUNTIFS(Jun!$B:$B,2111,Jun!$J:$J,6)</f>
        <v>0</v>
      </c>
      <c r="H61" s="59">
        <f>COUNTIFS(Jul!$B:$B,2111,Jul!$J:$J,6)</f>
        <v>0</v>
      </c>
      <c r="I61" s="59">
        <f>COUNTIFS(Aug!$B:$B,2111,Aug!$J:$J,6)</f>
        <v>0</v>
      </c>
      <c r="J61" s="59">
        <f>COUNTIFS(Sep!$B:$B,2111,Sep!$J:$J,6)</f>
        <v>0</v>
      </c>
      <c r="K61" s="59">
        <f>COUNTIFS(Oct!$B:$B,2111,Oct!$J:$J,6)</f>
        <v>0</v>
      </c>
      <c r="L61" s="59">
        <f>COUNTIFS(Nov!$B:$B,2111,Nov!$J:$J,6)</f>
        <v>0</v>
      </c>
      <c r="M61" s="59">
        <v>0</v>
      </c>
    </row>
    <row r="62" spans="1:13" s="8" customFormat="1" ht="11.25" customHeight="1">
      <c r="A62" s="10" t="s">
        <v>8</v>
      </c>
      <c r="B62" s="59">
        <f>COUNTIFS(Jan!$B:$B,2111,Jan!$J:$J,4)</f>
        <v>0</v>
      </c>
      <c r="C62" s="59">
        <f>COUNTIFS(Feb!$B:$B,2111,Feb!$J:$J,4)</f>
        <v>0</v>
      </c>
      <c r="D62" s="59">
        <f>COUNTIFS(Mar!$B:$B,2111,Mar!$J:$J,4)</f>
        <v>0</v>
      </c>
      <c r="E62" s="59">
        <f>COUNTIFS(Apr!$B:$B,2111,Apr!$J:$J,4)</f>
        <v>0</v>
      </c>
      <c r="F62" s="59">
        <f>COUNTIFS(May!$B:$B,2111,May!$J:$J,4)</f>
        <v>0</v>
      </c>
      <c r="G62" s="59">
        <f>COUNTIFS(Jun!$B:$B,2111,Jun!$J:$J,4)</f>
        <v>0</v>
      </c>
      <c r="H62" s="59">
        <f>COUNTIFS(Jul!$B:$B,2111,Jul!$J:$J,4)</f>
        <v>0</v>
      </c>
      <c r="I62" s="59">
        <f>COUNTIFS(Aug!$B:$B,2111,Aug!$J:$J,4)</f>
        <v>0</v>
      </c>
      <c r="J62" s="59">
        <f>COUNTIFS(Sep!$B:$B,2111,Sep!$J:$J,4)</f>
        <v>0</v>
      </c>
      <c r="K62" s="59">
        <f>COUNTIFS(Oct!$B:$B,2111,Oct!$J:$J,4)</f>
        <v>0</v>
      </c>
      <c r="L62" s="59">
        <f>COUNTIFS(Nov!$B:$B,2111,Nov!$J:$J,4)</f>
        <v>0</v>
      </c>
      <c r="M62" s="59">
        <v>0</v>
      </c>
    </row>
    <row r="63" spans="1:13" s="8" customFormat="1" ht="11.25" customHeight="1">
      <c r="A63" s="10" t="s">
        <v>6</v>
      </c>
      <c r="B63" s="59">
        <f>COUNTIFS(Jan!$B:$B,2111,Jan!$J:$J,5)</f>
        <v>0</v>
      </c>
      <c r="C63" s="59">
        <f>COUNTIFS(Feb!$B:$B,2111,Feb!$J:$J,5)</f>
        <v>0</v>
      </c>
      <c r="D63" s="59">
        <f>COUNTIFS(Mar!$B:$B,2111,Mar!$J:$J,5)</f>
        <v>0</v>
      </c>
      <c r="E63" s="59">
        <f>COUNTIFS(Apr!$B:$B,2111,Apr!$J:$J,5)</f>
        <v>0</v>
      </c>
      <c r="F63" s="59">
        <f>COUNTIFS(May!$B:$B,2111,May!$J:$J,5)</f>
        <v>0</v>
      </c>
      <c r="G63" s="59">
        <v>1</v>
      </c>
      <c r="H63" s="59">
        <f>COUNTIFS(Jul!$B:$B,2111,Jul!$J:$J,5)</f>
        <v>0</v>
      </c>
      <c r="I63" s="59">
        <f>COUNTIFS(Aug!$B:$B,2111,Aug!$J:$J,5)</f>
        <v>0</v>
      </c>
      <c r="J63" s="59">
        <f>COUNTIFS(Sep!$B:$B,2111,Sep!$J:$J,5)</f>
        <v>0</v>
      </c>
      <c r="K63" s="59">
        <f>COUNTIFS(Oct!$B:$B,2111,Oct!$J:$J,5)</f>
        <v>0</v>
      </c>
      <c r="L63" s="59">
        <f>COUNTIFS(Nov!$B:$B,2111,Nov!$J:$J,5)</f>
        <v>0</v>
      </c>
      <c r="M63" s="59">
        <v>0</v>
      </c>
    </row>
    <row r="64" spans="1:13" s="8" customFormat="1" ht="11.25" customHeight="1">
      <c r="A64" s="52" t="s">
        <v>141</v>
      </c>
      <c r="B64" s="69">
        <f>COUNTIFS(Jan!$B:$B,2111,Jan!$F:$F,456)</f>
        <v>5</v>
      </c>
      <c r="C64" s="69">
        <v>2</v>
      </c>
      <c r="D64" s="69">
        <f>COUNTIFS(Mar!$B:$B,2111,Mar!$F:$F,456)</f>
        <v>0</v>
      </c>
      <c r="E64" s="69">
        <v>1</v>
      </c>
      <c r="F64" s="69">
        <f>COUNTIFS(May!$B:$B,2111,May!$F:$F,456)</f>
        <v>0</v>
      </c>
      <c r="G64" s="69">
        <f>COUNTIFS(Jun!$B:$B,2111,Jun!$F:$F,456)</f>
        <v>0</v>
      </c>
      <c r="H64" s="69">
        <f>COUNTIFS(Jul!$B:$B,2111,Jul!$F:$F,456)</f>
        <v>0</v>
      </c>
      <c r="I64" s="69">
        <f>COUNTIFS(Aug!$B:$B,2111,Aug!$F:$F,456)</f>
        <v>0</v>
      </c>
      <c r="J64" s="69">
        <f>COUNTIFS(Sep!$B:$B,2111,Sep!$F:$F,456)</f>
        <v>0</v>
      </c>
      <c r="K64" s="69">
        <f>COUNTIFS(Oct!$B:$B,2111,Oct!$F:$F,456)</f>
        <v>0</v>
      </c>
      <c r="L64" s="69">
        <f>COUNTIFS(Nov!$B:$B,2111,Nov!$F:$F,456)</f>
        <v>0</v>
      </c>
      <c r="M64" s="69">
        <v>0</v>
      </c>
    </row>
    <row r="65" spans="1:13" s="8" customFormat="1" ht="11.25" customHeight="1" thickBot="1">
      <c r="A65" s="12" t="s">
        <v>16</v>
      </c>
      <c r="B65" s="70">
        <f>SUM(B54:B64)</f>
        <v>5</v>
      </c>
      <c r="C65" s="70">
        <f t="shared" ref="C65:L65" si="13">SUM(C54:C64)</f>
        <v>3</v>
      </c>
      <c r="D65" s="70">
        <f t="shared" si="13"/>
        <v>2</v>
      </c>
      <c r="E65" s="70">
        <f t="shared" si="13"/>
        <v>5</v>
      </c>
      <c r="F65" s="70">
        <f t="shared" si="13"/>
        <v>2</v>
      </c>
      <c r="G65" s="70">
        <f t="shared" si="13"/>
        <v>1</v>
      </c>
      <c r="H65" s="70">
        <f t="shared" si="13"/>
        <v>4</v>
      </c>
      <c r="I65" s="70">
        <f t="shared" si="13"/>
        <v>6</v>
      </c>
      <c r="J65" s="70">
        <f t="shared" si="13"/>
        <v>3</v>
      </c>
      <c r="K65" s="70">
        <f t="shared" si="13"/>
        <v>0</v>
      </c>
      <c r="L65" s="165">
        <f t="shared" si="13"/>
        <v>6</v>
      </c>
      <c r="M65" s="170">
        <v>1</v>
      </c>
    </row>
    <row r="66" spans="1:13" s="8" customFormat="1" ht="15.75" customHeight="1">
      <c r="A66" s="6"/>
      <c r="B66" s="7"/>
      <c r="C66" s="7"/>
      <c r="D66" s="7"/>
      <c r="E66" s="7"/>
      <c r="F66" s="7"/>
      <c r="G66" s="7"/>
      <c r="H66" s="7"/>
      <c r="I66" s="7"/>
      <c r="J66" s="7"/>
      <c r="K66" s="7"/>
      <c r="L66" s="7"/>
      <c r="M66" s="7"/>
    </row>
    <row r="67" spans="1:13" ht="12" customHeight="1">
      <c r="A67" s="6"/>
      <c r="B67" s="7"/>
      <c r="C67" s="7"/>
      <c r="D67" s="7"/>
      <c r="E67" s="7"/>
      <c r="F67" s="7"/>
      <c r="G67" s="7"/>
      <c r="H67" s="7"/>
      <c r="I67" s="7"/>
      <c r="J67" s="7"/>
      <c r="K67" s="7"/>
      <c r="L67" s="7"/>
      <c r="M67" s="7"/>
    </row>
  </sheetData>
  <phoneticPr fontId="0" type="noConversion"/>
  <printOptions horizontalCentered="1" verticalCentered="1"/>
  <pageMargins left="0.14000000000000001" right="0.16" top="0.25" bottom="0.5" header="0.5" footer="0.25"/>
  <pageSetup scale="95" firstPageNumber="3" orientation="portrait" useFirstPageNumber="1" r:id="rId1"/>
  <headerFooter alignWithMargins="0">
    <oddFooter>&amp;R23 of 51</oddFooter>
  </headerFooter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67"/>
  <sheetViews>
    <sheetView view="pageBreakPreview" topLeftCell="A19" zoomScale="90" zoomScaleNormal="100" zoomScaleSheetLayoutView="90" workbookViewId="0">
      <selection activeCell="M65" sqref="M65"/>
    </sheetView>
  </sheetViews>
  <sheetFormatPr defaultRowHeight="12.75"/>
  <cols>
    <col min="1" max="1" width="22.85546875" style="1" customWidth="1"/>
    <col min="2" max="13" width="7.140625" style="1" customWidth="1"/>
    <col min="14" max="14" width="4.42578125" style="1" customWidth="1"/>
    <col min="15" max="16384" width="9.140625" style="1"/>
  </cols>
  <sheetData>
    <row r="1" spans="1:21" ht="18" customHeight="1">
      <c r="A1" s="130"/>
      <c r="B1" s="131"/>
      <c r="C1" s="131"/>
      <c r="D1" s="131"/>
      <c r="E1" s="131"/>
      <c r="F1" s="131"/>
      <c r="G1" s="131"/>
      <c r="H1" s="130"/>
      <c r="I1" s="131"/>
      <c r="J1" s="131"/>
      <c r="K1" s="131"/>
      <c r="L1" s="130"/>
      <c r="M1" s="143" t="s">
        <v>22</v>
      </c>
    </row>
    <row r="2" spans="1:21" ht="18" customHeight="1">
      <c r="A2" s="130"/>
      <c r="B2" s="135"/>
      <c r="C2" s="135"/>
      <c r="D2" s="135"/>
      <c r="E2" s="135"/>
      <c r="F2" s="135"/>
      <c r="G2" s="135"/>
      <c r="H2" s="130"/>
      <c r="I2" s="135"/>
      <c r="J2" s="135"/>
      <c r="K2" s="135"/>
      <c r="L2" s="130"/>
      <c r="M2" s="155" t="s">
        <v>13</v>
      </c>
    </row>
    <row r="3" spans="1:21" s="5" customFormat="1" ht="18" customHeight="1">
      <c r="A3" s="133"/>
      <c r="B3" s="133"/>
      <c r="C3" s="133"/>
      <c r="D3" s="133"/>
      <c r="E3" s="133"/>
      <c r="F3" s="133"/>
      <c r="G3" s="133"/>
      <c r="H3" s="133"/>
      <c r="I3" s="133"/>
      <c r="J3" s="136"/>
      <c r="K3" s="136"/>
      <c r="L3" s="133"/>
      <c r="M3" s="155" t="s">
        <v>64</v>
      </c>
      <c r="N3" s="134"/>
      <c r="O3" s="134"/>
      <c r="P3" s="134"/>
      <c r="Q3" s="134"/>
      <c r="R3" s="134"/>
      <c r="S3" s="134"/>
      <c r="T3" s="134"/>
      <c r="U3" s="134"/>
    </row>
    <row r="4" spans="1:21" s="8" customFormat="1" ht="6.75" customHeight="1" thickBot="1">
      <c r="A4" s="38"/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</row>
    <row r="5" spans="1:21" s="8" customFormat="1" ht="11.25" customHeight="1" thickBot="1">
      <c r="A5" s="53" t="s">
        <v>19</v>
      </c>
      <c r="B5" s="50">
        <v>41275</v>
      </c>
      <c r="C5" s="47">
        <v>41306</v>
      </c>
      <c r="D5" s="47">
        <v>41334</v>
      </c>
      <c r="E5" s="47">
        <v>41365</v>
      </c>
      <c r="F5" s="47">
        <v>41395</v>
      </c>
      <c r="G5" s="47">
        <v>41426</v>
      </c>
      <c r="H5" s="47">
        <v>41456</v>
      </c>
      <c r="I5" s="47">
        <v>41487</v>
      </c>
      <c r="J5" s="47">
        <v>41518</v>
      </c>
      <c r="K5" s="47">
        <v>41548</v>
      </c>
      <c r="L5" s="47">
        <v>41579</v>
      </c>
      <c r="M5" s="51">
        <v>41609</v>
      </c>
    </row>
    <row r="6" spans="1:21" s="8" customFormat="1" ht="11.25" customHeight="1">
      <c r="A6" s="41" t="s">
        <v>129</v>
      </c>
      <c r="B6" s="57">
        <f t="shared" ref="B6:M6" si="0">B32</f>
        <v>10</v>
      </c>
      <c r="C6" s="57">
        <f t="shared" si="0"/>
        <v>4</v>
      </c>
      <c r="D6" s="57">
        <f t="shared" si="0"/>
        <v>4</v>
      </c>
      <c r="E6" s="57">
        <f t="shared" si="0"/>
        <v>2</v>
      </c>
      <c r="F6" s="57">
        <f t="shared" si="0"/>
        <v>8</v>
      </c>
      <c r="G6" s="57">
        <f t="shared" si="0"/>
        <v>9</v>
      </c>
      <c r="H6" s="57">
        <f t="shared" si="0"/>
        <v>11</v>
      </c>
      <c r="I6" s="57">
        <f t="shared" si="0"/>
        <v>10</v>
      </c>
      <c r="J6" s="57">
        <f t="shared" si="0"/>
        <v>8</v>
      </c>
      <c r="K6" s="57">
        <f t="shared" si="0"/>
        <v>2</v>
      </c>
      <c r="L6" s="156">
        <f t="shared" si="0"/>
        <v>10</v>
      </c>
      <c r="M6" s="168">
        <f t="shared" si="0"/>
        <v>11</v>
      </c>
    </row>
    <row r="7" spans="1:21" s="8" customFormat="1" ht="11.25" customHeight="1">
      <c r="A7" s="42" t="s">
        <v>18</v>
      </c>
      <c r="B7" s="57">
        <f t="shared" ref="B7:M7" si="1">SUM(B10:B12)</f>
        <v>21</v>
      </c>
      <c r="C7" s="57">
        <f t="shared" si="1"/>
        <v>7</v>
      </c>
      <c r="D7" s="57">
        <f t="shared" si="1"/>
        <v>19</v>
      </c>
      <c r="E7" s="57">
        <f t="shared" si="1"/>
        <v>9</v>
      </c>
      <c r="F7" s="57">
        <f t="shared" si="1"/>
        <v>15</v>
      </c>
      <c r="G7" s="57">
        <f t="shared" si="1"/>
        <v>18</v>
      </c>
      <c r="H7" s="57">
        <f t="shared" si="1"/>
        <v>25</v>
      </c>
      <c r="I7" s="57">
        <f t="shared" si="1"/>
        <v>25</v>
      </c>
      <c r="J7" s="57">
        <f t="shared" si="1"/>
        <v>22</v>
      </c>
      <c r="K7" s="57">
        <f t="shared" si="1"/>
        <v>25</v>
      </c>
      <c r="L7" s="156">
        <f t="shared" si="1"/>
        <v>19</v>
      </c>
      <c r="M7" s="171">
        <f t="shared" si="1"/>
        <v>26</v>
      </c>
    </row>
    <row r="8" spans="1:21" s="8" customFormat="1" ht="11.25" customHeight="1" thickBot="1">
      <c r="A8" s="43" t="s">
        <v>14</v>
      </c>
      <c r="B8" s="58">
        <f t="shared" ref="B8:M8" si="2">SUM(B6:B7)</f>
        <v>31</v>
      </c>
      <c r="C8" s="58">
        <f t="shared" si="2"/>
        <v>11</v>
      </c>
      <c r="D8" s="58">
        <f t="shared" si="2"/>
        <v>23</v>
      </c>
      <c r="E8" s="58">
        <f t="shared" si="2"/>
        <v>11</v>
      </c>
      <c r="F8" s="58">
        <f t="shared" si="2"/>
        <v>23</v>
      </c>
      <c r="G8" s="58">
        <f t="shared" si="2"/>
        <v>27</v>
      </c>
      <c r="H8" s="58">
        <f t="shared" si="2"/>
        <v>36</v>
      </c>
      <c r="I8" s="58">
        <f t="shared" si="2"/>
        <v>35</v>
      </c>
      <c r="J8" s="58">
        <f t="shared" si="2"/>
        <v>30</v>
      </c>
      <c r="K8" s="58">
        <f t="shared" si="2"/>
        <v>27</v>
      </c>
      <c r="L8" s="157">
        <f t="shared" si="2"/>
        <v>29</v>
      </c>
      <c r="M8" s="172">
        <f t="shared" si="2"/>
        <v>37</v>
      </c>
    </row>
    <row r="9" spans="1:21" s="8" customFormat="1" ht="11.25" customHeight="1" thickBot="1">
      <c r="A9" s="54" t="s">
        <v>18</v>
      </c>
      <c r="B9" s="50">
        <v>41275</v>
      </c>
      <c r="C9" s="47">
        <v>41306</v>
      </c>
      <c r="D9" s="47">
        <v>41334</v>
      </c>
      <c r="E9" s="47">
        <v>41365</v>
      </c>
      <c r="F9" s="47">
        <v>41395</v>
      </c>
      <c r="G9" s="47">
        <v>41426</v>
      </c>
      <c r="H9" s="47">
        <v>41456</v>
      </c>
      <c r="I9" s="47">
        <v>41487</v>
      </c>
      <c r="J9" s="47">
        <v>41518</v>
      </c>
      <c r="K9" s="47">
        <v>41548</v>
      </c>
      <c r="L9" s="47">
        <v>41579</v>
      </c>
      <c r="M9" s="51">
        <v>41609</v>
      </c>
    </row>
    <row r="10" spans="1:21" s="8" customFormat="1" ht="11.25" customHeight="1">
      <c r="A10" s="9" t="s">
        <v>128</v>
      </c>
      <c r="B10" s="57">
        <f t="shared" ref="B10:M10" si="3">B52</f>
        <v>12</v>
      </c>
      <c r="C10" s="57">
        <f t="shared" si="3"/>
        <v>5</v>
      </c>
      <c r="D10" s="57">
        <f t="shared" si="3"/>
        <v>11</v>
      </c>
      <c r="E10" s="57">
        <f t="shared" si="3"/>
        <v>3</v>
      </c>
      <c r="F10" s="57">
        <f t="shared" si="3"/>
        <v>3</v>
      </c>
      <c r="G10" s="59">
        <f t="shared" si="3"/>
        <v>9</v>
      </c>
      <c r="H10" s="59">
        <f t="shared" si="3"/>
        <v>15</v>
      </c>
      <c r="I10" s="59">
        <f t="shared" si="3"/>
        <v>14</v>
      </c>
      <c r="J10" s="59">
        <f t="shared" si="3"/>
        <v>15</v>
      </c>
      <c r="K10" s="59">
        <f t="shared" si="3"/>
        <v>11</v>
      </c>
      <c r="L10" s="158">
        <f t="shared" si="3"/>
        <v>7</v>
      </c>
      <c r="M10" s="168">
        <f t="shared" si="3"/>
        <v>18</v>
      </c>
    </row>
    <row r="11" spans="1:21" s="8" customFormat="1" ht="11.25" customHeight="1">
      <c r="A11" s="9" t="s">
        <v>127</v>
      </c>
      <c r="B11" s="59">
        <f t="shared" ref="B11:M11" si="4">B65</f>
        <v>5</v>
      </c>
      <c r="C11" s="59">
        <f t="shared" si="4"/>
        <v>0</v>
      </c>
      <c r="D11" s="59">
        <f t="shared" si="4"/>
        <v>4</v>
      </c>
      <c r="E11" s="59">
        <f t="shared" si="4"/>
        <v>1</v>
      </c>
      <c r="F11" s="59">
        <f t="shared" si="4"/>
        <v>2</v>
      </c>
      <c r="G11" s="59">
        <f t="shared" si="4"/>
        <v>4</v>
      </c>
      <c r="H11" s="59">
        <f t="shared" si="4"/>
        <v>1</v>
      </c>
      <c r="I11" s="59">
        <f t="shared" si="4"/>
        <v>2</v>
      </c>
      <c r="J11" s="59">
        <f t="shared" si="4"/>
        <v>1</v>
      </c>
      <c r="K11" s="59">
        <f t="shared" si="4"/>
        <v>0</v>
      </c>
      <c r="L11" s="158">
        <f t="shared" si="4"/>
        <v>0</v>
      </c>
      <c r="M11" s="169">
        <f t="shared" si="4"/>
        <v>1</v>
      </c>
    </row>
    <row r="12" spans="1:21" s="8" customFormat="1" ht="11.25" customHeight="1" thickBot="1">
      <c r="A12" s="2" t="s">
        <v>12</v>
      </c>
      <c r="B12" s="60">
        <f>COUNTIFS(Jan!$B:$B,2112,Jan!$F:$F,800)</f>
        <v>4</v>
      </c>
      <c r="C12" s="60">
        <v>2</v>
      </c>
      <c r="D12" s="60">
        <v>4</v>
      </c>
      <c r="E12" s="60">
        <v>5</v>
      </c>
      <c r="F12" s="60">
        <v>10</v>
      </c>
      <c r="G12" s="60">
        <v>5</v>
      </c>
      <c r="H12" s="60">
        <v>9</v>
      </c>
      <c r="I12" s="60">
        <v>9</v>
      </c>
      <c r="J12" s="60">
        <v>6</v>
      </c>
      <c r="K12" s="60">
        <v>14</v>
      </c>
      <c r="L12" s="60">
        <v>12</v>
      </c>
      <c r="M12" s="60">
        <v>7</v>
      </c>
    </row>
    <row r="13" spans="1:21" s="8" customFormat="1" ht="5.0999999999999996" customHeight="1" thickBot="1">
      <c r="A13" s="3"/>
      <c r="B13" s="17"/>
      <c r="C13" s="17"/>
      <c r="D13" s="17"/>
      <c r="E13" s="17"/>
      <c r="F13" s="17"/>
      <c r="G13" s="17"/>
      <c r="H13" s="17"/>
      <c r="I13" s="17"/>
      <c r="J13" s="17"/>
      <c r="K13" s="17"/>
      <c r="L13" s="17"/>
      <c r="M13" s="147"/>
    </row>
    <row r="14" spans="1:21" s="16" customFormat="1" ht="11.25" customHeight="1">
      <c r="A14" s="44" t="s">
        <v>131</v>
      </c>
      <c r="B14" s="120">
        <v>6302</v>
      </c>
      <c r="C14" s="120">
        <v>5129</v>
      </c>
      <c r="D14" s="120">
        <v>6960</v>
      </c>
      <c r="E14" s="120">
        <v>6977</v>
      </c>
      <c r="F14" s="120">
        <v>7867</v>
      </c>
      <c r="G14" s="120">
        <v>7263</v>
      </c>
      <c r="H14" s="119">
        <v>6549</v>
      </c>
      <c r="I14" s="61">
        <v>8438</v>
      </c>
      <c r="J14" s="61">
        <v>8123</v>
      </c>
      <c r="K14" s="118">
        <v>8106</v>
      </c>
      <c r="L14" s="160">
        <v>6944</v>
      </c>
      <c r="M14" s="173">
        <v>7906</v>
      </c>
      <c r="O14" s="22"/>
      <c r="P14" s="22"/>
      <c r="Q14" s="22"/>
    </row>
    <row r="15" spans="1:21" s="8" customFormat="1" ht="11.25" customHeight="1">
      <c r="A15" s="45" t="s">
        <v>132</v>
      </c>
      <c r="B15" s="62">
        <f>IFERROR((SUMIFS(Jan!$N:$N,Jan!$J:$J,1,Jan!$B:$B,2112)+SUMIFS(Jan!$N:$N,Jan!$D:$D,"&gt;1",Jan!$B:$B,2112))/(COUNTIFS(Jan!$J:$J,1,Jan!$B:$B,2112)+COUNTIFS(Jan!$D:$D,"&gt;1",Jan!$B:$B,2112)),"")</f>
        <v>23.25</v>
      </c>
      <c r="C15" s="62">
        <v>22.5</v>
      </c>
      <c r="D15" s="62">
        <v>21.38</v>
      </c>
      <c r="E15" s="62">
        <v>22.4</v>
      </c>
      <c r="F15" s="62">
        <v>20.88</v>
      </c>
      <c r="G15" s="62">
        <v>18.739999999999998</v>
      </c>
      <c r="H15" s="62">
        <v>21.9</v>
      </c>
      <c r="I15" s="62">
        <v>21.5</v>
      </c>
      <c r="J15" s="62">
        <v>22.26</v>
      </c>
      <c r="K15" s="62">
        <v>22.12</v>
      </c>
      <c r="L15" s="62">
        <v>24.95</v>
      </c>
      <c r="M15" s="62">
        <v>23.81</v>
      </c>
      <c r="N15" s="15"/>
      <c r="O15" s="1"/>
      <c r="P15" s="1"/>
      <c r="Q15" s="1"/>
    </row>
    <row r="16" spans="1:21" s="8" customFormat="1" ht="11.25" customHeight="1">
      <c r="A16" s="45" t="s">
        <v>133</v>
      </c>
      <c r="B16" s="62">
        <f>IFERROR(AVERAGEIFS(Jan!$N:$N,Jan!$F:$F,800,Jan!$B:$B,2112),"")</f>
        <v>23.25</v>
      </c>
      <c r="C16" s="62">
        <v>20</v>
      </c>
      <c r="D16" s="62">
        <v>20.2</v>
      </c>
      <c r="E16" s="62">
        <v>22.5</v>
      </c>
      <c r="F16" s="62">
        <v>21.2</v>
      </c>
      <c r="G16" s="62">
        <v>20.6</v>
      </c>
      <c r="H16" s="62">
        <v>23.44</v>
      </c>
      <c r="I16" s="62">
        <v>22.33</v>
      </c>
      <c r="J16" s="62">
        <v>21.4</v>
      </c>
      <c r="K16" s="62">
        <v>22.21</v>
      </c>
      <c r="L16" s="62">
        <v>26.67</v>
      </c>
      <c r="M16" s="62">
        <v>25</v>
      </c>
      <c r="O16" s="1"/>
      <c r="P16" s="1"/>
      <c r="Q16" s="1"/>
    </row>
    <row r="17" spans="1:17" s="8" customFormat="1" ht="11.25" customHeight="1">
      <c r="A17" s="45" t="s">
        <v>134</v>
      </c>
      <c r="B17" s="63">
        <f>IFERROR((SUMIFS(Jan!$M:$M,Jan!$J:$J,1,Jan!$B:$B,2112)+SUMIFS(Jan!$M:$M,Jan!$D:$D,"&gt;1",Jan!$B:$B,2112))/(COUNTIFS(Jan!$J:$J,1,Jan!$B:$B,2112)+COUNTIFS(Jan!$D:$D,"&gt;1",Jan!$B:$B,2112)),"")</f>
        <v>2</v>
      </c>
      <c r="C17" s="63">
        <v>3.14</v>
      </c>
      <c r="D17" s="63">
        <v>2.39</v>
      </c>
      <c r="E17" s="63">
        <v>0.64</v>
      </c>
      <c r="F17" s="63">
        <v>3.49</v>
      </c>
      <c r="G17" s="63">
        <v>4.59</v>
      </c>
      <c r="H17" s="63">
        <v>2.85</v>
      </c>
      <c r="I17" s="63">
        <v>4.5599999999999996</v>
      </c>
      <c r="J17" s="63">
        <v>3.49</v>
      </c>
      <c r="K17" s="63">
        <v>2.54</v>
      </c>
      <c r="L17" s="63">
        <v>2.7</v>
      </c>
      <c r="M17" s="63">
        <v>1.91</v>
      </c>
      <c r="O17" s="1"/>
      <c r="P17" s="1"/>
      <c r="Q17" s="1"/>
    </row>
    <row r="18" spans="1:17" s="8" customFormat="1" ht="11.25" customHeight="1" thickBot="1">
      <c r="A18" s="43" t="s">
        <v>135</v>
      </c>
      <c r="B18" s="64">
        <f>IFERROR(AVERAGEIFS(Jan!$M:$M,Jan!$F:$F,800,Jan!$B:$B,2112),"")</f>
        <v>2</v>
      </c>
      <c r="C18" s="64">
        <v>0.45</v>
      </c>
      <c r="D18" s="64">
        <v>0.68</v>
      </c>
      <c r="E18" s="64">
        <v>0.4</v>
      </c>
      <c r="F18" s="64">
        <v>2.9</v>
      </c>
      <c r="G18" s="64">
        <v>4.4400000000000004</v>
      </c>
      <c r="H18" s="64">
        <v>1.47</v>
      </c>
      <c r="I18" s="64">
        <v>0.97</v>
      </c>
      <c r="J18" s="64">
        <v>1.78</v>
      </c>
      <c r="K18" s="64">
        <v>2.46</v>
      </c>
      <c r="L18" s="64">
        <v>2.17</v>
      </c>
      <c r="M18" s="64">
        <v>0.7</v>
      </c>
    </row>
    <row r="19" spans="1:17" s="8" customFormat="1" ht="5.0999999999999996" customHeight="1" thickBot="1">
      <c r="A19" s="3"/>
      <c r="B19" s="17"/>
      <c r="C19" s="17"/>
      <c r="D19" s="17"/>
      <c r="E19" s="17"/>
      <c r="F19" s="17"/>
      <c r="G19" s="17"/>
      <c r="H19" s="17"/>
      <c r="I19" s="17"/>
      <c r="J19" s="17"/>
      <c r="K19" s="17"/>
      <c r="L19" s="17"/>
      <c r="M19" s="147"/>
    </row>
    <row r="20" spans="1:17" s="8" customFormat="1" ht="11.25" customHeight="1">
      <c r="A20" s="42" t="s">
        <v>52</v>
      </c>
      <c r="B20" s="65">
        <v>31</v>
      </c>
      <c r="C20" s="65">
        <v>28</v>
      </c>
      <c r="D20" s="65">
        <v>31</v>
      </c>
      <c r="E20" s="65">
        <v>30</v>
      </c>
      <c r="F20" s="65">
        <v>31</v>
      </c>
      <c r="G20" s="65">
        <v>30</v>
      </c>
      <c r="H20" s="65">
        <v>31</v>
      </c>
      <c r="I20" s="65">
        <v>31</v>
      </c>
      <c r="J20" s="65">
        <v>30</v>
      </c>
      <c r="K20" s="65">
        <v>31</v>
      </c>
      <c r="L20" s="161">
        <v>30</v>
      </c>
      <c r="M20" s="174">
        <v>31</v>
      </c>
    </row>
    <row r="21" spans="1:17" s="8" customFormat="1" ht="11.25" customHeight="1">
      <c r="A21" s="9" t="s">
        <v>15</v>
      </c>
      <c r="B21" s="66">
        <f>B12/B20</f>
        <v>0.12903225806451613</v>
      </c>
      <c r="C21" s="66">
        <f t="shared" ref="C21:M21" si="5">C12/C20</f>
        <v>7.1428571428571425E-2</v>
      </c>
      <c r="D21" s="66">
        <f>D12/D20</f>
        <v>0.12903225806451613</v>
      </c>
      <c r="E21" s="66">
        <f>E12/E20</f>
        <v>0.16666666666666666</v>
      </c>
      <c r="F21" s="66">
        <f>F12/F20</f>
        <v>0.32258064516129031</v>
      </c>
      <c r="G21" s="66">
        <f>G12/G20</f>
        <v>0.16666666666666666</v>
      </c>
      <c r="H21" s="66">
        <f t="shared" si="5"/>
        <v>0.29032258064516131</v>
      </c>
      <c r="I21" s="66">
        <f t="shared" si="5"/>
        <v>0.29032258064516131</v>
      </c>
      <c r="J21" s="66">
        <f t="shared" si="5"/>
        <v>0.2</v>
      </c>
      <c r="K21" s="66">
        <f t="shared" si="5"/>
        <v>0.45161290322580644</v>
      </c>
      <c r="L21" s="162">
        <f t="shared" si="5"/>
        <v>0.4</v>
      </c>
      <c r="M21" s="175">
        <f t="shared" si="5"/>
        <v>0.22580645161290322</v>
      </c>
    </row>
    <row r="22" spans="1:17" s="8" customFormat="1" ht="11.25" customHeight="1">
      <c r="A22" s="9" t="s">
        <v>130</v>
      </c>
      <c r="B22" s="67">
        <f t="shared" ref="B22:G22" si="6">IFERROR(B12/B7,0)</f>
        <v>0.19047619047619047</v>
      </c>
      <c r="C22" s="67">
        <f t="shared" si="6"/>
        <v>0.2857142857142857</v>
      </c>
      <c r="D22" s="67">
        <f t="shared" si="6"/>
        <v>0.21052631578947367</v>
      </c>
      <c r="E22" s="67">
        <f t="shared" si="6"/>
        <v>0.55555555555555558</v>
      </c>
      <c r="F22" s="67">
        <f t="shared" si="6"/>
        <v>0.66666666666666663</v>
      </c>
      <c r="G22" s="67">
        <f t="shared" si="6"/>
        <v>0.27777777777777779</v>
      </c>
      <c r="H22" s="67">
        <f t="shared" ref="H22:M22" si="7">IFERROR(H12/H7,0)</f>
        <v>0.36</v>
      </c>
      <c r="I22" s="67">
        <f t="shared" si="7"/>
        <v>0.36</v>
      </c>
      <c r="J22" s="67">
        <f t="shared" si="7"/>
        <v>0.27272727272727271</v>
      </c>
      <c r="K22" s="116">
        <f t="shared" si="7"/>
        <v>0.56000000000000005</v>
      </c>
      <c r="L22" s="67">
        <f t="shared" si="7"/>
        <v>0.63157894736842102</v>
      </c>
      <c r="M22" s="176">
        <f t="shared" si="7"/>
        <v>0.26923076923076922</v>
      </c>
      <c r="N22" s="1"/>
    </row>
    <row r="23" spans="1:17" s="8" customFormat="1" ht="11.25" customHeight="1" thickBot="1">
      <c r="A23" s="9" t="s">
        <v>53</v>
      </c>
      <c r="B23" s="67">
        <f t="shared" ref="B23:G23" si="8">IFERROR(B12/(B11+B12),0)</f>
        <v>0.44444444444444442</v>
      </c>
      <c r="C23" s="67">
        <f t="shared" si="8"/>
        <v>1</v>
      </c>
      <c r="D23" s="67">
        <f t="shared" si="8"/>
        <v>0.5</v>
      </c>
      <c r="E23" s="67">
        <f t="shared" si="8"/>
        <v>0.83333333333333337</v>
      </c>
      <c r="F23" s="67">
        <f t="shared" si="8"/>
        <v>0.83333333333333337</v>
      </c>
      <c r="G23" s="67">
        <f t="shared" si="8"/>
        <v>0.55555555555555558</v>
      </c>
      <c r="H23" s="67">
        <f t="shared" ref="H23:M23" si="9">IFERROR(H12/(H11+H12),0)</f>
        <v>0.9</v>
      </c>
      <c r="I23" s="67">
        <f t="shared" si="9"/>
        <v>0.81818181818181823</v>
      </c>
      <c r="J23" s="67">
        <f t="shared" si="9"/>
        <v>0.8571428571428571</v>
      </c>
      <c r="K23" s="117">
        <f t="shared" si="9"/>
        <v>1</v>
      </c>
      <c r="L23" s="163">
        <f t="shared" si="9"/>
        <v>1</v>
      </c>
      <c r="M23" s="177">
        <f t="shared" si="9"/>
        <v>0.875</v>
      </c>
      <c r="N23" s="4"/>
    </row>
    <row r="24" spans="1:17" s="8" customFormat="1" ht="11.25" customHeight="1" thickBot="1">
      <c r="A24" s="56" t="s">
        <v>21</v>
      </c>
      <c r="B24" s="50">
        <v>41275</v>
      </c>
      <c r="C24" s="47">
        <v>41306</v>
      </c>
      <c r="D24" s="47">
        <v>41334</v>
      </c>
      <c r="E24" s="47">
        <v>41365</v>
      </c>
      <c r="F24" s="47">
        <v>41395</v>
      </c>
      <c r="G24" s="47">
        <v>41426</v>
      </c>
      <c r="H24" s="47">
        <v>41456</v>
      </c>
      <c r="I24" s="47">
        <v>41487</v>
      </c>
      <c r="J24" s="47">
        <v>41518</v>
      </c>
      <c r="K24" s="47">
        <v>41548</v>
      </c>
      <c r="L24" s="47">
        <v>41579</v>
      </c>
      <c r="M24" s="51">
        <v>41609</v>
      </c>
    </row>
    <row r="25" spans="1:17" s="8" customFormat="1" ht="11.25" customHeight="1">
      <c r="A25" s="18" t="s">
        <v>5</v>
      </c>
      <c r="B25" s="68">
        <f>COUNTIFS(Jan!$B:$B,2112,Jan!$J:$J,18)</f>
        <v>3</v>
      </c>
      <c r="C25" s="68">
        <f>COUNTIFS(Feb!$B:$B,2112,Feb!$J:$J,18)</f>
        <v>0</v>
      </c>
      <c r="D25" s="68">
        <v>2</v>
      </c>
      <c r="E25" s="68">
        <v>1</v>
      </c>
      <c r="F25" s="68">
        <v>2</v>
      </c>
      <c r="G25" s="68">
        <v>5</v>
      </c>
      <c r="H25" s="68">
        <v>4</v>
      </c>
      <c r="I25" s="68">
        <v>5</v>
      </c>
      <c r="J25" s="68">
        <v>5</v>
      </c>
      <c r="K25" s="68">
        <f>COUNTIFS(Oct!$B:$B,2112,Oct!$J:$J,18)</f>
        <v>0</v>
      </c>
      <c r="L25" s="68">
        <v>1</v>
      </c>
      <c r="M25" s="68">
        <v>6</v>
      </c>
    </row>
    <row r="26" spans="1:17" s="8" customFormat="1" ht="11.25" customHeight="1">
      <c r="A26" s="46" t="s">
        <v>40</v>
      </c>
      <c r="B26" s="57">
        <f>COUNTIFS(Jan!$B:$B,2112,Jan!$J:$J,41)</f>
        <v>0</v>
      </c>
      <c r="C26" s="57">
        <f>COUNTIFS(Feb!$B:$B,2112,Feb!$J:$J,41)</f>
        <v>0</v>
      </c>
      <c r="D26" s="57">
        <f>COUNTIFS(Mar!$B:$B,2112,Mar!$J:$J,41)</f>
        <v>0</v>
      </c>
      <c r="E26" s="57">
        <f>COUNTIFS(Apr!$B:$B,2112,Apr!$J:$J,41)</f>
        <v>0</v>
      </c>
      <c r="F26" s="57">
        <f>COUNTIFS(May!$B:$B,2112,May!$J:$J,41)</f>
        <v>0</v>
      </c>
      <c r="G26" s="57">
        <f>COUNTIFS(Jun!$B:$B,2112,Jun!$J:$J,41)</f>
        <v>0</v>
      </c>
      <c r="H26" s="57">
        <f>COUNTIFS(Jul!$B:$B,2112,Jul!$J:$J,41)</f>
        <v>0</v>
      </c>
      <c r="I26" s="57">
        <f>COUNTIFS(Aug!$B:$B,2112,Aug!$J:$J,41)</f>
        <v>0</v>
      </c>
      <c r="J26" s="57">
        <f>COUNTIFS(Sep!$B:$B,2112,Sep!$J:$J,41)</f>
        <v>0</v>
      </c>
      <c r="K26" s="57">
        <f>COUNTIFS(Oct!$B:$B,2112,Oct!$J:$J,41)</f>
        <v>0</v>
      </c>
      <c r="L26" s="57">
        <f>COUNTIFS(Nov!$B:$B,2112,Nov!$J:$J,41)</f>
        <v>0</v>
      </c>
      <c r="M26" s="57">
        <v>0</v>
      </c>
    </row>
    <row r="27" spans="1:17" s="8" customFormat="1" ht="11.25" customHeight="1">
      <c r="A27" s="9" t="s">
        <v>11</v>
      </c>
      <c r="B27" s="179">
        <f>COUNTIFS(Jan!$B:$B,2112,Jan!$J:$J,17)</f>
        <v>7</v>
      </c>
      <c r="C27" s="206">
        <v>4</v>
      </c>
      <c r="D27" s="206">
        <v>2</v>
      </c>
      <c r="E27" s="206">
        <v>1</v>
      </c>
      <c r="F27" s="206">
        <v>6</v>
      </c>
      <c r="G27" s="206">
        <v>4</v>
      </c>
      <c r="H27" s="206">
        <v>7</v>
      </c>
      <c r="I27" s="206">
        <v>5</v>
      </c>
      <c r="J27" s="206">
        <v>1</v>
      </c>
      <c r="K27" s="206">
        <v>1</v>
      </c>
      <c r="L27" s="206">
        <v>9</v>
      </c>
      <c r="M27" s="206">
        <v>5</v>
      </c>
    </row>
    <row r="28" spans="1:17" s="8" customFormat="1" ht="11.25" customHeight="1">
      <c r="A28" s="9" t="s">
        <v>143</v>
      </c>
      <c r="B28" s="59">
        <f>COUNTIFS(Jan!$B:$B,2112,Jan!$F:$F,455)</f>
        <v>0</v>
      </c>
      <c r="C28" s="59">
        <f>COUNTIFS(Feb!$B:$B,2112,Feb!$F:$F,455)</f>
        <v>0</v>
      </c>
      <c r="D28" s="59">
        <f>COUNTIFS(Mar!$B:$B,2112,Mar!$F:$F,455)</f>
        <v>0</v>
      </c>
      <c r="E28" s="59">
        <f>COUNTIFS(Apr!$B:$B,2112,Apr!$F:$F,455)</f>
        <v>0</v>
      </c>
      <c r="F28" s="59">
        <f>COUNTIFS(May!$B:$B,2112,May!$F:$F,455)</f>
        <v>0</v>
      </c>
      <c r="G28" s="59">
        <f>COUNTIFS(Jun!$B:$B,2112,Jun!$F:$F,455)</f>
        <v>0</v>
      </c>
      <c r="H28" s="59">
        <f>COUNTIFS(Jul!$B:$B,2112,Jul!$F:$F,455)</f>
        <v>0</v>
      </c>
      <c r="I28" s="59">
        <f>COUNTIFS(Aug!$B:$B,2112,Aug!$F:$F,455)</f>
        <v>0</v>
      </c>
      <c r="J28" s="59">
        <f>COUNTIFS(Sep!$B:$B,2112,Sep!$F:$F,455)</f>
        <v>0</v>
      </c>
      <c r="K28" s="59">
        <f>COUNTIFS(Oct!$B:$B,2112,Oct!$F:$F,455)</f>
        <v>0</v>
      </c>
      <c r="L28" s="59">
        <f>COUNTIFS(Nov!$B:$B,2112,Nov!$F:$F,455)</f>
        <v>0</v>
      </c>
      <c r="M28" s="59">
        <v>0</v>
      </c>
    </row>
    <row r="29" spans="1:17" s="8" customFormat="1" ht="11.25" customHeight="1">
      <c r="A29" s="9" t="s">
        <v>23</v>
      </c>
      <c r="B29" s="59">
        <f>COUNTIFS(Jan!$B:$B,2112,Jan!$J:$J,31)</f>
        <v>0</v>
      </c>
      <c r="C29" s="59">
        <f>COUNTIFS(Feb!$B:$B,2112,Feb!$J:$J,31)</f>
        <v>0</v>
      </c>
      <c r="D29" s="59">
        <f>COUNTIFS(Mar!$B:$B,2112,Mar!$J:$J,31)</f>
        <v>0</v>
      </c>
      <c r="E29" s="59">
        <f>COUNTIFS(Apr!$B:$B,2112,Apr!$J:$J,31)</f>
        <v>0</v>
      </c>
      <c r="F29" s="59">
        <f>COUNTIFS(May!$B:$B,2112,May!$J:$J,31)</f>
        <v>0</v>
      </c>
      <c r="G29" s="59">
        <f>COUNTIFS(Jun!$B:$B,2112,Jun!$J:$J,31)</f>
        <v>0</v>
      </c>
      <c r="H29" s="59">
        <f>COUNTIFS(Jul!$B:$B,2112,Jul!$J:$J,31)</f>
        <v>0</v>
      </c>
      <c r="I29" s="59">
        <f>COUNTIFS(Aug!$B:$B,2112,Aug!$J:$J,31)</f>
        <v>0</v>
      </c>
      <c r="J29" s="59">
        <f>COUNTIFS(Sep!$B:$B,2112,Sep!$J:$J,31)</f>
        <v>0</v>
      </c>
      <c r="K29" s="59">
        <f>COUNTIFS(Oct!$B:$B,2112,Oct!$J:$J,31)</f>
        <v>0</v>
      </c>
      <c r="L29" s="59">
        <f>COUNTIFS(Nov!$B:$B,2112,Nov!$J:$J,31)</f>
        <v>0</v>
      </c>
      <c r="M29" s="59">
        <v>0</v>
      </c>
    </row>
    <row r="30" spans="1:17" s="8" customFormat="1" ht="11.25" customHeight="1">
      <c r="A30" s="9" t="s">
        <v>37</v>
      </c>
      <c r="B30" s="59">
        <f>COUNTIFS(Jan!$B:$B,2112,Jan!$J:$J,4400)</f>
        <v>0</v>
      </c>
      <c r="C30" s="59">
        <f>COUNTIFS(Feb!$B:$B,2112,Feb!$J:$J,4400)</f>
        <v>0</v>
      </c>
      <c r="D30" s="59">
        <f>COUNTIFS(Mar!$B:$B,2112,Mar!$J:$J,4400)</f>
        <v>0</v>
      </c>
      <c r="E30" s="59">
        <f>COUNTIFS(Apr!$B:$B,2112,Apr!$J:$J,4400)</f>
        <v>0</v>
      </c>
      <c r="F30" s="59">
        <f>COUNTIFS(May!$B:$B,2112,May!$J:$J,4400)</f>
        <v>0</v>
      </c>
      <c r="G30" s="59">
        <f>COUNTIFS(Jun!$B:$B,2112,Jun!$J:$J,4400)</f>
        <v>0</v>
      </c>
      <c r="H30" s="59">
        <f>COUNTIFS(Jul!$B:$B,2112,Jul!$J:$J,4400)</f>
        <v>0</v>
      </c>
      <c r="I30" s="59">
        <f>COUNTIFS(Aug!$B:$B,2112,Aug!$J:$J,4400)</f>
        <v>0</v>
      </c>
      <c r="J30" s="59">
        <v>2</v>
      </c>
      <c r="K30" s="59">
        <v>1</v>
      </c>
      <c r="L30" s="59">
        <f>COUNTIFS(Nov!$B:$B,2112,Nov!$J:$J,4400)</f>
        <v>0</v>
      </c>
      <c r="M30" s="59">
        <v>0</v>
      </c>
    </row>
    <row r="31" spans="1:17" s="8" customFormat="1" ht="11.25" customHeight="1">
      <c r="A31" s="10" t="s">
        <v>24</v>
      </c>
      <c r="B31" s="59">
        <f>COUNTIFS(Jan!$B:$B,2112,Jan!$J:$J,30)</f>
        <v>0</v>
      </c>
      <c r="C31" s="59">
        <f>COUNTIFS(Feb!$B:$B,2112,Feb!$J:$J,30)</f>
        <v>0</v>
      </c>
      <c r="D31" s="59">
        <f>COUNTIFS(Mar!$B:$B,2112,Mar!$J:$J,30)</f>
        <v>0</v>
      </c>
      <c r="E31" s="59">
        <f>COUNTIFS(Apr!$B:$B,2112,Apr!$J:$J,30)</f>
        <v>0</v>
      </c>
      <c r="F31" s="59">
        <f>COUNTIFS(May!$B:$B,2112,May!$J:$J,30)</f>
        <v>0</v>
      </c>
      <c r="G31" s="59">
        <f>COUNTIFS(Jun!$B:$B,2112,Jun!$J:$J,30)</f>
        <v>0</v>
      </c>
      <c r="H31" s="59">
        <f>COUNTIFS(Jul!$B:$B,2112,Jul!$J:$J,30)</f>
        <v>0</v>
      </c>
      <c r="I31" s="59">
        <f>COUNTIFS(Aug!$B:$B,2112,Aug!$J:$J,30)</f>
        <v>0</v>
      </c>
      <c r="J31" s="59">
        <f>COUNTIFS(Sep!$B:$B,2112,Sep!$J:$J,30)</f>
        <v>0</v>
      </c>
      <c r="K31" s="59">
        <f>COUNTIFS(Oct!$B:$B,2112,Oct!$J:$J,30)</f>
        <v>0</v>
      </c>
      <c r="L31" s="59">
        <f>COUNTIFS(Nov!$B:$B,2112,Nov!$J:$J,30)</f>
        <v>0</v>
      </c>
      <c r="M31" s="59">
        <v>0</v>
      </c>
    </row>
    <row r="32" spans="1:17" s="14" customFormat="1" ht="11.25" customHeight="1" thickBot="1">
      <c r="A32" s="2" t="s">
        <v>140</v>
      </c>
      <c r="B32" s="60">
        <f>SUM(B25:B31)</f>
        <v>10</v>
      </c>
      <c r="C32" s="60">
        <f t="shared" ref="C32:M32" si="10">SUM(C25:C31)</f>
        <v>4</v>
      </c>
      <c r="D32" s="60">
        <f>SUM(D25:D31)</f>
        <v>4</v>
      </c>
      <c r="E32" s="60">
        <f>SUM(E25:E31)</f>
        <v>2</v>
      </c>
      <c r="F32" s="60">
        <f>SUM(F25:F31)</f>
        <v>8</v>
      </c>
      <c r="G32" s="60">
        <f>SUM(G25:G31)</f>
        <v>9</v>
      </c>
      <c r="H32" s="60">
        <f t="shared" si="10"/>
        <v>11</v>
      </c>
      <c r="I32" s="60">
        <f t="shared" si="10"/>
        <v>10</v>
      </c>
      <c r="J32" s="60">
        <f t="shared" si="10"/>
        <v>8</v>
      </c>
      <c r="K32" s="60">
        <f t="shared" si="10"/>
        <v>2</v>
      </c>
      <c r="L32" s="159">
        <f t="shared" si="10"/>
        <v>10</v>
      </c>
      <c r="M32" s="170">
        <f t="shared" si="10"/>
        <v>11</v>
      </c>
    </row>
    <row r="33" spans="1:13" ht="12" customHeight="1" thickBot="1">
      <c r="A33" s="55" t="s">
        <v>136</v>
      </c>
      <c r="B33" s="50">
        <v>41275</v>
      </c>
      <c r="C33" s="47">
        <v>41306</v>
      </c>
      <c r="D33" s="47">
        <v>41334</v>
      </c>
      <c r="E33" s="47">
        <v>41365</v>
      </c>
      <c r="F33" s="47">
        <v>41395</v>
      </c>
      <c r="G33" s="47">
        <v>41426</v>
      </c>
      <c r="H33" s="47">
        <v>41456</v>
      </c>
      <c r="I33" s="47">
        <v>41487</v>
      </c>
      <c r="J33" s="47">
        <v>41518</v>
      </c>
      <c r="K33" s="47">
        <v>41548</v>
      </c>
      <c r="L33" s="47">
        <v>41579</v>
      </c>
      <c r="M33" s="51">
        <v>41609</v>
      </c>
    </row>
    <row r="34" spans="1:13" s="8" customFormat="1" ht="11.25" customHeight="1">
      <c r="A34" s="46" t="s">
        <v>33</v>
      </c>
      <c r="B34" s="57">
        <f>COUNTIFS(Jan!$B:$B,2112,Jan!$J:$J,40)</f>
        <v>0</v>
      </c>
      <c r="C34" s="57">
        <f>COUNTIFS(Feb!$B:$B,2112,Feb!$J:$J,40)</f>
        <v>0</v>
      </c>
      <c r="D34" s="57">
        <f>COUNTIFS(Mar!$B:$B,2112,Mar!$J:$J,40)</f>
        <v>0</v>
      </c>
      <c r="E34" s="57">
        <f>COUNTIFS(Apr!$B:$B,2112,Apr!$J:$J,40)</f>
        <v>0</v>
      </c>
      <c r="F34" s="57">
        <f>COUNTIFS(May!$B:$B,2112,May!$J:$J,40)</f>
        <v>0</v>
      </c>
      <c r="G34" s="57">
        <f>COUNTIFS(Jun!$B:$B,2112,Jun!$J:$J,40)</f>
        <v>0</v>
      </c>
      <c r="H34" s="57">
        <f>COUNTIFS(Jul!$B:$B,2112,Jul!$J:$J,40)</f>
        <v>0</v>
      </c>
      <c r="I34" s="57">
        <f>COUNTIFS(Aug!$B:$B,2112,Aug!$J:$J,40)</f>
        <v>0</v>
      </c>
      <c r="J34" s="57">
        <f>COUNTIFS(Sep!$B:$B,2112,Sep!$J:$J,40)</f>
        <v>0</v>
      </c>
      <c r="K34" s="57">
        <f>COUNTIFS(Oct!$B:$B,2112,Oct!$J:$J,40)</f>
        <v>0</v>
      </c>
      <c r="L34" s="57">
        <f>COUNTIFS(Nov!$B:$B,2112,Nov!$J:$J,40)</f>
        <v>0</v>
      </c>
      <c r="M34" s="57">
        <v>0</v>
      </c>
    </row>
    <row r="35" spans="1:13" s="8" customFormat="1" ht="11.25" customHeight="1">
      <c r="A35" s="10" t="s">
        <v>4</v>
      </c>
      <c r="B35" s="59">
        <f>COUNTIFS(Jan!$B:$B,2112,Jan!$J:$J,15)</f>
        <v>0</v>
      </c>
      <c r="C35" s="59">
        <f>COUNTIFS(Feb!$B:$B,2112,Feb!$J:$J,15)</f>
        <v>0</v>
      </c>
      <c r="D35" s="59">
        <v>1</v>
      </c>
      <c r="E35" s="59">
        <v>1</v>
      </c>
      <c r="F35" s="59">
        <f>COUNTIFS(May!$B:$B,2112,May!$J:$J,15)</f>
        <v>0</v>
      </c>
      <c r="G35" s="59">
        <f>COUNTIFS(Jun!$B:$B,2112,Jun!$J:$J,15)</f>
        <v>0</v>
      </c>
      <c r="H35" s="59">
        <f>COUNTIFS(Jul!$B:$B,2112,Jul!$J:$J,15)</f>
        <v>0</v>
      </c>
      <c r="I35" s="59">
        <v>2</v>
      </c>
      <c r="J35" s="59">
        <v>1</v>
      </c>
      <c r="K35" s="59">
        <f>COUNTIFS(Oct!$B:$B,2112,Oct!$J:$J,15)</f>
        <v>0</v>
      </c>
      <c r="L35" s="59">
        <f>COUNTIFS(Nov!$B:$B,2112,Nov!$J:$J,15)</f>
        <v>0</v>
      </c>
      <c r="M35" s="59">
        <v>0</v>
      </c>
    </row>
    <row r="36" spans="1:13" s="8" customFormat="1" ht="11.25" customHeight="1">
      <c r="A36" s="10" t="s">
        <v>39</v>
      </c>
      <c r="B36" s="59">
        <f>COUNTIFS(Jan!$B:$B,2112,Jan!$J:$J,29)</f>
        <v>1</v>
      </c>
      <c r="C36" s="59">
        <v>1</v>
      </c>
      <c r="D36" s="59">
        <v>1</v>
      </c>
      <c r="E36" s="59">
        <f>COUNTIFS(Apr!$B:$B,2112,Apr!$J:$J,29)</f>
        <v>0</v>
      </c>
      <c r="F36" s="59">
        <f>COUNTIFS(May!$B:$B,2112,May!$J:$J,29)</f>
        <v>0</v>
      </c>
      <c r="G36" s="59">
        <v>1</v>
      </c>
      <c r="H36" s="59">
        <v>2</v>
      </c>
      <c r="I36" s="59">
        <v>3</v>
      </c>
      <c r="J36" s="59">
        <v>2</v>
      </c>
      <c r="K36" s="59">
        <v>2</v>
      </c>
      <c r="L36" s="59">
        <v>4</v>
      </c>
      <c r="M36" s="59">
        <v>8</v>
      </c>
    </row>
    <row r="37" spans="1:13" s="8" customFormat="1" ht="11.25" customHeight="1">
      <c r="A37" s="10" t="s">
        <v>3</v>
      </c>
      <c r="B37" s="59">
        <f>COUNTIFS(Jan!$B:$B,2112,Jan!$J:$J,13)</f>
        <v>0</v>
      </c>
      <c r="C37" s="59">
        <f>COUNTIFS(Feb!$B:$B,2112,Feb!$J:$J,13)</f>
        <v>0</v>
      </c>
      <c r="D37" s="59">
        <f>COUNTIFS(Mar!$B:$B,2112,Mar!$J:$J,13)</f>
        <v>0</v>
      </c>
      <c r="E37" s="59">
        <f>COUNTIFS(Apr!$B:$B,2112,Apr!$J:$J,13)</f>
        <v>0</v>
      </c>
      <c r="F37" s="59">
        <f>COUNTIFS(May!$B:$B,2112,May!$J:$J,13)</f>
        <v>0</v>
      </c>
      <c r="G37" s="59">
        <f>COUNTIFS(Jun!$B:$B,2112,Jun!$J:$J,13)</f>
        <v>0</v>
      </c>
      <c r="H37" s="59">
        <v>1</v>
      </c>
      <c r="I37" s="59">
        <f>COUNTIFS(Aug!$B:$B,2112,Aug!$J:$J,13)</f>
        <v>0</v>
      </c>
      <c r="J37" s="59">
        <f>COUNTIFS(Sep!$B:$B,2112,Sep!$J:$J,13)</f>
        <v>0</v>
      </c>
      <c r="K37" s="59">
        <f>COUNTIFS(Oct!$B:$B,2112,Oct!$J:$J,13)</f>
        <v>0</v>
      </c>
      <c r="L37" s="59">
        <f>COUNTIFS(Nov!$B:$B,2112,Nov!$J:$J,13)</f>
        <v>0</v>
      </c>
      <c r="M37" s="59">
        <v>0</v>
      </c>
    </row>
    <row r="38" spans="1:13" s="8" customFormat="1" ht="11.25" customHeight="1">
      <c r="A38" s="9" t="s">
        <v>218</v>
      </c>
      <c r="B38" s="59">
        <f>COUNTIFS(Jan!$B:$B,2112,Jan!$J:$J,43)</f>
        <v>3</v>
      </c>
      <c r="C38" s="59">
        <v>1</v>
      </c>
      <c r="D38" s="59">
        <v>2</v>
      </c>
      <c r="E38" s="59">
        <f>COUNTIFS(Apr!$B:$B,2112,Apr!$J:$J,43)</f>
        <v>0</v>
      </c>
      <c r="F38" s="59">
        <v>1</v>
      </c>
      <c r="G38" s="59">
        <f>COUNTIFS(Jun!$B:$B,2112,Jun!$J:$J,43)</f>
        <v>0</v>
      </c>
      <c r="H38" s="59">
        <v>2</v>
      </c>
      <c r="I38" s="59">
        <f>COUNTIFS(Aug!$B:$B,2112,Aug!$J:$J,43)</f>
        <v>0</v>
      </c>
      <c r="J38" s="59">
        <v>2</v>
      </c>
      <c r="K38" s="59">
        <v>1</v>
      </c>
      <c r="L38" s="59">
        <v>1</v>
      </c>
      <c r="M38" s="59">
        <v>1</v>
      </c>
    </row>
    <row r="39" spans="1:13" s="8" customFormat="1" ht="11.25" customHeight="1">
      <c r="A39" s="10" t="s">
        <v>25</v>
      </c>
      <c r="B39" s="59">
        <f>COUNTIFS(Jan!$B:$B,2112,Jan!$J:$J,24)</f>
        <v>3</v>
      </c>
      <c r="C39" s="59">
        <v>1</v>
      </c>
      <c r="D39" s="59">
        <v>1</v>
      </c>
      <c r="E39" s="59">
        <f>COUNTIFS(Apr!$B:$B,2112,Apr!$J:$J,24)</f>
        <v>0</v>
      </c>
      <c r="F39" s="59">
        <v>1</v>
      </c>
      <c r="G39" s="59">
        <v>4</v>
      </c>
      <c r="H39" s="59">
        <f>COUNTIFS(Jul!$B:$B,2112,Jul!$J:$J,24)</f>
        <v>0</v>
      </c>
      <c r="I39" s="59">
        <v>2</v>
      </c>
      <c r="J39" s="59">
        <v>3</v>
      </c>
      <c r="K39" s="59">
        <v>5</v>
      </c>
      <c r="L39" s="59">
        <f>COUNTIFS(Nov!$B:$B,2112,Nov!$J:$J,24)</f>
        <v>0</v>
      </c>
      <c r="M39" s="59">
        <v>4</v>
      </c>
    </row>
    <row r="40" spans="1:13" s="8" customFormat="1" ht="11.25" customHeight="1">
      <c r="A40" s="10" t="s">
        <v>34</v>
      </c>
      <c r="B40" s="59">
        <f>COUNTIFS(Jan!$B:$B,2112,Jan!$J:$J,9)</f>
        <v>0</v>
      </c>
      <c r="C40" s="59">
        <f>COUNTIFS(Feb!$B:$B,2112,Feb!$J:$J,9)</f>
        <v>0</v>
      </c>
      <c r="D40" s="59">
        <f>COUNTIFS(Mar!$B:$B,2112,Mar!$J:$J,9)</f>
        <v>0</v>
      </c>
      <c r="E40" s="59">
        <f>COUNTIFS(Apr!$B:$B,2112,Apr!$J:$J,9)</f>
        <v>0</v>
      </c>
      <c r="F40" s="59">
        <f>COUNTIFS(May!$B:$B,2112,May!$J:$J,9)</f>
        <v>0</v>
      </c>
      <c r="G40" s="59">
        <f>COUNTIFS(Jun!$B:$B,2112,Jun!$J:$J,9)</f>
        <v>0</v>
      </c>
      <c r="H40" s="59">
        <f>COUNTIFS(Jul!$B:$B,2112,Jul!$J:$J,9)</f>
        <v>0</v>
      </c>
      <c r="I40" s="59">
        <f>COUNTIFS(Aug!$B:$B,2112,Aug!$J:$J,9)</f>
        <v>0</v>
      </c>
      <c r="J40" s="59">
        <f>COUNTIFS(Sep!$B:$B,2112,Sep!$J:$J,9)</f>
        <v>0</v>
      </c>
      <c r="K40" s="59">
        <f>COUNTIFS(Oct!$B:$B,2112,Oct!$J:$J,9)</f>
        <v>0</v>
      </c>
      <c r="L40" s="59">
        <f>COUNTIFS(Nov!$B:$B,2112,Nov!$J:$J,9)</f>
        <v>0</v>
      </c>
      <c r="M40" s="59">
        <v>0</v>
      </c>
    </row>
    <row r="41" spans="1:13" s="8" customFormat="1" ht="11.25" customHeight="1">
      <c r="A41" s="10" t="s">
        <v>31</v>
      </c>
      <c r="B41" s="59">
        <f>COUNTIFS(Jan!$B:$B,2112,Jan!$J:$J,10)</f>
        <v>1</v>
      </c>
      <c r="C41" s="59">
        <f>COUNTIFS(Feb!$B:$B,2112,Feb!$J:$J,10)</f>
        <v>0</v>
      </c>
      <c r="D41" s="59">
        <v>1</v>
      </c>
      <c r="E41" s="59">
        <f>COUNTIFS(Apr!$B:$B,2112,Apr!$J:$J,10)</f>
        <v>0</v>
      </c>
      <c r="F41" s="59">
        <f>COUNTIFS(May!$B:$B,2112,May!$J:$J,10)</f>
        <v>0</v>
      </c>
      <c r="G41" s="59">
        <v>1</v>
      </c>
      <c r="H41" s="59">
        <v>6</v>
      </c>
      <c r="I41" s="59">
        <f>COUNTIFS(Aug!$B:$B,2112,Aug!$J:$J,10)</f>
        <v>0</v>
      </c>
      <c r="J41" s="59">
        <v>1</v>
      </c>
      <c r="K41" s="59">
        <f>COUNTIFS(Oct!$B:$B,2112,Oct!$J:$J,10)</f>
        <v>0</v>
      </c>
      <c r="L41" s="59">
        <v>1</v>
      </c>
      <c r="M41" s="59">
        <v>0</v>
      </c>
    </row>
    <row r="42" spans="1:13" s="8" customFormat="1" ht="11.25" customHeight="1">
      <c r="A42" s="10" t="s">
        <v>144</v>
      </c>
      <c r="B42" s="59">
        <f>COUNTIFS(Jan!$B:$B,2112,Jan!$F:$F,462)</f>
        <v>0</v>
      </c>
      <c r="C42" s="59">
        <f>COUNTIFS(Feb!$B:$B,2112,Feb!$F:$F,462)</f>
        <v>0</v>
      </c>
      <c r="D42" s="59">
        <f>COUNTIFS(Mar!$B:$B,2112,Mar!$F:$F,462)</f>
        <v>0</v>
      </c>
      <c r="E42" s="59">
        <f>COUNTIFS(Apr!$B:$B,2112,Apr!$F:$F,462)</f>
        <v>0</v>
      </c>
      <c r="F42" s="59">
        <f>COUNTIFS(May!$B:$B,2112,May!$F:$F,462)</f>
        <v>0</v>
      </c>
      <c r="G42" s="59">
        <f>COUNTIFS(Jun!$B:$B,2112,Jun!$F:$F,462)</f>
        <v>0</v>
      </c>
      <c r="H42" s="59">
        <f>COUNTIFS(Jul!$B:$B,2112,Jul!$F:$F,462)</f>
        <v>0</v>
      </c>
      <c r="I42" s="59">
        <f>COUNTIFS(Aug!$B:$B,2112,Aug!$F:$F,462)</f>
        <v>0</v>
      </c>
      <c r="J42" s="59">
        <f>COUNTIFS(Sep!$B:$B,2112,Sep!$F:$F,462)</f>
        <v>0</v>
      </c>
      <c r="K42" s="59">
        <f>COUNTIFS(Oct!$B:$B,2112,Oct!$F:$F,462)</f>
        <v>0</v>
      </c>
      <c r="L42" s="59">
        <f>COUNTIFS(Nov!$B:$B,2112,Nov!$F:$F,462)</f>
        <v>0</v>
      </c>
      <c r="M42" s="59">
        <v>0</v>
      </c>
    </row>
    <row r="43" spans="1:13" s="8" customFormat="1" ht="11.25" customHeight="1">
      <c r="A43" s="10" t="s">
        <v>1</v>
      </c>
      <c r="B43" s="59">
        <f>COUNTIFS(Jan!$B:$B,2112,Jan!$J:$J,11)</f>
        <v>2</v>
      </c>
      <c r="C43" s="59">
        <f>COUNTIFS(Feb!$B:$B,2112,Feb!$J:$J,11)</f>
        <v>0</v>
      </c>
      <c r="D43" s="59">
        <f>COUNTIFS(Mar!$B:$B,2112,Mar!$J:$J,11)</f>
        <v>0</v>
      </c>
      <c r="E43" s="59">
        <f>COUNTIFS(Apr!$B:$B,2112,Apr!$J:$J,11)</f>
        <v>0</v>
      </c>
      <c r="F43" s="59">
        <f>COUNTIFS(May!$B:$B,2112,May!$J:$J,11)</f>
        <v>0</v>
      </c>
      <c r="G43" s="59">
        <f>COUNTIFS(Jun!$B:$B,2112,Jun!$J:$J,11)</f>
        <v>0</v>
      </c>
      <c r="H43" s="59">
        <f>COUNTIFS(Jul!$B:$B,2112,Jul!$J:$J,11)</f>
        <v>0</v>
      </c>
      <c r="I43" s="59">
        <f>COUNTIFS(Aug!$B:$B,2112,Aug!$J:$J,11)</f>
        <v>0</v>
      </c>
      <c r="J43" s="59">
        <v>2</v>
      </c>
      <c r="K43" s="59">
        <f>COUNTIFS(Oct!$B:$B,2112,Oct!$J:$J,11)</f>
        <v>0</v>
      </c>
      <c r="L43" s="59">
        <f>COUNTIFS(Nov!$B:$B,2112,Nov!$J:$J,11)</f>
        <v>0</v>
      </c>
      <c r="M43" s="59">
        <v>0</v>
      </c>
    </row>
    <row r="44" spans="1:13" s="8" customFormat="1" ht="11.25" customHeight="1">
      <c r="A44" s="10" t="s">
        <v>26</v>
      </c>
      <c r="B44" s="59">
        <f>COUNTIFS(Jan!$B:$B,2112,Jan!$J:$J,20)</f>
        <v>0</v>
      </c>
      <c r="C44" s="59">
        <f>COUNTIFS(Feb!$B:$B,2112,Feb!$J:$J,20)</f>
        <v>0</v>
      </c>
      <c r="D44" s="59">
        <f>COUNTIFS(Mar!$B:$B,2112,Mar!$J:$J,20)</f>
        <v>0</v>
      </c>
      <c r="E44" s="59">
        <f>COUNTIFS(Apr!$B:$B,2112,Apr!$J:$J,20)</f>
        <v>0</v>
      </c>
      <c r="F44" s="59">
        <f>COUNTIFS(May!$B:$B,2112,May!$J:$J,20)</f>
        <v>0</v>
      </c>
      <c r="G44" s="59">
        <f>COUNTIFS(Jun!$B:$B,2112,Jun!$J:$J,20)</f>
        <v>0</v>
      </c>
      <c r="H44" s="59">
        <f>COUNTIFS(Jul!$B:$B,2112,Jul!$J:$J,20)</f>
        <v>0</v>
      </c>
      <c r="I44" s="59">
        <f>COUNTIFS(Aug!$B:$B,2112,Aug!$J:$J,20)</f>
        <v>0</v>
      </c>
      <c r="J44" s="59">
        <f>COUNTIFS(Sep!$B:$B,2112,Sep!$J:$J,20)</f>
        <v>0</v>
      </c>
      <c r="K44" s="59">
        <f>COUNTIFS(Oct!$B:$B,2112,Oct!$J:$J,20)</f>
        <v>0</v>
      </c>
      <c r="L44" s="59">
        <f>COUNTIFS(Nov!$B:$B,2112,Nov!$J:$J,20)</f>
        <v>0</v>
      </c>
      <c r="M44" s="59">
        <v>0</v>
      </c>
    </row>
    <row r="45" spans="1:13" s="8" customFormat="1" ht="11.25" customHeight="1">
      <c r="A45" s="10" t="s">
        <v>32</v>
      </c>
      <c r="B45" s="59">
        <f>COUNTIFS(Jan!$B:$B,2112,Jan!$J:$J,2)</f>
        <v>1</v>
      </c>
      <c r="C45" s="59">
        <v>2</v>
      </c>
      <c r="D45" s="59">
        <v>5</v>
      </c>
      <c r="E45" s="59">
        <v>1</v>
      </c>
      <c r="F45" s="59">
        <v>1</v>
      </c>
      <c r="G45" s="59">
        <v>1</v>
      </c>
      <c r="H45" s="59">
        <v>3</v>
      </c>
      <c r="I45" s="59">
        <v>6</v>
      </c>
      <c r="J45" s="59">
        <v>2</v>
      </c>
      <c r="K45" s="59">
        <v>3</v>
      </c>
      <c r="L45" s="59">
        <v>1</v>
      </c>
      <c r="M45" s="59">
        <v>3</v>
      </c>
    </row>
    <row r="46" spans="1:13" s="8" customFormat="1" ht="11.25" customHeight="1">
      <c r="A46" s="10" t="s">
        <v>28</v>
      </c>
      <c r="B46" s="59">
        <f>COUNTIFS(Jan!$B:$B,2112,Jan!$J:$J,1700)+COUNTIFS(Jan!$B:$B,2112,Jan!$F:$F,1700)+COUNTIFS(Jan!$B:$B,2112,Jan!$J:$J,19)</f>
        <v>0</v>
      </c>
      <c r="C46" s="59">
        <f>COUNTIFS(Feb!$B:$B,2112,Feb!$J:$J,1700)+COUNTIFS(Feb!$B:$B,2112,Feb!$F:$F,1700)+COUNTIFS(Feb!$B:$B,2112,Feb!$J:$J,19)</f>
        <v>0</v>
      </c>
      <c r="D46" s="59">
        <f>COUNTIFS(Mar!$B:$B,2112,Mar!$J:$J,1700)+COUNTIFS(Mar!$B:$B,2112,Mar!$F:$F,1700)+COUNTIFS(Mar!$B:$B,2112,Mar!$J:$J,19)</f>
        <v>0</v>
      </c>
      <c r="E46" s="59">
        <f>COUNTIFS(Apr!$B:$B,2112,Apr!$J:$J,1700)+COUNTIFS(Apr!$B:$B,2112,Apr!$F:$F,1700)+COUNTIFS(Apr!$B:$B,2112,Apr!$J:$J,19)</f>
        <v>0</v>
      </c>
      <c r="F46" s="59">
        <f>COUNTIFS(May!$B:$B,2112,May!$J:$J,1700)+COUNTIFS(May!$B:$B,2112,May!$F:$F,1700)+COUNTIFS(May!$B:$B,2112,May!$J:$J,19)</f>
        <v>0</v>
      </c>
      <c r="G46" s="59">
        <f>COUNTIFS(Jun!$B:$B,2112,Jun!$J:$J,1700)+COUNTIFS(Jun!$B:$B,2112,Jun!$F:$F,1700)+COUNTIFS(Jun!$B:$B,2112,Jun!$J:$J,19)</f>
        <v>0</v>
      </c>
      <c r="H46" s="59">
        <f>COUNTIFS(Jul!$B:$B,2112,Jul!$J:$J,1700)+COUNTIFS(Jul!$B:$B,2112,Jul!$F:$F,1700)+COUNTIFS(Jul!$B:$B,2112,Jul!$J:$J,19)</f>
        <v>0</v>
      </c>
      <c r="I46" s="59">
        <f>COUNTIFS(Aug!$B:$B,2112,Aug!$J:$J,1700)+COUNTIFS(Aug!$B:$B,2112,Aug!$F:$F,1700)+COUNTIFS(Aug!$B:$B,2112,Aug!$J:$J,19)</f>
        <v>0</v>
      </c>
      <c r="J46" s="59">
        <f>COUNTIFS(Sep!$B:$B,2112,Sep!$J:$J,1700)+COUNTIFS(Sep!$B:$B,2112,Sep!$F:$F,1700)+COUNTIFS(Sep!$B:$B,2112,Sep!$J:$J,19)</f>
        <v>0</v>
      </c>
      <c r="K46" s="59">
        <f>COUNTIFS(Oct!$B:$B,2112,Oct!$J:$J,1700)+COUNTIFS(Oct!$B:$B,2112,Oct!$F:$F,1700)+COUNTIFS(Oct!$B:$B,2112,Oct!$J:$J,19)</f>
        <v>0</v>
      </c>
      <c r="L46" s="59">
        <f>COUNTIFS(Nov!$B:$B,2112,Nov!$J:$J,1700)+COUNTIFS(Nov!$B:$B,2112,Nov!$F:$F,1700)+COUNTIFS(Nov!$B:$B,2112,Nov!$J:$J,19)</f>
        <v>0</v>
      </c>
      <c r="M46" s="59">
        <v>0</v>
      </c>
    </row>
    <row r="47" spans="1:13" s="8" customFormat="1" ht="11.25" customHeight="1">
      <c r="A47" s="10" t="s">
        <v>0</v>
      </c>
      <c r="B47" s="59">
        <f>COUNTIFS(Jan!$B:$B,2112,Jan!$J:$J,3)</f>
        <v>1</v>
      </c>
      <c r="C47" s="59">
        <f>COUNTIFS(Feb!$B:$B,2112,Feb!$J:$J,3)</f>
        <v>0</v>
      </c>
      <c r="D47" s="59">
        <f>COUNTIFS(Mar!$B:$B,2112,Mar!$J:$J,3)</f>
        <v>0</v>
      </c>
      <c r="E47" s="59">
        <v>1</v>
      </c>
      <c r="F47" s="59">
        <f>COUNTIFS(May!$B:$B,2112,May!$J:$J,3)</f>
        <v>0</v>
      </c>
      <c r="G47" s="59">
        <f>COUNTIFS(Jun!$B:$B,2112,Jun!$J:$J,3)</f>
        <v>0</v>
      </c>
      <c r="H47" s="59">
        <v>1</v>
      </c>
      <c r="I47" s="59">
        <v>1</v>
      </c>
      <c r="J47" s="59">
        <v>2</v>
      </c>
      <c r="K47" s="59">
        <f>COUNTIFS(Oct!$B:$B,2112,Oct!$J:$J,3)</f>
        <v>0</v>
      </c>
      <c r="L47" s="59">
        <f>COUNTIFS(Nov!$B:$B,2112,Nov!$J:$J,3)</f>
        <v>0</v>
      </c>
      <c r="M47" s="59">
        <v>0</v>
      </c>
    </row>
    <row r="48" spans="1:13" s="8" customFormat="1" ht="11.25" customHeight="1">
      <c r="A48" s="10" t="s">
        <v>35</v>
      </c>
      <c r="B48" s="59">
        <f>COUNTIFS(Jan!$B:$B,2112,Jan!$J:$J,7400)</f>
        <v>0</v>
      </c>
      <c r="C48" s="59">
        <f>COUNTIFS(Feb!$B:$B,2112,Feb!$J:$J,7400)</f>
        <v>0</v>
      </c>
      <c r="D48" s="59">
        <f>COUNTIFS(Mar!$B:$B,2112,Mar!$J:$J,7400)</f>
        <v>0</v>
      </c>
      <c r="E48" s="59">
        <f>COUNTIFS(Apr!$B:$B,2112,Apr!$J:$J,7400)</f>
        <v>0</v>
      </c>
      <c r="F48" s="59">
        <f>COUNTIFS(May!$B:$B,2112,May!$J:$J,7400)</f>
        <v>0</v>
      </c>
      <c r="G48" s="59">
        <f>COUNTIFS(Jun!$B:$B,2112,Jun!$J:$J,7400)</f>
        <v>0</v>
      </c>
      <c r="H48" s="59">
        <f>COUNTIFS(Jul!$B:$B,2112,Jul!$J:$J,7400)</f>
        <v>0</v>
      </c>
      <c r="I48" s="59">
        <f>COUNTIFS(Aug!$B:$B,2112,Aug!$J:$J,7400)</f>
        <v>0</v>
      </c>
      <c r="J48" s="59">
        <f>COUNTIFS(Sep!$B:$B,2112,Sep!$J:$J,7400)</f>
        <v>0</v>
      </c>
      <c r="K48" s="59">
        <f>COUNTIFS(Oct!$B:$B,2112,Oct!$J:$J,7400)</f>
        <v>0</v>
      </c>
      <c r="L48" s="59">
        <f>COUNTIFS(Nov!$B:$B,2112,Nov!$J:$J,7400)</f>
        <v>0</v>
      </c>
      <c r="M48" s="59">
        <v>0</v>
      </c>
    </row>
    <row r="49" spans="1:13" s="8" customFormat="1" ht="11.25" customHeight="1">
      <c r="A49" s="10" t="s">
        <v>2</v>
      </c>
      <c r="B49" s="59">
        <f>COUNTIFS(Jan!$B:$B,2112,Jan!$J:$J,14)</f>
        <v>0</v>
      </c>
      <c r="C49" s="59">
        <f>COUNTIFS(Feb!$B:$B,2112,Feb!$J:$J,14)</f>
        <v>0</v>
      </c>
      <c r="D49" s="59">
        <f>COUNTIFS(Mar!$B:$B,2112,Mar!$J:$J,14)</f>
        <v>0</v>
      </c>
      <c r="E49" s="59">
        <f>COUNTIFS(Apr!$B:$B,2112,Apr!$J:$J,14)</f>
        <v>0</v>
      </c>
      <c r="F49" s="59">
        <f>COUNTIFS(May!$B:$B,2112,May!$J:$J,14)</f>
        <v>0</v>
      </c>
      <c r="G49" s="59">
        <v>2</v>
      </c>
      <c r="H49" s="59">
        <f>COUNTIFS(Jul!$B:$B,2112,Jul!$J:$J,14)</f>
        <v>0</v>
      </c>
      <c r="I49" s="59">
        <f>COUNTIFS(Aug!$B:$B,2112,Aug!$J:$J,14)</f>
        <v>0</v>
      </c>
      <c r="J49" s="59">
        <f>COUNTIFS(Sep!$B:$B,2112,Sep!$J:$J,14)</f>
        <v>0</v>
      </c>
      <c r="K49" s="59">
        <f>COUNTIFS(Oct!$B:$B,2112,Oct!$J:$J,14)</f>
        <v>0</v>
      </c>
      <c r="L49" s="59">
        <f>COUNTIFS(Nov!$B:$B,2112,Nov!$J:$J,14)</f>
        <v>0</v>
      </c>
      <c r="M49" s="59">
        <v>2</v>
      </c>
    </row>
    <row r="50" spans="1:13" s="8" customFormat="1" ht="11.25" customHeight="1">
      <c r="A50" s="10" t="s">
        <v>142</v>
      </c>
      <c r="B50" s="59">
        <f>COUNTIFS(Jan!$B:$B,2112,Jan!$F:$F,466)</f>
        <v>0</v>
      </c>
      <c r="C50" s="59">
        <f>COUNTIFS(Feb!$B:$B,2112,Feb!$F:$F,466)</f>
        <v>0</v>
      </c>
      <c r="D50" s="59">
        <f>COUNTIFS(Mar!$B:$B,2112,Mar!$F:$F,466)</f>
        <v>0</v>
      </c>
      <c r="E50" s="59">
        <f>COUNTIFS(Apr!$B:$B,2112,Apr!$F:$F,466)</f>
        <v>0</v>
      </c>
      <c r="F50" s="59">
        <f>COUNTIFS(May!$B:$B,2112,May!$F:$F,466)</f>
        <v>0</v>
      </c>
      <c r="G50" s="59">
        <f>COUNTIFS(Jun!$B:$B,2112,Jun!$F:$F,466)</f>
        <v>0</v>
      </c>
      <c r="H50" s="59">
        <f>COUNTIFS(Jul!$B:$B,2112,Jul!$F:$F,466)</f>
        <v>0</v>
      </c>
      <c r="I50" s="59">
        <f>COUNTIFS(Aug!$B:$B,2112,Aug!$F:$F,466)</f>
        <v>0</v>
      </c>
      <c r="J50" s="59">
        <f>COUNTIFS(Sep!$B:$B,2112,Sep!$F:$F,466)</f>
        <v>0</v>
      </c>
      <c r="K50" s="59">
        <f>COUNTIFS(Oct!$B:$B,2112,Oct!$F:$F,466)</f>
        <v>0</v>
      </c>
      <c r="L50" s="59">
        <f>COUNTIFS(Nov!$B:$B,2112,Nov!$F:$F,466)</f>
        <v>0</v>
      </c>
      <c r="M50" s="59">
        <v>0</v>
      </c>
    </row>
    <row r="51" spans="1:13" s="8" customFormat="1" ht="11.25" customHeight="1">
      <c r="A51" s="10" t="s">
        <v>27</v>
      </c>
      <c r="B51" s="59">
        <f>COUNTIFS(Jan!$B:$B,2112,Jan!$J:$J,25)</f>
        <v>0</v>
      </c>
      <c r="C51" s="59">
        <f>COUNTIFS(Feb!$B:$B,2112,Feb!$J:$J,25)</f>
        <v>0</v>
      </c>
      <c r="D51" s="59">
        <f>COUNTIFS(Mar!$B:$B,2112,Mar!$J:$J,25)</f>
        <v>0</v>
      </c>
      <c r="E51" s="59">
        <f>COUNTIFS(Apr!$B:$B,2112,Apr!$J:$J,25)</f>
        <v>0</v>
      </c>
      <c r="F51" s="59">
        <f>COUNTIFS(May!$B:$B,2112,May!$J:$J,25)</f>
        <v>0</v>
      </c>
      <c r="G51" s="59">
        <f>COUNTIFS(Jun!$B:$B,2112,Jun!$J:$J,25)</f>
        <v>0</v>
      </c>
      <c r="H51" s="59">
        <f>COUNTIFS(Jul!$B:$B,2112,Jul!$J:$J,25)</f>
        <v>0</v>
      </c>
      <c r="I51" s="59">
        <f>COUNTIFS(Aug!$B:$B,2112,Aug!$J:$J,25)</f>
        <v>0</v>
      </c>
      <c r="J51" s="59">
        <f>COUNTIFS(Sep!$B:$B,2112,Sep!$J:$J,25)</f>
        <v>0</v>
      </c>
      <c r="K51" s="59">
        <f>COUNTIFS(Oct!$B:$B,2112,Oct!$J:$J,25)</f>
        <v>0</v>
      </c>
      <c r="L51" s="59">
        <f>COUNTIFS(Nov!$B:$B,2112,Nov!$J:$J,25)</f>
        <v>0</v>
      </c>
      <c r="M51" s="59">
        <v>0</v>
      </c>
    </row>
    <row r="52" spans="1:13" s="8" customFormat="1" ht="11.25" customHeight="1" thickBot="1">
      <c r="A52" s="11" t="s">
        <v>16</v>
      </c>
      <c r="B52" s="60">
        <f t="shared" ref="B52:G52" si="11">SUM(B34:B51)</f>
        <v>12</v>
      </c>
      <c r="C52" s="60">
        <f t="shared" si="11"/>
        <v>5</v>
      </c>
      <c r="D52" s="60">
        <f t="shared" si="11"/>
        <v>11</v>
      </c>
      <c r="E52" s="60">
        <f t="shared" si="11"/>
        <v>3</v>
      </c>
      <c r="F52" s="60">
        <f t="shared" si="11"/>
        <v>3</v>
      </c>
      <c r="G52" s="60">
        <f t="shared" si="11"/>
        <v>9</v>
      </c>
      <c r="H52" s="60">
        <f t="shared" ref="H52:M52" si="12">SUM(H34:H51)</f>
        <v>15</v>
      </c>
      <c r="I52" s="60">
        <f t="shared" si="12"/>
        <v>14</v>
      </c>
      <c r="J52" s="60">
        <f t="shared" si="12"/>
        <v>15</v>
      </c>
      <c r="K52" s="60">
        <f t="shared" si="12"/>
        <v>11</v>
      </c>
      <c r="L52" s="159">
        <f t="shared" si="12"/>
        <v>7</v>
      </c>
      <c r="M52" s="170">
        <f t="shared" si="12"/>
        <v>18</v>
      </c>
    </row>
    <row r="53" spans="1:13" ht="12" customHeight="1" thickBot="1">
      <c r="A53" s="55" t="s">
        <v>137</v>
      </c>
      <c r="B53" s="50">
        <v>41275</v>
      </c>
      <c r="C53" s="47">
        <v>41306</v>
      </c>
      <c r="D53" s="47">
        <v>41334</v>
      </c>
      <c r="E53" s="47">
        <v>41365</v>
      </c>
      <c r="F53" s="47">
        <v>41395</v>
      </c>
      <c r="G53" s="47">
        <v>41426</v>
      </c>
      <c r="H53" s="47">
        <v>41456</v>
      </c>
      <c r="I53" s="47">
        <v>41487</v>
      </c>
      <c r="J53" s="47">
        <v>41518</v>
      </c>
      <c r="K53" s="47">
        <v>41548</v>
      </c>
      <c r="L53" s="47">
        <v>41579</v>
      </c>
      <c r="M53" s="51">
        <v>41609</v>
      </c>
    </row>
    <row r="54" spans="1:13" s="8" customFormat="1" ht="11.25" customHeight="1">
      <c r="A54" s="10" t="s">
        <v>30</v>
      </c>
      <c r="B54" s="57">
        <f>COUNTIFS(Jan!$B:$B,2112,Jan!$J:$J,7)</f>
        <v>0</v>
      </c>
      <c r="C54" s="57">
        <f>COUNTIFS(Feb!$B:$B,2112,Feb!$J:$J,7)</f>
        <v>0</v>
      </c>
      <c r="D54" s="57">
        <f>COUNTIFS(Mar!$B:$B,2112,Mar!$J:$J,7)</f>
        <v>0</v>
      </c>
      <c r="E54" s="57">
        <f>COUNTIFS(Apr!$B:$B,2112,Apr!$J:$J,7)</f>
        <v>0</v>
      </c>
      <c r="F54" s="57">
        <f>COUNTIFS(May!$B:$B,2112,May!$J:$J,7)</f>
        <v>0</v>
      </c>
      <c r="G54" s="57">
        <f>COUNTIFS(Jun!$B:$B,2112,Jun!$J:$J,7)</f>
        <v>0</v>
      </c>
      <c r="H54" s="57">
        <f>COUNTIFS(Jul!$B:$B,2112,Jul!$J:$J,7)</f>
        <v>0</v>
      </c>
      <c r="I54" s="57">
        <f>COUNTIFS(Aug!$B:$B,2112,Aug!$J:$J,7)</f>
        <v>0</v>
      </c>
      <c r="J54" s="57">
        <v>1</v>
      </c>
      <c r="K54" s="57">
        <f>COUNTIFS(Oct!$B:$B,2112,Oct!$J:$J,7)</f>
        <v>0</v>
      </c>
      <c r="L54" s="57">
        <f>COUNTIFS(Nov!$B:$B,2112,Nov!$J:$J,7)</f>
        <v>0</v>
      </c>
      <c r="M54" s="57">
        <v>0</v>
      </c>
    </row>
    <row r="55" spans="1:13" s="8" customFormat="1" ht="11.25" customHeight="1">
      <c r="A55" s="10" t="s">
        <v>29</v>
      </c>
      <c r="B55" s="59">
        <f>COUNTIFS(Jan!$B:$B,2112,Jan!$J:$J,8)</f>
        <v>0</v>
      </c>
      <c r="C55" s="59">
        <f>COUNTIFS(Feb!$B:$B,2112,Feb!$J:$J,8)</f>
        <v>0</v>
      </c>
      <c r="D55" s="59">
        <f>COUNTIFS(Mar!$B:$B,2112,Mar!$J:$J,8)</f>
        <v>0</v>
      </c>
      <c r="E55" s="59">
        <f>COUNTIFS(Apr!$B:$B,2112,Apr!$J:$J,8)</f>
        <v>0</v>
      </c>
      <c r="F55" s="59">
        <f>COUNTIFS(May!$B:$B,2112,May!$J:$J,8)</f>
        <v>0</v>
      </c>
      <c r="G55" s="59">
        <f>COUNTIFS(Jun!$B:$B,2112,Jun!$J:$J,8)</f>
        <v>0</v>
      </c>
      <c r="H55" s="59">
        <f>COUNTIFS(Jul!$B:$B,2112,Jul!$J:$J,8)</f>
        <v>0</v>
      </c>
      <c r="I55" s="59">
        <f>COUNTIFS(Aug!$B:$B,2112,Aug!$J:$J,8)</f>
        <v>0</v>
      </c>
      <c r="J55" s="59">
        <f>COUNTIFS(Sep!$B:$B,2112,Sep!$J:$J,8)</f>
        <v>0</v>
      </c>
      <c r="K55" s="59">
        <f>COUNTIFS(Oct!$B:$B,2112,Oct!$J:$J,8)</f>
        <v>0</v>
      </c>
      <c r="L55" s="59">
        <f>COUNTIFS(Nov!$B:$B,2112,Nov!$J:$J,8)</f>
        <v>0</v>
      </c>
      <c r="M55" s="59">
        <v>0</v>
      </c>
    </row>
    <row r="56" spans="1:13" s="8" customFormat="1" ht="11.25" customHeight="1">
      <c r="A56" s="10" t="s">
        <v>7</v>
      </c>
      <c r="B56" s="59">
        <f>COUNTIFS(Jan!$B:$B,2112,Jan!$J:$J,12)</f>
        <v>5</v>
      </c>
      <c r="C56" s="59">
        <f>COUNTIFS(Feb!$B:$B,2112,Feb!$J:$J,12)</f>
        <v>0</v>
      </c>
      <c r="D56" s="59">
        <v>2</v>
      </c>
      <c r="E56" s="59">
        <f>COUNTIFS(Apr!$B:$B,2112,Apr!$J:$J,12)</f>
        <v>0</v>
      </c>
      <c r="F56" s="59">
        <f>COUNTIFS(May!$B:$B,2112,May!$J:$J,12)</f>
        <v>0</v>
      </c>
      <c r="G56" s="59">
        <f>COUNTIFS(Jun!$B:$B,2112,Jun!$J:$J,12)</f>
        <v>0</v>
      </c>
      <c r="H56" s="59">
        <f>COUNTIFS(Jul!$B:$B,2112,Jul!$J:$J,12)</f>
        <v>0</v>
      </c>
      <c r="I56" s="59">
        <f>COUNTIFS(Aug!$B:$B,2112,Aug!$J:$J,12)</f>
        <v>0</v>
      </c>
      <c r="J56" s="59">
        <f>COUNTIFS(Sep!$B:$B,2112,Sep!$J:$J,12)</f>
        <v>0</v>
      </c>
      <c r="K56" s="59">
        <f>COUNTIFS(Oct!$B:$B,2112,Oct!$J:$J,12)</f>
        <v>0</v>
      </c>
      <c r="L56" s="59">
        <f>COUNTIFS(Nov!$B:$B,2112,Nov!$J:$J,12)</f>
        <v>0</v>
      </c>
      <c r="M56" s="59">
        <v>1</v>
      </c>
    </row>
    <row r="57" spans="1:13" s="8" customFormat="1" ht="11.25" customHeight="1">
      <c r="A57" s="10" t="s">
        <v>10</v>
      </c>
      <c r="B57" s="59">
        <f>COUNTIFS(Jan!$B:$B,2112,Jan!$J:$J,5100)</f>
        <v>0</v>
      </c>
      <c r="C57" s="59">
        <f>COUNTIFS(Feb!$B:$B,2112,Feb!$J:$J,5100)</f>
        <v>0</v>
      </c>
      <c r="D57" s="59">
        <f>COUNTIFS(Mar!$B:$B,2112,Mar!$J:$J,5100)</f>
        <v>0</v>
      </c>
      <c r="E57" s="59">
        <f>COUNTIFS(Apr!$B:$B,2112,Apr!$J:$J,5100)</f>
        <v>0</v>
      </c>
      <c r="F57" s="59">
        <f>COUNTIFS(May!$B:$B,2112,May!$J:$J,5100)</f>
        <v>0</v>
      </c>
      <c r="G57" s="59">
        <f>COUNTIFS(Jun!$B:$B,2112,Jun!$J:$J,5100)</f>
        <v>0</v>
      </c>
      <c r="H57" s="59">
        <f>COUNTIFS(Jul!$B:$B,2112,Jul!$J:$J,5100)</f>
        <v>0</v>
      </c>
      <c r="I57" s="59">
        <f>COUNTIFS(Aug!$B:$B,2112,Aug!$J:$J,5100)</f>
        <v>0</v>
      </c>
      <c r="J57" s="59">
        <f>COUNTIFS(Sep!$B:$B,2112,Sep!$J:$J,5100)</f>
        <v>0</v>
      </c>
      <c r="K57" s="59">
        <f>COUNTIFS(Oct!$B:$B,2112,Oct!$J:$J,5100)</f>
        <v>0</v>
      </c>
      <c r="L57" s="59">
        <f>COUNTIFS(Nov!$B:$B,2112,Nov!$J:$J,5100)</f>
        <v>0</v>
      </c>
      <c r="M57" s="59">
        <v>0</v>
      </c>
    </row>
    <row r="58" spans="1:13" s="8" customFormat="1" ht="11.25" customHeight="1">
      <c r="A58" s="10" t="s">
        <v>36</v>
      </c>
      <c r="B58" s="59">
        <f>COUNTIFS(Jan!$B:$B,2112,Jan!$J:$J,6200)</f>
        <v>0</v>
      </c>
      <c r="C58" s="59">
        <f>COUNTIFS(Feb!$B:$B,2112,Feb!$J:$J,6200)</f>
        <v>0</v>
      </c>
      <c r="D58" s="59">
        <f>COUNTIFS(Mar!$B:$B,2112,Mar!$J:$J,6200)</f>
        <v>0</v>
      </c>
      <c r="E58" s="59">
        <f>COUNTIFS(Apr!$B:$B,2112,Apr!$J:$J,6200)</f>
        <v>0</v>
      </c>
      <c r="F58" s="59">
        <f>COUNTIFS(May!$B:$B,2112,May!$J:$J,6200)</f>
        <v>0</v>
      </c>
      <c r="G58" s="59">
        <f>COUNTIFS(Jun!$B:$B,2112,Jun!$J:$J,6200)</f>
        <v>0</v>
      </c>
      <c r="H58" s="59">
        <f>COUNTIFS(Jul!$B:$B,2112,Jul!$J:$J,6200)</f>
        <v>0</v>
      </c>
      <c r="I58" s="59">
        <f>COUNTIFS(Aug!$B:$B,2112,Aug!$J:$J,6200)</f>
        <v>0</v>
      </c>
      <c r="J58" s="59">
        <f>COUNTIFS(Sep!$B:$B,2112,Sep!$J:$J,6200)</f>
        <v>0</v>
      </c>
      <c r="K58" s="59">
        <f>COUNTIFS(Oct!$B:$B,2112,Oct!$J:$J,6200)</f>
        <v>0</v>
      </c>
      <c r="L58" s="59">
        <f>COUNTIFS(Nov!$B:$B,2112,Nov!$J:$J,6200)</f>
        <v>0</v>
      </c>
      <c r="M58" s="59">
        <v>0</v>
      </c>
    </row>
    <row r="59" spans="1:13" s="8" customFormat="1" ht="11.25" customHeight="1">
      <c r="A59" s="10" t="s">
        <v>145</v>
      </c>
      <c r="B59" s="59">
        <f>COUNTIFS(Jan!$B:$B,2112,Jan!$J:$J,28)</f>
        <v>0</v>
      </c>
      <c r="C59" s="59">
        <f>COUNTIFS(Feb!$B:$B,2112,Feb!$J:$J,28)</f>
        <v>0</v>
      </c>
      <c r="D59" s="59">
        <f>COUNTIFS(Mar!$B:$B,2112,Mar!$J:$J,28)</f>
        <v>0</v>
      </c>
      <c r="E59" s="59">
        <f>COUNTIFS(Apr!$B:$B,2112,Apr!$J:$J,28)</f>
        <v>0</v>
      </c>
      <c r="F59" s="59">
        <f>COUNTIFS(May!$B:$B,2112,May!$J:$J,28)</f>
        <v>0</v>
      </c>
      <c r="G59" s="59">
        <f>COUNTIFS(Jun!$B:$B,2112,Jun!$J:$J,28)</f>
        <v>0</v>
      </c>
      <c r="H59" s="59">
        <f>COUNTIFS(Jul!$B:$B,2112,Jul!$J:$J,28)</f>
        <v>0</v>
      </c>
      <c r="I59" s="59">
        <f>COUNTIFS(Aug!$B:$B,2112,Aug!$J:$J,28)</f>
        <v>0</v>
      </c>
      <c r="J59" s="59">
        <f>COUNTIFS(Sep!$B:$B,2112,Sep!$J:$J,28)</f>
        <v>0</v>
      </c>
      <c r="K59" s="59">
        <f>COUNTIFS(Oct!$B:$B,2112,Oct!$J:$J,28)</f>
        <v>0</v>
      </c>
      <c r="L59" s="59">
        <f>COUNTIFS(Nov!$B:$B,2112,Nov!$J:$J,28)</f>
        <v>0</v>
      </c>
      <c r="M59" s="59">
        <v>0</v>
      </c>
    </row>
    <row r="60" spans="1:13" s="8" customFormat="1" ht="11.25" customHeight="1">
      <c r="A60" s="10" t="s">
        <v>38</v>
      </c>
      <c r="B60" s="59">
        <f>COUNTIFS(Jan!$B:$B,2112,Jan!$J:$J,6100)</f>
        <v>0</v>
      </c>
      <c r="C60" s="59">
        <f>COUNTIFS(Feb!$B:$B,2112,Feb!$J:$J,6100)</f>
        <v>0</v>
      </c>
      <c r="D60" s="59">
        <v>1</v>
      </c>
      <c r="E60" s="59">
        <f>COUNTIFS(Apr!$B:$B,2112,Apr!$J:$J,6100)</f>
        <v>0</v>
      </c>
      <c r="F60" s="59">
        <v>2</v>
      </c>
      <c r="G60" s="59">
        <v>4</v>
      </c>
      <c r="H60" s="59">
        <v>1</v>
      </c>
      <c r="I60" s="59">
        <v>2</v>
      </c>
      <c r="J60" s="59">
        <f>COUNTIFS(Sep!$B:$B,2112,Sep!$J:$J,6100)</f>
        <v>0</v>
      </c>
      <c r="K60" s="59">
        <f>COUNTIFS(Oct!$B:$B,2112,Oct!$J:$J,6100)</f>
        <v>0</v>
      </c>
      <c r="L60" s="59">
        <f>COUNTIFS(Nov!$B:$B,2112,Nov!$J:$J,6100)</f>
        <v>0</v>
      </c>
      <c r="M60" s="59">
        <v>0</v>
      </c>
    </row>
    <row r="61" spans="1:13" s="8" customFormat="1" ht="11.25" customHeight="1">
      <c r="A61" s="10" t="s">
        <v>9</v>
      </c>
      <c r="B61" s="59">
        <f>COUNTIFS(Jan!$B:$B,2112,Jan!$J:$J,6)</f>
        <v>0</v>
      </c>
      <c r="C61" s="59">
        <f>COUNTIFS(Feb!$B:$B,2112,Feb!$J:$J,6)</f>
        <v>0</v>
      </c>
      <c r="D61" s="59">
        <f>COUNTIFS(Mar!$B:$B,2112,Mar!$J:$J,6)</f>
        <v>0</v>
      </c>
      <c r="E61" s="59">
        <f>COUNTIFS(Apr!$B:$B,2112,Apr!$J:$J,6)</f>
        <v>0</v>
      </c>
      <c r="F61" s="59">
        <f>COUNTIFS(May!$B:$B,2112,May!$J:$J,6)</f>
        <v>0</v>
      </c>
      <c r="G61" s="59">
        <f>COUNTIFS(Jun!$B:$B,2112,Jun!$J:$J,6)</f>
        <v>0</v>
      </c>
      <c r="H61" s="59">
        <f>COUNTIFS(Jul!$B:$B,2112,Jul!$J:$J,6)</f>
        <v>0</v>
      </c>
      <c r="I61" s="59">
        <f>COUNTIFS(Aug!$B:$B,2112,Aug!$J:$J,6)</f>
        <v>0</v>
      </c>
      <c r="J61" s="59">
        <f>COUNTIFS(Sep!$B:$B,2112,Sep!$J:$J,6)</f>
        <v>0</v>
      </c>
      <c r="K61" s="59">
        <f>COUNTIFS(Oct!$B:$B,2112,Oct!$J:$J,6)</f>
        <v>0</v>
      </c>
      <c r="L61" s="59">
        <f>COUNTIFS(Nov!$B:$B,2112,Nov!$J:$J,6)</f>
        <v>0</v>
      </c>
      <c r="M61" s="59">
        <v>0</v>
      </c>
    </row>
    <row r="62" spans="1:13" s="8" customFormat="1" ht="11.25" customHeight="1">
      <c r="A62" s="10" t="s">
        <v>8</v>
      </c>
      <c r="B62" s="59">
        <f>COUNTIFS(Jan!$B:$B,2112,Jan!$J:$J,4)</f>
        <v>0</v>
      </c>
      <c r="C62" s="59">
        <f>COUNTIFS(Feb!$B:$B,2112,Feb!$J:$J,4)</f>
        <v>0</v>
      </c>
      <c r="D62" s="59">
        <f>COUNTIFS(Mar!$B:$B,2112,Mar!$J:$J,4)</f>
        <v>0</v>
      </c>
      <c r="E62" s="59">
        <f>COUNTIFS(Apr!$B:$B,2112,Apr!$J:$J,4)</f>
        <v>0</v>
      </c>
      <c r="F62" s="59">
        <f>COUNTIFS(May!$B:$B,2112,May!$J:$J,4)</f>
        <v>0</v>
      </c>
      <c r="G62" s="59">
        <f>COUNTIFS(Jun!$B:$B,2112,Jun!$J:$J,4)</f>
        <v>0</v>
      </c>
      <c r="H62" s="59">
        <f>COUNTIFS(Jul!$B:$B,2112,Jul!$J:$J,4)</f>
        <v>0</v>
      </c>
      <c r="I62" s="59">
        <f>COUNTIFS(Aug!$B:$B,2112,Aug!$J:$J,4)</f>
        <v>0</v>
      </c>
      <c r="J62" s="59">
        <f>COUNTIFS(Sep!$B:$B,2112,Sep!$J:$J,4)</f>
        <v>0</v>
      </c>
      <c r="K62" s="59">
        <f>COUNTIFS(Oct!$B:$B,2112,Oct!$J:$J,4)</f>
        <v>0</v>
      </c>
      <c r="L62" s="59">
        <f>COUNTIFS(Nov!$B:$B,2112,Nov!$J:$J,4)</f>
        <v>0</v>
      </c>
      <c r="M62" s="59">
        <v>0</v>
      </c>
    </row>
    <row r="63" spans="1:13" s="8" customFormat="1" ht="11.25" customHeight="1">
      <c r="A63" s="10" t="s">
        <v>6</v>
      </c>
      <c r="B63" s="59">
        <f>COUNTIFS(Jan!$B:$B,2112,Jan!$J:$J,5)</f>
        <v>0</v>
      </c>
      <c r="C63" s="59">
        <f>COUNTIFS(Feb!$B:$B,2112,Feb!$J:$J,5)</f>
        <v>0</v>
      </c>
      <c r="D63" s="59">
        <f>COUNTIFS(Mar!$B:$B,2112,Mar!$J:$J,5)</f>
        <v>0</v>
      </c>
      <c r="E63" s="59">
        <f>COUNTIFS(Apr!$B:$B,2112,Apr!$J:$J,5)</f>
        <v>0</v>
      </c>
      <c r="F63" s="59">
        <f>COUNTIFS(May!$B:$B,2112,May!$J:$J,5)</f>
        <v>0</v>
      </c>
      <c r="G63" s="59">
        <f>COUNTIFS(Jun!$B:$B,2112,Jun!$J:$J,5)</f>
        <v>0</v>
      </c>
      <c r="H63" s="59">
        <f>COUNTIFS(Jul!$B:$B,2112,Jul!$J:$J,5)</f>
        <v>0</v>
      </c>
      <c r="I63" s="59">
        <f>COUNTIFS(Aug!$B:$B,2112,Aug!$J:$J,5)</f>
        <v>0</v>
      </c>
      <c r="J63" s="59">
        <f>COUNTIFS(Sep!$B:$B,2112,Sep!$J:$J,5)</f>
        <v>0</v>
      </c>
      <c r="K63" s="59">
        <f>COUNTIFS(Oct!$B:$B,2112,Oct!$J:$J,5)</f>
        <v>0</v>
      </c>
      <c r="L63" s="59">
        <f>COUNTIFS(Nov!$B:$B,2112,Nov!$J:$J,5)</f>
        <v>0</v>
      </c>
      <c r="M63" s="59">
        <v>0</v>
      </c>
    </row>
    <row r="64" spans="1:13" s="8" customFormat="1" ht="11.25" customHeight="1">
      <c r="A64" s="52" t="s">
        <v>141</v>
      </c>
      <c r="B64" s="69">
        <f>COUNTIFS(Jan!$B:$B,2112,Jan!$F:$F,456)</f>
        <v>0</v>
      </c>
      <c r="C64" s="69">
        <f>COUNTIFS(Feb!$B:$B,2112,Feb!$F:$F,456)</f>
        <v>0</v>
      </c>
      <c r="D64" s="69">
        <v>1</v>
      </c>
      <c r="E64" s="69">
        <v>1</v>
      </c>
      <c r="F64" s="69">
        <f>COUNTIFS(May!$B:$B,2112,May!$F:$F,456)</f>
        <v>0</v>
      </c>
      <c r="G64" s="69">
        <f>COUNTIFS(Jun!$B:$B,2112,Jun!$F:$F,456)</f>
        <v>0</v>
      </c>
      <c r="H64" s="69">
        <f>COUNTIFS(Jul!$B:$B,2112,Jul!$F:$F,456)</f>
        <v>0</v>
      </c>
      <c r="I64" s="69">
        <f>COUNTIFS(Aug!$B:$B,2112,Aug!$F:$F,456)</f>
        <v>0</v>
      </c>
      <c r="J64" s="69">
        <f>COUNTIFS(Sep!$B:$B,2112,Sep!$F:$F,456)</f>
        <v>0</v>
      </c>
      <c r="K64" s="69">
        <f>COUNTIFS(Oct!$B:$B,2112,Oct!$F:$F,456)</f>
        <v>0</v>
      </c>
      <c r="L64" s="69">
        <f>COUNTIFS(Nov!$B:$B,2112,Nov!$F:$F,456)</f>
        <v>0</v>
      </c>
      <c r="M64" s="69">
        <v>0</v>
      </c>
    </row>
    <row r="65" spans="1:13" s="8" customFormat="1" ht="11.25" customHeight="1" thickBot="1">
      <c r="A65" s="12" t="s">
        <v>16</v>
      </c>
      <c r="B65" s="70">
        <f>SUM(B54:B64)</f>
        <v>5</v>
      </c>
      <c r="C65" s="70">
        <f t="shared" ref="C65:M65" si="13">SUM(C54:C64)</f>
        <v>0</v>
      </c>
      <c r="D65" s="70">
        <f t="shared" si="13"/>
        <v>4</v>
      </c>
      <c r="E65" s="70">
        <f t="shared" si="13"/>
        <v>1</v>
      </c>
      <c r="F65" s="70">
        <f t="shared" si="13"/>
        <v>2</v>
      </c>
      <c r="G65" s="70">
        <f t="shared" si="13"/>
        <v>4</v>
      </c>
      <c r="H65" s="70">
        <f t="shared" si="13"/>
        <v>1</v>
      </c>
      <c r="I65" s="70">
        <f t="shared" si="13"/>
        <v>2</v>
      </c>
      <c r="J65" s="70">
        <f t="shared" si="13"/>
        <v>1</v>
      </c>
      <c r="K65" s="70">
        <f t="shared" si="13"/>
        <v>0</v>
      </c>
      <c r="L65" s="165">
        <f t="shared" si="13"/>
        <v>0</v>
      </c>
      <c r="M65" s="170">
        <f t="shared" si="13"/>
        <v>1</v>
      </c>
    </row>
    <row r="66" spans="1:13" s="8" customFormat="1" ht="15.75" customHeight="1">
      <c r="A66" s="6"/>
      <c r="B66" s="7"/>
      <c r="C66" s="7"/>
      <c r="D66" s="7"/>
      <c r="E66" s="7"/>
      <c r="F66" s="7"/>
      <c r="G66" s="7"/>
      <c r="H66" s="7"/>
      <c r="I66" s="7"/>
      <c r="J66" s="7"/>
      <c r="K66" s="7"/>
      <c r="L66" s="7"/>
      <c r="M66" s="7"/>
    </row>
    <row r="67" spans="1:13" ht="12" customHeight="1">
      <c r="A67" s="6"/>
      <c r="B67" s="7"/>
      <c r="C67" s="7"/>
      <c r="D67" s="7"/>
      <c r="E67" s="7"/>
      <c r="F67" s="7"/>
      <c r="G67" s="7"/>
      <c r="H67" s="7"/>
      <c r="I67" s="7"/>
      <c r="J67" s="7"/>
      <c r="K67" s="7"/>
      <c r="L67" s="7"/>
      <c r="M67" s="7"/>
    </row>
  </sheetData>
  <phoneticPr fontId="0" type="noConversion"/>
  <printOptions horizontalCentered="1" verticalCentered="1"/>
  <pageMargins left="0.14000000000000001" right="0.16" top="0.25" bottom="0.5" header="0.5" footer="0.25"/>
  <pageSetup scale="95" firstPageNumber="3" orientation="portrait" useFirstPageNumber="1" r:id="rId1"/>
  <headerFooter alignWithMargins="0">
    <oddFooter>&amp;R24 of 51</oddFooter>
  </headerFooter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67"/>
  <sheetViews>
    <sheetView view="pageBreakPreview" topLeftCell="A19" zoomScale="90" zoomScaleNormal="100" zoomScaleSheetLayoutView="90" workbookViewId="0">
      <selection activeCell="M65" sqref="M65"/>
    </sheetView>
  </sheetViews>
  <sheetFormatPr defaultRowHeight="12.75"/>
  <cols>
    <col min="1" max="1" width="22.85546875" style="1" customWidth="1"/>
    <col min="2" max="13" width="7.140625" style="1" customWidth="1"/>
    <col min="14" max="14" width="4.42578125" style="1" customWidth="1"/>
    <col min="15" max="16384" width="9.140625" style="1"/>
  </cols>
  <sheetData>
    <row r="1" spans="1:21" ht="18" customHeight="1">
      <c r="A1" s="130"/>
      <c r="B1" s="131"/>
      <c r="C1" s="131"/>
      <c r="D1" s="131"/>
      <c r="E1" s="131"/>
      <c r="F1" s="131"/>
      <c r="G1" s="131"/>
      <c r="H1" s="130"/>
      <c r="I1" s="131"/>
      <c r="J1" s="131"/>
      <c r="K1" s="131"/>
      <c r="L1" s="130"/>
      <c r="M1" s="143" t="s">
        <v>22</v>
      </c>
    </row>
    <row r="2" spans="1:21" ht="18" customHeight="1">
      <c r="A2" s="130"/>
      <c r="B2" s="135"/>
      <c r="C2" s="135"/>
      <c r="D2" s="135"/>
      <c r="E2" s="135"/>
      <c r="F2" s="135"/>
      <c r="G2" s="135"/>
      <c r="H2" s="130"/>
      <c r="I2" s="135"/>
      <c r="J2" s="135"/>
      <c r="K2" s="135"/>
      <c r="L2" s="130"/>
      <c r="M2" s="155" t="s">
        <v>13</v>
      </c>
    </row>
    <row r="3" spans="1:21" s="5" customFormat="1" ht="18" customHeight="1">
      <c r="A3" s="133"/>
      <c r="B3" s="133"/>
      <c r="C3" s="133"/>
      <c r="D3" s="133"/>
      <c r="E3" s="133"/>
      <c r="F3" s="133"/>
      <c r="G3" s="133"/>
      <c r="H3" s="133"/>
      <c r="I3" s="133"/>
      <c r="J3" s="136"/>
      <c r="K3" s="136"/>
      <c r="L3" s="133"/>
      <c r="M3" s="155" t="s">
        <v>65</v>
      </c>
      <c r="N3" s="134"/>
      <c r="O3" s="134"/>
      <c r="P3" s="134"/>
      <c r="Q3" s="134"/>
      <c r="R3" s="134"/>
      <c r="S3" s="134"/>
      <c r="T3" s="134"/>
      <c r="U3" s="134"/>
    </row>
    <row r="4" spans="1:21" s="8" customFormat="1" ht="6.75" customHeight="1" thickBot="1">
      <c r="A4" s="38"/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</row>
    <row r="5" spans="1:21" s="8" customFormat="1" ht="11.25" customHeight="1" thickBot="1">
      <c r="A5" s="53" t="s">
        <v>19</v>
      </c>
      <c r="B5" s="50">
        <v>41275</v>
      </c>
      <c r="C5" s="47">
        <v>41306</v>
      </c>
      <c r="D5" s="47">
        <v>41334</v>
      </c>
      <c r="E5" s="47">
        <v>41365</v>
      </c>
      <c r="F5" s="47">
        <v>41395</v>
      </c>
      <c r="G5" s="47">
        <v>41426</v>
      </c>
      <c r="H5" s="47">
        <v>41456</v>
      </c>
      <c r="I5" s="47">
        <v>41487</v>
      </c>
      <c r="J5" s="47">
        <v>41518</v>
      </c>
      <c r="K5" s="47">
        <v>41548</v>
      </c>
      <c r="L5" s="47">
        <v>41579</v>
      </c>
      <c r="M5" s="51">
        <v>41609</v>
      </c>
    </row>
    <row r="6" spans="1:21" s="8" customFormat="1" ht="11.25" customHeight="1">
      <c r="A6" s="41" t="s">
        <v>129</v>
      </c>
      <c r="B6" s="57">
        <f t="shared" ref="B6:M6" si="0">B32</f>
        <v>29</v>
      </c>
      <c r="C6" s="57">
        <f t="shared" si="0"/>
        <v>21</v>
      </c>
      <c r="D6" s="57">
        <f t="shared" si="0"/>
        <v>26</v>
      </c>
      <c r="E6" s="57">
        <f t="shared" si="0"/>
        <v>21</v>
      </c>
      <c r="F6" s="57">
        <f t="shared" si="0"/>
        <v>31</v>
      </c>
      <c r="G6" s="57">
        <f t="shared" si="0"/>
        <v>23</v>
      </c>
      <c r="H6" s="57">
        <f t="shared" si="0"/>
        <v>27</v>
      </c>
      <c r="I6" s="57">
        <f t="shared" si="0"/>
        <v>29</v>
      </c>
      <c r="J6" s="57">
        <f t="shared" si="0"/>
        <v>37</v>
      </c>
      <c r="K6" s="57">
        <f t="shared" si="0"/>
        <v>18</v>
      </c>
      <c r="L6" s="156">
        <f t="shared" si="0"/>
        <v>23</v>
      </c>
      <c r="M6" s="168">
        <f t="shared" si="0"/>
        <v>33</v>
      </c>
    </row>
    <row r="7" spans="1:21" s="8" customFormat="1" ht="11.25" customHeight="1">
      <c r="A7" s="42" t="s">
        <v>18</v>
      </c>
      <c r="B7" s="57">
        <f t="shared" ref="B7:M7" si="1">SUM(B10:B12)</f>
        <v>78</v>
      </c>
      <c r="C7" s="57">
        <f t="shared" si="1"/>
        <v>46</v>
      </c>
      <c r="D7" s="57">
        <f t="shared" si="1"/>
        <v>74</v>
      </c>
      <c r="E7" s="57">
        <f t="shared" si="1"/>
        <v>56</v>
      </c>
      <c r="F7" s="57">
        <f t="shared" si="1"/>
        <v>44</v>
      </c>
      <c r="G7" s="57">
        <f t="shared" si="1"/>
        <v>24</v>
      </c>
      <c r="H7" s="57">
        <f t="shared" si="1"/>
        <v>44</v>
      </c>
      <c r="I7" s="57">
        <f t="shared" si="1"/>
        <v>48</v>
      </c>
      <c r="J7" s="57">
        <f t="shared" si="1"/>
        <v>59</v>
      </c>
      <c r="K7" s="57">
        <f t="shared" si="1"/>
        <v>67</v>
      </c>
      <c r="L7" s="156">
        <f t="shared" si="1"/>
        <v>56</v>
      </c>
      <c r="M7" s="171">
        <f t="shared" si="1"/>
        <v>76</v>
      </c>
    </row>
    <row r="8" spans="1:21" s="8" customFormat="1" ht="11.25" customHeight="1" thickBot="1">
      <c r="A8" s="43" t="s">
        <v>14</v>
      </c>
      <c r="B8" s="58">
        <f t="shared" ref="B8:M8" si="2">SUM(B6:B7)</f>
        <v>107</v>
      </c>
      <c r="C8" s="58">
        <f t="shared" si="2"/>
        <v>67</v>
      </c>
      <c r="D8" s="58">
        <f t="shared" si="2"/>
        <v>100</v>
      </c>
      <c r="E8" s="58">
        <f t="shared" si="2"/>
        <v>77</v>
      </c>
      <c r="F8" s="58">
        <f t="shared" si="2"/>
        <v>75</v>
      </c>
      <c r="G8" s="58">
        <f t="shared" si="2"/>
        <v>47</v>
      </c>
      <c r="H8" s="58">
        <f t="shared" si="2"/>
        <v>71</v>
      </c>
      <c r="I8" s="58">
        <f t="shared" si="2"/>
        <v>77</v>
      </c>
      <c r="J8" s="58">
        <f t="shared" si="2"/>
        <v>96</v>
      </c>
      <c r="K8" s="58">
        <f t="shared" si="2"/>
        <v>85</v>
      </c>
      <c r="L8" s="157">
        <f t="shared" si="2"/>
        <v>79</v>
      </c>
      <c r="M8" s="172">
        <f t="shared" si="2"/>
        <v>109</v>
      </c>
    </row>
    <row r="9" spans="1:21" s="8" customFormat="1" ht="11.25" customHeight="1" thickBot="1">
      <c r="A9" s="54" t="s">
        <v>18</v>
      </c>
      <c r="B9" s="50">
        <v>41275</v>
      </c>
      <c r="C9" s="47">
        <v>41306</v>
      </c>
      <c r="D9" s="47">
        <v>41334</v>
      </c>
      <c r="E9" s="47">
        <v>41365</v>
      </c>
      <c r="F9" s="47">
        <v>41395</v>
      </c>
      <c r="G9" s="47">
        <v>41426</v>
      </c>
      <c r="H9" s="47">
        <v>41456</v>
      </c>
      <c r="I9" s="47">
        <v>41487</v>
      </c>
      <c r="J9" s="47">
        <v>41518</v>
      </c>
      <c r="K9" s="47">
        <v>41548</v>
      </c>
      <c r="L9" s="47">
        <v>41579</v>
      </c>
      <c r="M9" s="51">
        <v>41609</v>
      </c>
    </row>
    <row r="10" spans="1:21" s="8" customFormat="1" ht="11.25" customHeight="1">
      <c r="A10" s="9" t="s">
        <v>128</v>
      </c>
      <c r="B10" s="57">
        <f t="shared" ref="B10:M10" si="3">B52</f>
        <v>41</v>
      </c>
      <c r="C10" s="57">
        <f t="shared" si="3"/>
        <v>17</v>
      </c>
      <c r="D10" s="57">
        <f t="shared" si="3"/>
        <v>38</v>
      </c>
      <c r="E10" s="57">
        <f t="shared" si="3"/>
        <v>24</v>
      </c>
      <c r="F10" s="57">
        <f t="shared" si="3"/>
        <v>20</v>
      </c>
      <c r="G10" s="59">
        <f t="shared" si="3"/>
        <v>12</v>
      </c>
      <c r="H10" s="59">
        <f t="shared" si="3"/>
        <v>27</v>
      </c>
      <c r="I10" s="59">
        <f t="shared" si="3"/>
        <v>23</v>
      </c>
      <c r="J10" s="59">
        <f t="shared" si="3"/>
        <v>26</v>
      </c>
      <c r="K10" s="59">
        <f t="shared" si="3"/>
        <v>25</v>
      </c>
      <c r="L10" s="158">
        <f t="shared" si="3"/>
        <v>16</v>
      </c>
      <c r="M10" s="168">
        <f t="shared" si="3"/>
        <v>32</v>
      </c>
    </row>
    <row r="11" spans="1:21" s="8" customFormat="1" ht="11.25" customHeight="1">
      <c r="A11" s="9" t="s">
        <v>127</v>
      </c>
      <c r="B11" s="59">
        <f t="shared" ref="B11:M11" si="4">B65</f>
        <v>6</v>
      </c>
      <c r="C11" s="59">
        <f t="shared" si="4"/>
        <v>1</v>
      </c>
      <c r="D11" s="59">
        <f t="shared" si="4"/>
        <v>1</v>
      </c>
      <c r="E11" s="59">
        <f t="shared" si="4"/>
        <v>2</v>
      </c>
      <c r="F11" s="59">
        <f t="shared" si="4"/>
        <v>1</v>
      </c>
      <c r="G11" s="59">
        <f t="shared" si="4"/>
        <v>1</v>
      </c>
      <c r="H11" s="59">
        <f t="shared" si="4"/>
        <v>2</v>
      </c>
      <c r="I11" s="59">
        <f t="shared" si="4"/>
        <v>1</v>
      </c>
      <c r="J11" s="59">
        <f t="shared" si="4"/>
        <v>2</v>
      </c>
      <c r="K11" s="59">
        <f t="shared" si="4"/>
        <v>3</v>
      </c>
      <c r="L11" s="158">
        <f t="shared" si="4"/>
        <v>2</v>
      </c>
      <c r="M11" s="169">
        <f t="shared" si="4"/>
        <v>2</v>
      </c>
    </row>
    <row r="12" spans="1:21" s="8" customFormat="1" ht="11.25" customHeight="1" thickBot="1">
      <c r="A12" s="2" t="s">
        <v>12</v>
      </c>
      <c r="B12" s="60">
        <f>COUNTIFS(Jan!$B:$B,2122,Jan!$F:$F,800)</f>
        <v>31</v>
      </c>
      <c r="C12" s="60">
        <v>28</v>
      </c>
      <c r="D12" s="60">
        <v>35</v>
      </c>
      <c r="E12" s="60">
        <v>30</v>
      </c>
      <c r="F12" s="60">
        <v>23</v>
      </c>
      <c r="G12" s="60">
        <v>11</v>
      </c>
      <c r="H12" s="60">
        <v>15</v>
      </c>
      <c r="I12" s="60">
        <v>24</v>
      </c>
      <c r="J12" s="60">
        <v>31</v>
      </c>
      <c r="K12" s="60">
        <v>39</v>
      </c>
      <c r="L12" s="60">
        <v>38</v>
      </c>
      <c r="M12" s="60">
        <v>42</v>
      </c>
    </row>
    <row r="13" spans="1:21" s="8" customFormat="1" ht="5.0999999999999996" customHeight="1" thickBot="1">
      <c r="A13" s="3"/>
      <c r="B13" s="17"/>
      <c r="C13" s="17"/>
      <c r="D13" s="17"/>
      <c r="E13" s="17"/>
      <c r="F13" s="17"/>
      <c r="G13" s="17"/>
      <c r="H13" s="17"/>
      <c r="I13" s="17"/>
      <c r="J13" s="17"/>
      <c r="K13" s="17"/>
      <c r="L13" s="17"/>
      <c r="M13" s="147"/>
    </row>
    <row r="14" spans="1:21" s="16" customFormat="1" ht="11.25" customHeight="1">
      <c r="A14" s="44" t="s">
        <v>131</v>
      </c>
      <c r="B14" s="120">
        <v>8431</v>
      </c>
      <c r="C14" s="120">
        <v>8392</v>
      </c>
      <c r="D14" s="120">
        <v>10124</v>
      </c>
      <c r="E14" s="120">
        <v>8421</v>
      </c>
      <c r="F14" s="120">
        <v>9182</v>
      </c>
      <c r="G14" s="120">
        <v>9624</v>
      </c>
      <c r="H14" s="119">
        <v>8962</v>
      </c>
      <c r="I14" s="61">
        <v>8748</v>
      </c>
      <c r="J14" s="61">
        <v>9889</v>
      </c>
      <c r="K14" s="118">
        <v>9303</v>
      </c>
      <c r="L14" s="160">
        <v>8754</v>
      </c>
      <c r="M14" s="173">
        <v>9945</v>
      </c>
      <c r="O14" s="22"/>
      <c r="P14" s="22"/>
      <c r="Q14" s="22"/>
    </row>
    <row r="15" spans="1:21" s="8" customFormat="1" ht="11.25" customHeight="1">
      <c r="A15" s="45" t="s">
        <v>132</v>
      </c>
      <c r="B15" s="62">
        <f>IFERROR((SUMIFS(Jan!$N:$N,Jan!$J:$J,1,Jan!$B:$B,2122)+SUMIFS(Jan!$N:$N,Jan!$D:$D,"&gt;1",Jan!$B:$B,2122))/(COUNTIFS(Jan!$J:$J,1,Jan!$B:$B,2122)+COUNTIFS(Jan!$D:$D,"&gt;1",Jan!$B:$B,2122)),"")</f>
        <v>25.743589743589745</v>
      </c>
      <c r="C15" s="62">
        <v>24.25</v>
      </c>
      <c r="D15" s="62">
        <v>22.59</v>
      </c>
      <c r="E15" s="62">
        <v>24.63</v>
      </c>
      <c r="F15" s="62">
        <v>24.03</v>
      </c>
      <c r="G15" s="62">
        <v>23.41</v>
      </c>
      <c r="H15" s="62">
        <v>21.97</v>
      </c>
      <c r="I15" s="62">
        <v>24.16</v>
      </c>
      <c r="J15" s="62">
        <v>25.36</v>
      </c>
      <c r="K15" s="62">
        <v>25.41</v>
      </c>
      <c r="L15" s="62">
        <v>25.32</v>
      </c>
      <c r="M15" s="62">
        <v>25.79</v>
      </c>
      <c r="N15" s="15"/>
      <c r="O15" s="1"/>
      <c r="P15" s="1"/>
      <c r="Q15" s="1"/>
    </row>
    <row r="16" spans="1:21" s="8" customFormat="1" ht="11.25" customHeight="1">
      <c r="A16" s="45" t="s">
        <v>133</v>
      </c>
      <c r="B16" s="62">
        <f>IFERROR(AVERAGEIFS(Jan!$N:$N,Jan!$F:$F,800,Jan!$B:$B,2122),"")</f>
        <v>25.516129032258064</v>
      </c>
      <c r="C16" s="62">
        <v>26.83</v>
      </c>
      <c r="D16" s="62">
        <v>24.56</v>
      </c>
      <c r="E16" s="62">
        <v>26.23</v>
      </c>
      <c r="F16" s="62">
        <v>26.83</v>
      </c>
      <c r="G16" s="62">
        <v>27.82</v>
      </c>
      <c r="H16" s="62">
        <v>25.31</v>
      </c>
      <c r="I16" s="62">
        <v>26.04</v>
      </c>
      <c r="J16" s="62">
        <v>26.55</v>
      </c>
      <c r="K16" s="62">
        <v>27.38</v>
      </c>
      <c r="L16" s="62">
        <v>27.21</v>
      </c>
      <c r="M16" s="62">
        <v>28.02</v>
      </c>
      <c r="O16" s="1"/>
      <c r="P16" s="1"/>
      <c r="Q16" s="1"/>
    </row>
    <row r="17" spans="1:17" s="8" customFormat="1" ht="11.25" customHeight="1">
      <c r="A17" s="45" t="s">
        <v>134</v>
      </c>
      <c r="B17" s="63">
        <f>IFERROR((SUMIFS(Jan!$M:$M,Jan!$J:$J,1,Jan!$B:$B,2122)+SUMIFS(Jan!$M:$M,Jan!$D:$D,"&gt;1",Jan!$B:$B,2122))/(COUNTIFS(Jan!$J:$J,1,Jan!$B:$B,2122)+COUNTIFS(Jan!$D:$D,"&gt;1",Jan!$B:$B,2122)),"")</f>
        <v>1.223076923076923</v>
      </c>
      <c r="C17" s="63">
        <v>3.81</v>
      </c>
      <c r="D17" s="63">
        <v>4.08</v>
      </c>
      <c r="E17" s="63">
        <v>3.5</v>
      </c>
      <c r="F17" s="63">
        <v>6.68</v>
      </c>
      <c r="G17" s="63">
        <v>9.7899999999999991</v>
      </c>
      <c r="H17" s="63">
        <v>9.82</v>
      </c>
      <c r="I17" s="63">
        <v>8.1999999999999993</v>
      </c>
      <c r="J17" s="63">
        <v>5.93</v>
      </c>
      <c r="K17" s="63">
        <v>5.43</v>
      </c>
      <c r="L17" s="63">
        <v>6.19</v>
      </c>
      <c r="M17" s="63">
        <v>7.7</v>
      </c>
      <c r="O17" s="1"/>
      <c r="P17" s="1"/>
      <c r="Q17" s="1"/>
    </row>
    <row r="18" spans="1:17" s="8" customFormat="1" ht="11.25" customHeight="1" thickBot="1">
      <c r="A18" s="43" t="s">
        <v>135</v>
      </c>
      <c r="B18" s="64">
        <f>IFERROR(AVERAGEIFS(Jan!$M:$M,Jan!$F:$F,800,Jan!$B:$B,2122),"")</f>
        <v>1.4064516129032258</v>
      </c>
      <c r="C18" s="64">
        <v>0.9</v>
      </c>
      <c r="D18" s="64">
        <v>1.1200000000000001</v>
      </c>
      <c r="E18" s="64">
        <v>2.74</v>
      </c>
      <c r="F18" s="64">
        <v>4.0599999999999996</v>
      </c>
      <c r="G18" s="64">
        <v>4.71</v>
      </c>
      <c r="H18" s="64">
        <v>8.16</v>
      </c>
      <c r="I18" s="64">
        <v>5.01</v>
      </c>
      <c r="J18" s="64">
        <v>3.39</v>
      </c>
      <c r="K18" s="64">
        <v>4.4800000000000004</v>
      </c>
      <c r="L18" s="64">
        <v>4.3600000000000003</v>
      </c>
      <c r="M18" s="64">
        <v>3.71</v>
      </c>
    </row>
    <row r="19" spans="1:17" s="8" customFormat="1" ht="5.0999999999999996" customHeight="1" thickBot="1">
      <c r="A19" s="3"/>
      <c r="B19" s="17"/>
      <c r="C19" s="17"/>
      <c r="D19" s="17"/>
      <c r="E19" s="17"/>
      <c r="F19" s="17"/>
      <c r="G19" s="17"/>
      <c r="H19" s="17"/>
      <c r="I19" s="17"/>
      <c r="J19" s="17"/>
      <c r="K19" s="17"/>
      <c r="L19" s="17"/>
      <c r="M19" s="147"/>
    </row>
    <row r="20" spans="1:17" s="8" customFormat="1" ht="11.25" customHeight="1">
      <c r="A20" s="42" t="s">
        <v>52</v>
      </c>
      <c r="B20" s="65">
        <v>31</v>
      </c>
      <c r="C20" s="65">
        <v>28</v>
      </c>
      <c r="D20" s="65">
        <v>31</v>
      </c>
      <c r="E20" s="65">
        <v>30</v>
      </c>
      <c r="F20" s="65">
        <v>31</v>
      </c>
      <c r="G20" s="65">
        <v>30</v>
      </c>
      <c r="H20" s="65">
        <v>31</v>
      </c>
      <c r="I20" s="65">
        <v>31</v>
      </c>
      <c r="J20" s="65">
        <v>30</v>
      </c>
      <c r="K20" s="65">
        <v>31</v>
      </c>
      <c r="L20" s="161">
        <v>30</v>
      </c>
      <c r="M20" s="174">
        <v>31</v>
      </c>
    </row>
    <row r="21" spans="1:17" s="8" customFormat="1" ht="11.25" customHeight="1">
      <c r="A21" s="9" t="s">
        <v>15</v>
      </c>
      <c r="B21" s="66">
        <f>B12/B20</f>
        <v>1</v>
      </c>
      <c r="C21" s="66">
        <f t="shared" ref="C21:M21" si="5">C12/C20</f>
        <v>1</v>
      </c>
      <c r="D21" s="66">
        <f>D12/D20</f>
        <v>1.1290322580645162</v>
      </c>
      <c r="E21" s="66">
        <f>E12/E20</f>
        <v>1</v>
      </c>
      <c r="F21" s="66">
        <f>F12/F20</f>
        <v>0.74193548387096775</v>
      </c>
      <c r="G21" s="66">
        <f>G12/G20</f>
        <v>0.36666666666666664</v>
      </c>
      <c r="H21" s="66">
        <f t="shared" si="5"/>
        <v>0.4838709677419355</v>
      </c>
      <c r="I21" s="66">
        <f t="shared" si="5"/>
        <v>0.77419354838709675</v>
      </c>
      <c r="J21" s="66">
        <f t="shared" si="5"/>
        <v>1.0333333333333334</v>
      </c>
      <c r="K21" s="66">
        <f t="shared" si="5"/>
        <v>1.2580645161290323</v>
      </c>
      <c r="L21" s="162">
        <f t="shared" si="5"/>
        <v>1.2666666666666666</v>
      </c>
      <c r="M21" s="175">
        <f t="shared" si="5"/>
        <v>1.3548387096774193</v>
      </c>
    </row>
    <row r="22" spans="1:17" s="8" customFormat="1" ht="11.25" customHeight="1">
      <c r="A22" s="9" t="s">
        <v>130</v>
      </c>
      <c r="B22" s="67">
        <f t="shared" ref="B22:G22" si="6">IFERROR(B12/B7,0)</f>
        <v>0.39743589743589741</v>
      </c>
      <c r="C22" s="67">
        <f t="shared" si="6"/>
        <v>0.60869565217391308</v>
      </c>
      <c r="D22" s="67">
        <f t="shared" si="6"/>
        <v>0.47297297297297297</v>
      </c>
      <c r="E22" s="67">
        <f t="shared" si="6"/>
        <v>0.5357142857142857</v>
      </c>
      <c r="F22" s="67">
        <f t="shared" si="6"/>
        <v>0.52272727272727271</v>
      </c>
      <c r="G22" s="67">
        <f t="shared" si="6"/>
        <v>0.45833333333333331</v>
      </c>
      <c r="H22" s="67">
        <f t="shared" ref="H22:M22" si="7">IFERROR(H12/H7,0)</f>
        <v>0.34090909090909088</v>
      </c>
      <c r="I22" s="67">
        <f t="shared" si="7"/>
        <v>0.5</v>
      </c>
      <c r="J22" s="67">
        <f t="shared" si="7"/>
        <v>0.52542372881355937</v>
      </c>
      <c r="K22" s="116">
        <f t="shared" si="7"/>
        <v>0.58208955223880599</v>
      </c>
      <c r="L22" s="67">
        <f t="shared" si="7"/>
        <v>0.6785714285714286</v>
      </c>
      <c r="M22" s="176">
        <f t="shared" si="7"/>
        <v>0.55263157894736847</v>
      </c>
      <c r="N22" s="1"/>
    </row>
    <row r="23" spans="1:17" s="8" customFormat="1" ht="11.25" customHeight="1" thickBot="1">
      <c r="A23" s="9" t="s">
        <v>53</v>
      </c>
      <c r="B23" s="67">
        <f t="shared" ref="B23:G23" si="8">IFERROR(B12/(B11+B12),0)</f>
        <v>0.83783783783783783</v>
      </c>
      <c r="C23" s="67">
        <f t="shared" si="8"/>
        <v>0.96551724137931039</v>
      </c>
      <c r="D23" s="67">
        <f t="shared" si="8"/>
        <v>0.97222222222222221</v>
      </c>
      <c r="E23" s="67">
        <f t="shared" si="8"/>
        <v>0.9375</v>
      </c>
      <c r="F23" s="67">
        <f t="shared" si="8"/>
        <v>0.95833333333333337</v>
      </c>
      <c r="G23" s="67">
        <f t="shared" si="8"/>
        <v>0.91666666666666663</v>
      </c>
      <c r="H23" s="67">
        <f t="shared" ref="H23:M23" si="9">IFERROR(H12/(H11+H12),0)</f>
        <v>0.88235294117647056</v>
      </c>
      <c r="I23" s="67">
        <f t="shared" si="9"/>
        <v>0.96</v>
      </c>
      <c r="J23" s="67">
        <f t="shared" si="9"/>
        <v>0.93939393939393945</v>
      </c>
      <c r="K23" s="117">
        <f t="shared" si="9"/>
        <v>0.9285714285714286</v>
      </c>
      <c r="L23" s="163">
        <f t="shared" si="9"/>
        <v>0.95</v>
      </c>
      <c r="M23" s="177">
        <f t="shared" si="9"/>
        <v>0.95454545454545459</v>
      </c>
      <c r="N23" s="4"/>
    </row>
    <row r="24" spans="1:17" s="8" customFormat="1" ht="11.25" customHeight="1" thickBot="1">
      <c r="A24" s="56" t="s">
        <v>21</v>
      </c>
      <c r="B24" s="50">
        <v>41275</v>
      </c>
      <c r="C24" s="47">
        <v>41306</v>
      </c>
      <c r="D24" s="47">
        <v>41334</v>
      </c>
      <c r="E24" s="47">
        <v>41365</v>
      </c>
      <c r="F24" s="47">
        <v>41395</v>
      </c>
      <c r="G24" s="47">
        <v>41426</v>
      </c>
      <c r="H24" s="47">
        <v>41456</v>
      </c>
      <c r="I24" s="47">
        <v>41487</v>
      </c>
      <c r="J24" s="47">
        <v>41518</v>
      </c>
      <c r="K24" s="47">
        <v>41548</v>
      </c>
      <c r="L24" s="47">
        <v>41579</v>
      </c>
      <c r="M24" s="51">
        <v>41609</v>
      </c>
    </row>
    <row r="25" spans="1:17" s="8" customFormat="1" ht="11.25" customHeight="1">
      <c r="A25" s="18" t="s">
        <v>5</v>
      </c>
      <c r="B25" s="68">
        <f>COUNTIFS(Jan!$B:$B,2122,Jan!$J:$J,18)</f>
        <v>16</v>
      </c>
      <c r="C25" s="68">
        <v>14</v>
      </c>
      <c r="D25" s="68">
        <v>11</v>
      </c>
      <c r="E25" s="68">
        <v>8</v>
      </c>
      <c r="F25" s="68">
        <v>14</v>
      </c>
      <c r="G25" s="68">
        <v>15</v>
      </c>
      <c r="H25" s="68">
        <v>14</v>
      </c>
      <c r="I25" s="68">
        <v>16</v>
      </c>
      <c r="J25" s="68">
        <v>15</v>
      </c>
      <c r="K25" s="68">
        <v>12</v>
      </c>
      <c r="L25" s="68">
        <v>13</v>
      </c>
      <c r="M25" s="68">
        <v>15</v>
      </c>
    </row>
    <row r="26" spans="1:17" s="8" customFormat="1" ht="11.25" customHeight="1">
      <c r="A26" s="46" t="s">
        <v>40</v>
      </c>
      <c r="B26" s="57">
        <f>COUNTIFS(Jan!$B:$B,2122,Jan!$J:$J,41)</f>
        <v>0</v>
      </c>
      <c r="C26" s="57">
        <f>COUNTIFS(Feb!$B:$B,2122,Feb!$J:$J,41)</f>
        <v>0</v>
      </c>
      <c r="D26" s="57">
        <v>1</v>
      </c>
      <c r="E26" s="57">
        <f>COUNTIFS(Apr!$B:$B,2122,Apr!$J:$J,41)</f>
        <v>0</v>
      </c>
      <c r="F26" s="57">
        <v>2</v>
      </c>
      <c r="G26" s="57">
        <f>COUNTIFS(Jun!$B:$B,2122,Jun!$J:$J,41)</f>
        <v>0</v>
      </c>
      <c r="H26" s="57">
        <f>COUNTIFS(Jul!$B:$B,2122,Jul!$J:$J,41)</f>
        <v>0</v>
      </c>
      <c r="I26" s="57">
        <f>COUNTIFS(Aug!$B:$B,2122,Aug!$J:$J,41)</f>
        <v>0</v>
      </c>
      <c r="J26" s="57">
        <v>8</v>
      </c>
      <c r="K26" s="57">
        <f>COUNTIFS(Oct!$B:$B,2122,Oct!$J:$J,41)</f>
        <v>0</v>
      </c>
      <c r="L26" s="57">
        <f>COUNTIFS(Nov!$B:$B,2122,Nov!$J:$J,41)</f>
        <v>0</v>
      </c>
      <c r="M26" s="57">
        <v>0</v>
      </c>
    </row>
    <row r="27" spans="1:17" s="8" customFormat="1" ht="11.25" customHeight="1">
      <c r="A27" s="9" t="s">
        <v>11</v>
      </c>
      <c r="B27" s="179">
        <f>COUNTIFS(Jan!$B:$B,2122,Jan!$J:$J,17)</f>
        <v>13</v>
      </c>
      <c r="C27" s="206">
        <v>7</v>
      </c>
      <c r="D27" s="206">
        <v>13</v>
      </c>
      <c r="E27" s="206">
        <v>13</v>
      </c>
      <c r="F27" s="206">
        <v>15</v>
      </c>
      <c r="G27" s="206">
        <v>7</v>
      </c>
      <c r="H27" s="206">
        <v>13</v>
      </c>
      <c r="I27" s="206">
        <v>13</v>
      </c>
      <c r="J27" s="206">
        <v>14</v>
      </c>
      <c r="K27" s="206">
        <v>6</v>
      </c>
      <c r="L27" s="206">
        <v>10</v>
      </c>
      <c r="M27" s="206">
        <v>18</v>
      </c>
    </row>
    <row r="28" spans="1:17" s="8" customFormat="1" ht="11.25" customHeight="1">
      <c r="A28" s="9" t="s">
        <v>143</v>
      </c>
      <c r="B28" s="59">
        <f>COUNTIFS(Jan!$B:$B,2122,Jan!$F:$F,455)</f>
        <v>0</v>
      </c>
      <c r="C28" s="59">
        <f>COUNTIFS(Feb!$B:$B,2122,Feb!$F:$F,455)</f>
        <v>0</v>
      </c>
      <c r="D28" s="59">
        <f>COUNTIFS(Mar!$B:$B,2122,Mar!$F:$F,455)</f>
        <v>0</v>
      </c>
      <c r="E28" s="59">
        <f>COUNTIFS(Apr!$B:$B,2122,Apr!$F:$F,455)</f>
        <v>0</v>
      </c>
      <c r="F28" s="59">
        <f>COUNTIFS(May!$B:$B,2122,May!$F:$F,455)</f>
        <v>0</v>
      </c>
      <c r="G28" s="59">
        <f>COUNTIFS(Jun!$B:$B,2122,Jun!$F:$F,455)</f>
        <v>0</v>
      </c>
      <c r="H28" s="59">
        <f>COUNTIFS(Jul!$B:$B,2122,Jul!$F:$F,455)</f>
        <v>0</v>
      </c>
      <c r="I28" s="59">
        <f>COUNTIFS(Aug!$B:$B,2122,Aug!$F:$F,455)</f>
        <v>0</v>
      </c>
      <c r="J28" s="59">
        <f>COUNTIFS(Sep!$B:$B,2122,Sep!$F:$F,455)</f>
        <v>0</v>
      </c>
      <c r="K28" s="59">
        <f>COUNTIFS(Oct!$B:$B,2122,Oct!$F:$F,455)</f>
        <v>0</v>
      </c>
      <c r="L28" s="59">
        <f>COUNTIFS(Nov!$B:$B,2122,Nov!$F:$F,455)</f>
        <v>0</v>
      </c>
      <c r="M28" s="59">
        <v>0</v>
      </c>
    </row>
    <row r="29" spans="1:17" s="8" customFormat="1" ht="11.25" customHeight="1">
      <c r="A29" s="9" t="s">
        <v>23</v>
      </c>
      <c r="B29" s="59">
        <f>COUNTIFS(Jan!$B:$B,2122,Jan!$J:$J,31)</f>
        <v>0</v>
      </c>
      <c r="C29" s="59">
        <f>COUNTIFS(Feb!$B:$B,2122,Feb!$J:$J,31)</f>
        <v>0</v>
      </c>
      <c r="D29" s="59">
        <f>COUNTIFS(Mar!$B:$B,2122,Mar!$J:$J,31)</f>
        <v>0</v>
      </c>
      <c r="E29" s="59">
        <f>COUNTIFS(Apr!$B:$B,2122,Apr!$J:$J,31)</f>
        <v>0</v>
      </c>
      <c r="F29" s="59">
        <f>COUNTIFS(May!$B:$B,2122,May!$J:$J,31)</f>
        <v>0</v>
      </c>
      <c r="G29" s="59">
        <f>COUNTIFS(Jun!$B:$B,2122,Jun!$J:$J,31)</f>
        <v>0</v>
      </c>
      <c r="H29" s="59">
        <f>COUNTIFS(Jul!$B:$B,2122,Jul!$J:$J,31)</f>
        <v>0</v>
      </c>
      <c r="I29" s="59">
        <f>COUNTIFS(Aug!$B:$B,2122,Aug!$J:$J,31)</f>
        <v>0</v>
      </c>
      <c r="J29" s="59">
        <f>COUNTIFS(Sep!$B:$B,2122,Sep!$J:$J,31)</f>
        <v>0</v>
      </c>
      <c r="K29" s="59">
        <f>COUNTIFS(Oct!$B:$B,2122,Oct!$J:$J,31)</f>
        <v>0</v>
      </c>
      <c r="L29" s="59">
        <f>COUNTIFS(Nov!$B:$B,2122,Nov!$J:$J,31)</f>
        <v>0</v>
      </c>
      <c r="M29" s="59">
        <v>0</v>
      </c>
    </row>
    <row r="30" spans="1:17" s="8" customFormat="1" ht="11.25" customHeight="1">
      <c r="A30" s="9" t="s">
        <v>37</v>
      </c>
      <c r="B30" s="59">
        <f>COUNTIFS(Jan!$B:$B,2122,Jan!$J:$J,4400)</f>
        <v>0</v>
      </c>
      <c r="C30" s="59">
        <f>COUNTIFS(Feb!$B:$B,2122,Feb!$J:$J,4400)</f>
        <v>0</v>
      </c>
      <c r="D30" s="59">
        <v>1</v>
      </c>
      <c r="E30" s="59">
        <f>COUNTIFS(Apr!$B:$B,2122,Apr!$J:$J,4400)</f>
        <v>0</v>
      </c>
      <c r="F30" s="59">
        <f>COUNTIFS(May!$B:$B,2122,May!$J:$J,4400)</f>
        <v>0</v>
      </c>
      <c r="G30" s="59">
        <v>1</v>
      </c>
      <c r="H30" s="59">
        <f>COUNTIFS(Jul!$B:$B,2122,Jul!$J:$J,4400)</f>
        <v>0</v>
      </c>
      <c r="I30" s="59">
        <f>COUNTIFS(Aug!$B:$B,2122,Aug!$J:$J,4400)</f>
        <v>0</v>
      </c>
      <c r="J30" s="59">
        <f>COUNTIFS(Sep!$B:$B,2122,Sep!$J:$J,4400)</f>
        <v>0</v>
      </c>
      <c r="K30" s="59">
        <f>COUNTIFS(Oct!$B:$B,2122,Oct!$J:$J,4400)</f>
        <v>0</v>
      </c>
      <c r="L30" s="59">
        <f>COUNTIFS(Nov!$B:$B,2122,Nov!$J:$J,4400)</f>
        <v>0</v>
      </c>
      <c r="M30" s="59">
        <v>0</v>
      </c>
    </row>
    <row r="31" spans="1:17" s="8" customFormat="1" ht="11.25" customHeight="1">
      <c r="A31" s="10" t="s">
        <v>24</v>
      </c>
      <c r="B31" s="59">
        <f>COUNTIFS(Jan!$B:$B,2122,Jan!$J:$J,30)</f>
        <v>0</v>
      </c>
      <c r="C31" s="59">
        <f>COUNTIFS(Feb!$B:$B,2122,Feb!$J:$J,30)</f>
        <v>0</v>
      </c>
      <c r="D31" s="59">
        <f>COUNTIFS(Mar!$B:$B,2122,Mar!$J:$J,30)</f>
        <v>0</v>
      </c>
      <c r="E31" s="59">
        <f>COUNTIFS(Apr!$B:$B,2122,Apr!$J:$J,30)</f>
        <v>0</v>
      </c>
      <c r="F31" s="59">
        <f>COUNTIFS(May!$B:$B,2122,May!$J:$J,30)</f>
        <v>0</v>
      </c>
      <c r="G31" s="59">
        <f>COUNTIFS(Jun!$B:$B,2122,Jun!$J:$J,30)</f>
        <v>0</v>
      </c>
      <c r="H31" s="59">
        <f>COUNTIFS(Jul!$B:$B,2122,Jul!$J:$J,30)</f>
        <v>0</v>
      </c>
      <c r="I31" s="59">
        <f>COUNTIFS(Aug!$B:$B,2122,Aug!$J:$J,30)</f>
        <v>0</v>
      </c>
      <c r="J31" s="59">
        <f>COUNTIFS(Sep!$B:$B,2122,Sep!$J:$J,30)</f>
        <v>0</v>
      </c>
      <c r="K31" s="59">
        <f>COUNTIFS(Oct!$B:$B,2122,Oct!$J:$J,30)</f>
        <v>0</v>
      </c>
      <c r="L31" s="59">
        <f>COUNTIFS(Nov!$B:$B,2122,Nov!$J:$J,30)</f>
        <v>0</v>
      </c>
      <c r="M31" s="59">
        <v>0</v>
      </c>
    </row>
    <row r="32" spans="1:17" s="14" customFormat="1" ht="11.25" customHeight="1" thickBot="1">
      <c r="A32" s="2" t="s">
        <v>140</v>
      </c>
      <c r="B32" s="60">
        <f>SUM(B25:B31)</f>
        <v>29</v>
      </c>
      <c r="C32" s="60">
        <f t="shared" ref="C32:M32" si="10">SUM(C25:C31)</f>
        <v>21</v>
      </c>
      <c r="D32" s="60">
        <f>SUM(D25:D31)</f>
        <v>26</v>
      </c>
      <c r="E32" s="60">
        <f>SUM(E25:E31)</f>
        <v>21</v>
      </c>
      <c r="F32" s="60">
        <f>SUM(F25:F31)</f>
        <v>31</v>
      </c>
      <c r="G32" s="60">
        <f>SUM(G25:G31)</f>
        <v>23</v>
      </c>
      <c r="H32" s="60">
        <f t="shared" si="10"/>
        <v>27</v>
      </c>
      <c r="I32" s="60">
        <f t="shared" si="10"/>
        <v>29</v>
      </c>
      <c r="J32" s="60">
        <f t="shared" si="10"/>
        <v>37</v>
      </c>
      <c r="K32" s="60">
        <f t="shared" si="10"/>
        <v>18</v>
      </c>
      <c r="L32" s="159">
        <f t="shared" si="10"/>
        <v>23</v>
      </c>
      <c r="M32" s="170">
        <f t="shared" si="10"/>
        <v>33</v>
      </c>
    </row>
    <row r="33" spans="1:13" ht="12" customHeight="1" thickBot="1">
      <c r="A33" s="55" t="s">
        <v>136</v>
      </c>
      <c r="B33" s="50">
        <v>41275</v>
      </c>
      <c r="C33" s="47">
        <v>41306</v>
      </c>
      <c r="D33" s="47">
        <v>41334</v>
      </c>
      <c r="E33" s="47">
        <v>41365</v>
      </c>
      <c r="F33" s="47">
        <v>41395</v>
      </c>
      <c r="G33" s="47">
        <v>41426</v>
      </c>
      <c r="H33" s="47">
        <v>41456</v>
      </c>
      <c r="I33" s="47">
        <v>41487</v>
      </c>
      <c r="J33" s="47">
        <v>41518</v>
      </c>
      <c r="K33" s="47">
        <v>41548</v>
      </c>
      <c r="L33" s="47">
        <v>41579</v>
      </c>
      <c r="M33" s="51">
        <v>41609</v>
      </c>
    </row>
    <row r="34" spans="1:13" s="8" customFormat="1" ht="11.25" customHeight="1">
      <c r="A34" s="46" t="s">
        <v>33</v>
      </c>
      <c r="B34" s="57">
        <f>COUNTIFS(Jan!$B:$B,2122,Jan!$J:$J,40)</f>
        <v>0</v>
      </c>
      <c r="C34" s="57">
        <f>COUNTIFS(Feb!$B:$B,2122,Feb!$J:$J,40)</f>
        <v>0</v>
      </c>
      <c r="D34" s="57">
        <v>1</v>
      </c>
      <c r="E34" s="57">
        <f>COUNTIFS(Apr!$B:$B,2122,Apr!$J:$J,40)</f>
        <v>0</v>
      </c>
      <c r="F34" s="57">
        <f>COUNTIFS(May!$B:$B,2122,May!$J:$J,40)</f>
        <v>0</v>
      </c>
      <c r="G34" s="57">
        <f>COUNTIFS(Jun!$B:$B,2122,Jun!$J:$J,40)</f>
        <v>0</v>
      </c>
      <c r="H34" s="57">
        <f>COUNTIFS(Jul!$B:$B,2122,Jul!$J:$J,40)</f>
        <v>0</v>
      </c>
      <c r="I34" s="57">
        <f>COUNTIFS(Aug!$B:$B,2122,Aug!$J:$J,40)</f>
        <v>0</v>
      </c>
      <c r="J34" s="57">
        <f>COUNTIFS(Sep!$B:$B,2122,Sep!$J:$J,40)</f>
        <v>0</v>
      </c>
      <c r="K34" s="57">
        <f>COUNTIFS(Oct!$B:$B,2122,Oct!$J:$J,40)</f>
        <v>0</v>
      </c>
      <c r="L34" s="57">
        <f>COUNTIFS(Nov!$B:$B,2122,Nov!$J:$J,40)</f>
        <v>0</v>
      </c>
      <c r="M34" s="57">
        <v>0</v>
      </c>
    </row>
    <row r="35" spans="1:13" s="8" customFormat="1" ht="11.25" customHeight="1">
      <c r="A35" s="10" t="s">
        <v>4</v>
      </c>
      <c r="B35" s="59">
        <f>COUNTIFS(Jan!$B:$B,2122,Jan!$J:$J,15)</f>
        <v>2</v>
      </c>
      <c r="C35" s="59">
        <v>1</v>
      </c>
      <c r="D35" s="59">
        <v>2</v>
      </c>
      <c r="E35" s="59">
        <f>COUNTIFS(Apr!$B:$B,2122,Apr!$J:$J,15)</f>
        <v>0</v>
      </c>
      <c r="F35" s="59">
        <v>1</v>
      </c>
      <c r="G35" s="59">
        <f>COUNTIFS(Jun!$B:$B,2122,Jun!$J:$J,15)</f>
        <v>0</v>
      </c>
      <c r="H35" s="59">
        <v>5</v>
      </c>
      <c r="I35" s="59">
        <f>COUNTIFS(Aug!$B:$B,2122,Aug!$J:$J,15)</f>
        <v>0</v>
      </c>
      <c r="J35" s="59">
        <v>1</v>
      </c>
      <c r="K35" s="59">
        <f>COUNTIFS(Oct!$B:$B,2122,Oct!$J:$J,15)</f>
        <v>0</v>
      </c>
      <c r="L35" s="59">
        <f>COUNTIFS(Nov!$B:$B,2122,Nov!$J:$J,15)</f>
        <v>0</v>
      </c>
      <c r="M35" s="59">
        <v>1</v>
      </c>
    </row>
    <row r="36" spans="1:13" s="8" customFormat="1" ht="11.25" customHeight="1">
      <c r="A36" s="10" t="s">
        <v>39</v>
      </c>
      <c r="B36" s="59">
        <f>COUNTIFS(Jan!$B:$B,2122,Jan!$J:$J,29)</f>
        <v>5</v>
      </c>
      <c r="C36" s="59">
        <v>2</v>
      </c>
      <c r="D36" s="59">
        <v>7</v>
      </c>
      <c r="E36" s="59">
        <v>2</v>
      </c>
      <c r="F36" s="59">
        <v>3</v>
      </c>
      <c r="G36" s="59">
        <v>3</v>
      </c>
      <c r="H36" s="59">
        <f>COUNTIFS(Jul!$B:$B,2122,Jul!$J:$J,29)</f>
        <v>0</v>
      </c>
      <c r="I36" s="59">
        <v>5</v>
      </c>
      <c r="J36" s="59">
        <v>6</v>
      </c>
      <c r="K36" s="59">
        <v>8</v>
      </c>
      <c r="L36" s="59">
        <v>3</v>
      </c>
      <c r="M36" s="59">
        <v>7</v>
      </c>
    </row>
    <row r="37" spans="1:13" s="8" customFormat="1" ht="11.25" customHeight="1">
      <c r="A37" s="10" t="s">
        <v>3</v>
      </c>
      <c r="B37" s="59">
        <f>COUNTIFS(Jan!$B:$B,2122,Jan!$J:$J,13)</f>
        <v>11</v>
      </c>
      <c r="C37" s="59">
        <v>4</v>
      </c>
      <c r="D37" s="59">
        <v>10</v>
      </c>
      <c r="E37" s="59">
        <v>4</v>
      </c>
      <c r="F37" s="59">
        <v>3</v>
      </c>
      <c r="G37" s="59">
        <f>COUNTIFS(Jun!$B:$B,2122,Jun!$J:$J,13)</f>
        <v>0</v>
      </c>
      <c r="H37" s="59">
        <v>2</v>
      </c>
      <c r="I37" s="59">
        <v>4</v>
      </c>
      <c r="J37" s="59">
        <v>3</v>
      </c>
      <c r="K37" s="59">
        <v>1</v>
      </c>
      <c r="L37" s="59">
        <v>1</v>
      </c>
      <c r="M37" s="59">
        <v>0</v>
      </c>
    </row>
    <row r="38" spans="1:13" s="8" customFormat="1" ht="11.25" customHeight="1">
      <c r="A38" s="9" t="s">
        <v>218</v>
      </c>
      <c r="B38" s="59">
        <f>COUNTIFS(Jan!$B:$B,2122,Jan!$J:$J,43)</f>
        <v>0</v>
      </c>
      <c r="C38" s="59">
        <f>COUNTIFS(Feb!$B:$B,2122,Feb!$J:$J,43)</f>
        <v>0</v>
      </c>
      <c r="D38" s="59">
        <f>COUNTIFS(Mar!$B:$B,2122,Mar!$J:$J,43)</f>
        <v>0</v>
      </c>
      <c r="E38" s="59">
        <v>1</v>
      </c>
      <c r="F38" s="59">
        <f>COUNTIFS(May!$B:$B,2122,May!$J:$J,43)</f>
        <v>0</v>
      </c>
      <c r="G38" s="59">
        <f>COUNTIFS(Jun!$B:$B,2122,Jun!$J:$J,43)</f>
        <v>0</v>
      </c>
      <c r="H38" s="59">
        <f>COUNTIFS(Jul!$B:$B,2122,Jul!$J:$J,43)</f>
        <v>0</v>
      </c>
      <c r="I38" s="59">
        <f>COUNTIFS(Aug!$B:$B,2122,Aug!$J:$J,43)</f>
        <v>0</v>
      </c>
      <c r="J38" s="59">
        <f>COUNTIFS(Sep!$B:$B,2122,Sep!$J:$J,43)</f>
        <v>0</v>
      </c>
      <c r="K38" s="59">
        <f>COUNTIFS(Oct!$B:$B,2122,Oct!$J:$J,43)</f>
        <v>0</v>
      </c>
      <c r="L38" s="59">
        <f>COUNTIFS(Nov!$B:$B,2122,Nov!$J:$J,43)</f>
        <v>0</v>
      </c>
      <c r="M38" s="59">
        <v>0</v>
      </c>
    </row>
    <row r="39" spans="1:13" s="8" customFormat="1" ht="11.25" customHeight="1">
      <c r="A39" s="10" t="s">
        <v>25</v>
      </c>
      <c r="B39" s="59">
        <f>COUNTIFS(Jan!$B:$B,2122,Jan!$J:$J,24)</f>
        <v>7</v>
      </c>
      <c r="C39" s="59">
        <v>4</v>
      </c>
      <c r="D39" s="59">
        <v>7</v>
      </c>
      <c r="E39" s="59">
        <v>4</v>
      </c>
      <c r="F39" s="59">
        <v>4</v>
      </c>
      <c r="G39" s="59">
        <v>2</v>
      </c>
      <c r="H39" s="59">
        <v>3</v>
      </c>
      <c r="I39" s="59">
        <v>6</v>
      </c>
      <c r="J39" s="59">
        <v>5</v>
      </c>
      <c r="K39" s="59">
        <v>9</v>
      </c>
      <c r="L39" s="59">
        <v>4</v>
      </c>
      <c r="M39" s="59">
        <v>8</v>
      </c>
    </row>
    <row r="40" spans="1:13" s="8" customFormat="1" ht="11.25" customHeight="1">
      <c r="A40" s="10" t="s">
        <v>34</v>
      </c>
      <c r="B40" s="59">
        <f>COUNTIFS(Jan!$B:$B,2122,Jan!$J:$J,9)</f>
        <v>0</v>
      </c>
      <c r="C40" s="59">
        <f>COUNTIFS(Feb!$B:$B,2122,Feb!$J:$J,9)</f>
        <v>0</v>
      </c>
      <c r="D40" s="59">
        <f>COUNTIFS(Mar!$B:$B,2122,Mar!$J:$J,9)</f>
        <v>0</v>
      </c>
      <c r="E40" s="59">
        <v>1</v>
      </c>
      <c r="F40" s="59">
        <f>COUNTIFS(May!$B:$B,2122,May!$J:$J,9)</f>
        <v>0</v>
      </c>
      <c r="G40" s="59">
        <f>COUNTIFS(Jun!$B:$B,2122,Jun!$J:$J,9)</f>
        <v>0</v>
      </c>
      <c r="H40" s="59">
        <f>COUNTIFS(Jul!$B:$B,2122,Jul!$J:$J,9)</f>
        <v>0</v>
      </c>
      <c r="I40" s="59">
        <f>COUNTIFS(Aug!$B:$B,2122,Aug!$J:$J,9)</f>
        <v>0</v>
      </c>
      <c r="J40" s="59">
        <f>COUNTIFS(Sep!$B:$B,2122,Sep!$J:$J,9)</f>
        <v>0</v>
      </c>
      <c r="K40" s="59">
        <f>COUNTIFS(Oct!$B:$B,2122,Oct!$J:$J,9)</f>
        <v>0</v>
      </c>
      <c r="L40" s="59">
        <f>COUNTIFS(Nov!$B:$B,2122,Nov!$J:$J,9)</f>
        <v>0</v>
      </c>
      <c r="M40" s="59">
        <v>0</v>
      </c>
    </row>
    <row r="41" spans="1:13" s="8" customFormat="1" ht="11.25" customHeight="1">
      <c r="A41" s="10" t="s">
        <v>31</v>
      </c>
      <c r="B41" s="59">
        <f>COUNTIFS(Jan!$B:$B,2122,Jan!$J:$J,10)</f>
        <v>0</v>
      </c>
      <c r="C41" s="59">
        <v>1</v>
      </c>
      <c r="D41" s="59">
        <v>1</v>
      </c>
      <c r="E41" s="59">
        <v>2</v>
      </c>
      <c r="F41" s="59">
        <f>COUNTIFS(May!$B:$B,2122,May!$J:$J,10)</f>
        <v>0</v>
      </c>
      <c r="G41" s="59">
        <f>COUNTIFS(Jun!$B:$B,2122,Jun!$J:$J,10)</f>
        <v>0</v>
      </c>
      <c r="H41" s="59">
        <v>5</v>
      </c>
      <c r="I41" s="59">
        <v>1</v>
      </c>
      <c r="J41" s="59">
        <f>COUNTIFS(Sep!$B:$B,2122,Sep!$J:$J,10)</f>
        <v>0</v>
      </c>
      <c r="K41" s="59">
        <f>COUNTIFS(Oct!$B:$B,2122,Oct!$J:$J,10)</f>
        <v>0</v>
      </c>
      <c r="L41" s="59">
        <f>COUNTIFS(Nov!$B:$B,2122,Nov!$J:$J,10)</f>
        <v>0</v>
      </c>
      <c r="M41" s="59">
        <v>1</v>
      </c>
    </row>
    <row r="42" spans="1:13" s="8" customFormat="1" ht="11.25" customHeight="1">
      <c r="A42" s="10" t="s">
        <v>144</v>
      </c>
      <c r="B42" s="59">
        <f>COUNTIFS(Jan!$B:$B,2122,Jan!$F:$F,462)</f>
        <v>0</v>
      </c>
      <c r="C42" s="59">
        <f>COUNTIFS(Feb!$B:$B,2122,Feb!$F:$F,462)</f>
        <v>0</v>
      </c>
      <c r="D42" s="59">
        <f>COUNTIFS(Mar!$B:$B,2122,Mar!$F:$F,462)</f>
        <v>0</v>
      </c>
      <c r="E42" s="59">
        <f>COUNTIFS(Apr!$B:$B,2122,Apr!$F:$F,462)</f>
        <v>0</v>
      </c>
      <c r="F42" s="59">
        <f>COUNTIFS(May!$B:$B,2122,May!$F:$F,462)</f>
        <v>0</v>
      </c>
      <c r="G42" s="59">
        <f>COUNTIFS(Jun!$B:$B,2122,Jun!$F:$F,462)</f>
        <v>0</v>
      </c>
      <c r="H42" s="59">
        <f>COUNTIFS(Jul!$B:$B,2122,Jul!$F:$F,462)</f>
        <v>0</v>
      </c>
      <c r="I42" s="59">
        <f>COUNTIFS(Aug!$B:$B,2122,Aug!$F:$F,462)</f>
        <v>0</v>
      </c>
      <c r="J42" s="59">
        <f>COUNTIFS(Sep!$B:$B,2122,Sep!$F:$F,462)</f>
        <v>0</v>
      </c>
      <c r="K42" s="59">
        <f>COUNTIFS(Oct!$B:$B,2122,Oct!$F:$F,462)</f>
        <v>0</v>
      </c>
      <c r="L42" s="59">
        <f>COUNTIFS(Nov!$B:$B,2122,Nov!$F:$F,462)</f>
        <v>0</v>
      </c>
      <c r="M42" s="59">
        <v>0</v>
      </c>
    </row>
    <row r="43" spans="1:13" s="8" customFormat="1" ht="11.25" customHeight="1">
      <c r="A43" s="10" t="s">
        <v>1</v>
      </c>
      <c r="B43" s="59">
        <f>COUNTIFS(Jan!$B:$B,2122,Jan!$J:$J,11)</f>
        <v>0</v>
      </c>
      <c r="C43" s="59">
        <f>COUNTIFS(Feb!$B:$B,2122,Feb!$J:$J,11)</f>
        <v>0</v>
      </c>
      <c r="D43" s="59">
        <v>1</v>
      </c>
      <c r="E43" s="59">
        <f>COUNTIFS(Apr!$B:$B,2122,Apr!$J:$J,11)</f>
        <v>0</v>
      </c>
      <c r="F43" s="59">
        <v>1</v>
      </c>
      <c r="G43" s="59">
        <v>1</v>
      </c>
      <c r="H43" s="59">
        <f>COUNTIFS(Jul!$B:$B,2122,Jul!$J:$J,11)</f>
        <v>0</v>
      </c>
      <c r="I43" s="59">
        <f>COUNTIFS(Aug!$B:$B,2122,Aug!$J:$J,11)</f>
        <v>0</v>
      </c>
      <c r="J43" s="59">
        <f>COUNTIFS(Sep!$B:$B,2122,Sep!$J:$J,11)</f>
        <v>0</v>
      </c>
      <c r="K43" s="59">
        <f>COUNTIFS(Oct!$B:$B,2122,Oct!$J:$J,11)</f>
        <v>0</v>
      </c>
      <c r="L43" s="59">
        <v>1</v>
      </c>
      <c r="M43" s="59">
        <v>1</v>
      </c>
    </row>
    <row r="44" spans="1:13" s="8" customFormat="1" ht="11.25" customHeight="1">
      <c r="A44" s="10" t="s">
        <v>26</v>
      </c>
      <c r="B44" s="59">
        <f>COUNTIFS(Jan!$B:$B,2122,Jan!$J:$J,20)</f>
        <v>0</v>
      </c>
      <c r="C44" s="59">
        <f>COUNTIFS(Feb!$B:$B,2122,Feb!$J:$J,20)</f>
        <v>0</v>
      </c>
      <c r="D44" s="59">
        <f>COUNTIFS(Mar!$B:$B,2122,Mar!$J:$J,20)</f>
        <v>0</v>
      </c>
      <c r="E44" s="59">
        <f>COUNTIFS(Apr!$B:$B,2122,Apr!$J:$J,20)</f>
        <v>0</v>
      </c>
      <c r="F44" s="59">
        <f>COUNTIFS(May!$B:$B,2122,May!$J:$J,20)</f>
        <v>0</v>
      </c>
      <c r="G44" s="59">
        <f>COUNTIFS(Jun!$B:$B,2122,Jun!$J:$J,20)</f>
        <v>0</v>
      </c>
      <c r="H44" s="59">
        <f>COUNTIFS(Jul!$B:$B,2122,Jul!$J:$J,20)</f>
        <v>0</v>
      </c>
      <c r="I44" s="59">
        <f>COUNTIFS(Aug!$B:$B,2122,Aug!$J:$J,20)</f>
        <v>0</v>
      </c>
      <c r="J44" s="59">
        <f>COUNTIFS(Sep!$B:$B,2122,Sep!$J:$J,20)</f>
        <v>0</v>
      </c>
      <c r="K44" s="59">
        <f>COUNTIFS(Oct!$B:$B,2122,Oct!$J:$J,20)</f>
        <v>0</v>
      </c>
      <c r="L44" s="59">
        <f>COUNTIFS(Nov!$B:$B,2122,Nov!$J:$J,20)</f>
        <v>0</v>
      </c>
      <c r="M44" s="59">
        <v>0</v>
      </c>
    </row>
    <row r="45" spans="1:13" s="8" customFormat="1" ht="11.25" customHeight="1">
      <c r="A45" s="10" t="s">
        <v>32</v>
      </c>
      <c r="B45" s="59">
        <f>COUNTIFS(Jan!$B:$B,2122,Jan!$J:$J,2)</f>
        <v>10</v>
      </c>
      <c r="C45" s="59">
        <v>2</v>
      </c>
      <c r="D45" s="59">
        <v>6</v>
      </c>
      <c r="E45" s="59">
        <v>8</v>
      </c>
      <c r="F45" s="59">
        <v>6</v>
      </c>
      <c r="G45" s="59">
        <v>5</v>
      </c>
      <c r="H45" s="59">
        <v>12</v>
      </c>
      <c r="I45" s="59">
        <v>5</v>
      </c>
      <c r="J45" s="59">
        <v>8</v>
      </c>
      <c r="K45" s="59">
        <v>5</v>
      </c>
      <c r="L45" s="59">
        <v>4</v>
      </c>
      <c r="M45" s="59">
        <v>9</v>
      </c>
    </row>
    <row r="46" spans="1:13" s="8" customFormat="1" ht="11.25" customHeight="1">
      <c r="A46" s="10" t="s">
        <v>28</v>
      </c>
      <c r="B46" s="59">
        <f>COUNTIFS(Jan!$B:$B,2122,Jan!$J:$J,1700)+COUNTIFS(Jan!$B:$B,2122,Jan!$F:$F,1700)+COUNTIFS(Jan!$B:$B,2122,Jan!$J:$J,19)</f>
        <v>0</v>
      </c>
      <c r="C46" s="59">
        <f>COUNTIFS(Feb!$B:$B,2122,Feb!$J:$J,1700)+COUNTIFS(Feb!$B:$B,2122,Feb!$F:$F,1700)+COUNTIFS(Feb!$B:$B,2122,Feb!$J:$J,19)</f>
        <v>0</v>
      </c>
      <c r="D46" s="59">
        <f>COUNTIFS(Mar!$B:$B,2122,Mar!$J:$J,1700)+COUNTIFS(Mar!$B:$B,2122,Mar!$F:$F,1700)+COUNTIFS(Mar!$B:$B,2122,Mar!$J:$J,19)</f>
        <v>0</v>
      </c>
      <c r="E46" s="59">
        <f>COUNTIFS(Apr!$B:$B,2122,Apr!$J:$J,1700)+COUNTIFS(Apr!$B:$B,2122,Apr!$F:$F,1700)+COUNTIFS(Apr!$B:$B,2122,Apr!$J:$J,19)</f>
        <v>0</v>
      </c>
      <c r="F46" s="59">
        <f>COUNTIFS(May!$B:$B,2122,May!$J:$J,1700)+COUNTIFS(May!$B:$B,2122,May!$F:$F,1700)+COUNTIFS(May!$B:$B,2122,May!$J:$J,19)</f>
        <v>0</v>
      </c>
      <c r="G46" s="59">
        <f>COUNTIFS(Jun!$B:$B,2122,Jun!$J:$J,1700)+COUNTIFS(Jun!$B:$B,2122,Jun!$F:$F,1700)+COUNTIFS(Jun!$B:$B,2122,Jun!$J:$J,19)</f>
        <v>0</v>
      </c>
      <c r="H46" s="59">
        <f>COUNTIFS(Jul!$B:$B,2122,Jul!$J:$J,1700)+COUNTIFS(Jul!$B:$B,2122,Jul!$F:$F,1700)+COUNTIFS(Jul!$B:$B,2122,Jul!$J:$J,19)</f>
        <v>0</v>
      </c>
      <c r="I46" s="59">
        <f>COUNTIFS(Aug!$B:$B,2122,Aug!$J:$J,1700)+COUNTIFS(Aug!$B:$B,2122,Aug!$F:$F,1700)+COUNTIFS(Aug!$B:$B,2122,Aug!$J:$J,19)</f>
        <v>0</v>
      </c>
      <c r="J46" s="59">
        <f>COUNTIFS(Sep!$B:$B,2122,Sep!$J:$J,1700)+COUNTIFS(Sep!$B:$B,2122,Sep!$F:$F,1700)+COUNTIFS(Sep!$B:$B,2122,Sep!$J:$J,19)</f>
        <v>0</v>
      </c>
      <c r="K46" s="59">
        <f>COUNTIFS(Oct!$B:$B,2122,Oct!$J:$J,1700)+COUNTIFS(Oct!$B:$B,2122,Oct!$F:$F,1700)+COUNTIFS(Oct!$B:$B,2122,Oct!$J:$J,19)</f>
        <v>0</v>
      </c>
      <c r="L46" s="59">
        <f>COUNTIFS(Nov!$B:$B,2122,Nov!$J:$J,1700)+COUNTIFS(Nov!$B:$B,2122,Nov!$F:$F,1700)+COUNTIFS(Nov!$B:$B,2122,Nov!$J:$J,19)</f>
        <v>0</v>
      </c>
      <c r="M46" s="59">
        <v>0</v>
      </c>
    </row>
    <row r="47" spans="1:13" s="8" customFormat="1" ht="11.25" customHeight="1">
      <c r="A47" s="10" t="s">
        <v>0</v>
      </c>
      <c r="B47" s="59">
        <f>COUNTIFS(Jan!$B:$B,2122,Jan!$J:$J,3)</f>
        <v>3</v>
      </c>
      <c r="C47" s="59">
        <v>2</v>
      </c>
      <c r="D47" s="59">
        <v>3</v>
      </c>
      <c r="E47" s="59">
        <v>2</v>
      </c>
      <c r="F47" s="59">
        <v>1</v>
      </c>
      <c r="G47" s="59">
        <f>COUNTIFS(Jun!$B:$B,2122,Jun!$J:$J,3)</f>
        <v>0</v>
      </c>
      <c r="H47" s="59">
        <f>COUNTIFS(Jul!$B:$B,2122,Jul!$J:$J,3)</f>
        <v>0</v>
      </c>
      <c r="I47" s="59">
        <v>2</v>
      </c>
      <c r="J47" s="59">
        <v>2</v>
      </c>
      <c r="K47" s="59">
        <v>1</v>
      </c>
      <c r="L47" s="59">
        <v>3</v>
      </c>
      <c r="M47" s="59">
        <v>2</v>
      </c>
    </row>
    <row r="48" spans="1:13" s="8" customFormat="1" ht="11.25" customHeight="1">
      <c r="A48" s="10" t="s">
        <v>35</v>
      </c>
      <c r="B48" s="59">
        <f>COUNTIFS(Jan!$B:$B,2122,Jan!$J:$J,7400)</f>
        <v>1</v>
      </c>
      <c r="C48" s="59">
        <f>COUNTIFS(Feb!$B:$B,2122,Feb!$J:$J,7400)</f>
        <v>0</v>
      </c>
      <c r="D48" s="59">
        <f>COUNTIFS(Mar!$B:$B,2122,Mar!$J:$J,7400)</f>
        <v>0</v>
      </c>
      <c r="E48" s="59">
        <f>COUNTIFS(Apr!$B:$B,2122,Apr!$J:$J,7400)</f>
        <v>0</v>
      </c>
      <c r="F48" s="59">
        <f>COUNTIFS(May!$B:$B,2122,May!$J:$J,7400)</f>
        <v>0</v>
      </c>
      <c r="G48" s="59">
        <f>COUNTIFS(Jun!$B:$B,2122,Jun!$J:$J,7400)</f>
        <v>0</v>
      </c>
      <c r="H48" s="59">
        <f>COUNTIFS(Jul!$B:$B,2122,Jul!$J:$J,7400)</f>
        <v>0</v>
      </c>
      <c r="I48" s="59">
        <f>COUNTIFS(Aug!$B:$B,2122,Aug!$J:$J,7400)</f>
        <v>0</v>
      </c>
      <c r="J48" s="59">
        <f>COUNTIFS(Sep!$B:$B,2122,Sep!$J:$J,7400)</f>
        <v>0</v>
      </c>
      <c r="K48" s="59">
        <f>COUNTIFS(Oct!$B:$B,2122,Oct!$J:$J,7400)</f>
        <v>0</v>
      </c>
      <c r="L48" s="59">
        <f>COUNTIFS(Nov!$B:$B,2122,Nov!$J:$J,7400)</f>
        <v>0</v>
      </c>
      <c r="M48" s="59">
        <v>0</v>
      </c>
    </row>
    <row r="49" spans="1:13" s="8" customFormat="1" ht="11.25" customHeight="1">
      <c r="A49" s="10" t="s">
        <v>2</v>
      </c>
      <c r="B49" s="59">
        <f>COUNTIFS(Jan!$B:$B,2122,Jan!$J:$J,14)</f>
        <v>0</v>
      </c>
      <c r="C49" s="59">
        <v>1</v>
      </c>
      <c r="D49" s="59">
        <f>COUNTIFS(Mar!$B:$B,2122,Mar!$J:$J,14)</f>
        <v>0</v>
      </c>
      <c r="E49" s="59">
        <f>COUNTIFS(Apr!$B:$B,2122,Apr!$J:$J,14)</f>
        <v>0</v>
      </c>
      <c r="F49" s="59">
        <v>1</v>
      </c>
      <c r="G49" s="59">
        <v>1</v>
      </c>
      <c r="H49" s="59">
        <f>COUNTIFS(Jul!$B:$B,2122,Jul!$J:$J,14)</f>
        <v>0</v>
      </c>
      <c r="I49" s="59">
        <f>COUNTIFS(Aug!$B:$B,2122,Aug!$J:$J,14)</f>
        <v>0</v>
      </c>
      <c r="J49" s="59">
        <v>1</v>
      </c>
      <c r="K49" s="59">
        <f>COUNTIFS(Oct!$B:$B,2122,Oct!$J:$J,14)</f>
        <v>0</v>
      </c>
      <c r="L49" s="59">
        <f>COUNTIFS(Nov!$B:$B,2122,Nov!$J:$J,14)</f>
        <v>0</v>
      </c>
      <c r="M49" s="59">
        <v>2</v>
      </c>
    </row>
    <row r="50" spans="1:13" s="8" customFormat="1" ht="11.25" customHeight="1">
      <c r="A50" s="10" t="s">
        <v>142</v>
      </c>
      <c r="B50" s="59">
        <f>COUNTIFS(Jan!$B:$B,2122,Jan!$F:$F,466)</f>
        <v>2</v>
      </c>
      <c r="C50" s="59">
        <f>COUNTIFS(Feb!$B:$B,2122,Feb!$F:$F,466)</f>
        <v>0</v>
      </c>
      <c r="D50" s="59">
        <f>COUNTIFS(Mar!$B:$B,2122,Mar!$F:$F,466)</f>
        <v>0</v>
      </c>
      <c r="E50" s="59">
        <f>COUNTIFS(Apr!$B:$B,2122,Apr!$F:$F,466)</f>
        <v>0</v>
      </c>
      <c r="F50" s="59">
        <f>COUNTIFS(May!$B:$B,2122,May!$F:$F,466)</f>
        <v>0</v>
      </c>
      <c r="G50" s="59">
        <f>COUNTIFS(Jun!$B:$B,2122,Jun!$F:$F,466)</f>
        <v>0</v>
      </c>
      <c r="H50" s="59">
        <f>COUNTIFS(Jul!$B:$B,2122,Jul!$F:$F,466)</f>
        <v>0</v>
      </c>
      <c r="I50" s="59">
        <f>COUNTIFS(Aug!$B:$B,2122,Aug!$F:$F,466)</f>
        <v>0</v>
      </c>
      <c r="J50" s="59">
        <f>COUNTIFS(Sep!$B:$B,2122,Sep!$F:$F,466)</f>
        <v>0</v>
      </c>
      <c r="K50" s="59">
        <f>COUNTIFS(Oct!$B:$B,2122,Oct!$F:$F,466)</f>
        <v>0</v>
      </c>
      <c r="L50" s="59">
        <f>COUNTIFS(Nov!$B:$B,2122,Nov!$F:$F,466)</f>
        <v>0</v>
      </c>
      <c r="M50" s="59">
        <v>1</v>
      </c>
    </row>
    <row r="51" spans="1:13" s="8" customFormat="1" ht="11.25" customHeight="1">
      <c r="A51" s="10" t="s">
        <v>27</v>
      </c>
      <c r="B51" s="59">
        <f>COUNTIFS(Jan!$B:$B,2122,Jan!$J:$J,25)</f>
        <v>0</v>
      </c>
      <c r="C51" s="59">
        <f>COUNTIFS(Feb!$B:$B,2122,Feb!$J:$J,25)</f>
        <v>0</v>
      </c>
      <c r="D51" s="59">
        <f>COUNTIFS(Mar!$B:$B,2122,Mar!$J:$J,25)</f>
        <v>0</v>
      </c>
      <c r="E51" s="59">
        <f>COUNTIFS(Apr!$B:$B,2122,Apr!$J:$J,25)</f>
        <v>0</v>
      </c>
      <c r="F51" s="59">
        <f>COUNTIFS(May!$B:$B,2122,May!$J:$J,25)</f>
        <v>0</v>
      </c>
      <c r="G51" s="59">
        <f>COUNTIFS(Jun!$B:$B,2122,Jun!$J:$J,25)</f>
        <v>0</v>
      </c>
      <c r="H51" s="59">
        <f>COUNTIFS(Jul!$B:$B,2122,Jul!$J:$J,25)</f>
        <v>0</v>
      </c>
      <c r="I51" s="59">
        <f>COUNTIFS(Aug!$B:$B,2122,Aug!$J:$J,25)</f>
        <v>0</v>
      </c>
      <c r="J51" s="59">
        <f>COUNTIFS(Sep!$B:$B,2122,Sep!$J:$J,25)</f>
        <v>0</v>
      </c>
      <c r="K51" s="59">
        <v>1</v>
      </c>
      <c r="L51" s="59">
        <f>COUNTIFS(Nov!$B:$B,2122,Nov!$J:$J,25)</f>
        <v>0</v>
      </c>
      <c r="M51" s="59">
        <v>0</v>
      </c>
    </row>
    <row r="52" spans="1:13" s="8" customFormat="1" ht="11.25" customHeight="1" thickBot="1">
      <c r="A52" s="11" t="s">
        <v>16</v>
      </c>
      <c r="B52" s="60">
        <f t="shared" ref="B52:G52" si="11">SUM(B34:B51)</f>
        <v>41</v>
      </c>
      <c r="C52" s="60">
        <f t="shared" si="11"/>
        <v>17</v>
      </c>
      <c r="D52" s="60">
        <f t="shared" si="11"/>
        <v>38</v>
      </c>
      <c r="E52" s="60">
        <f t="shared" si="11"/>
        <v>24</v>
      </c>
      <c r="F52" s="60">
        <f t="shared" si="11"/>
        <v>20</v>
      </c>
      <c r="G52" s="60">
        <f t="shared" si="11"/>
        <v>12</v>
      </c>
      <c r="H52" s="60">
        <f t="shared" ref="H52:M52" si="12">SUM(H34:H51)</f>
        <v>27</v>
      </c>
      <c r="I52" s="60">
        <f t="shared" si="12"/>
        <v>23</v>
      </c>
      <c r="J52" s="60">
        <f t="shared" si="12"/>
        <v>26</v>
      </c>
      <c r="K52" s="60">
        <f t="shared" si="12"/>
        <v>25</v>
      </c>
      <c r="L52" s="159">
        <f t="shared" si="12"/>
        <v>16</v>
      </c>
      <c r="M52" s="170">
        <f t="shared" si="12"/>
        <v>32</v>
      </c>
    </row>
    <row r="53" spans="1:13" ht="12" customHeight="1" thickBot="1">
      <c r="A53" s="55" t="s">
        <v>137</v>
      </c>
      <c r="B53" s="50">
        <v>41275</v>
      </c>
      <c r="C53" s="47">
        <v>41306</v>
      </c>
      <c r="D53" s="47">
        <v>41334</v>
      </c>
      <c r="E53" s="47">
        <v>41365</v>
      </c>
      <c r="F53" s="47">
        <v>41395</v>
      </c>
      <c r="G53" s="47">
        <v>41426</v>
      </c>
      <c r="H53" s="47">
        <v>41456</v>
      </c>
      <c r="I53" s="47">
        <v>41487</v>
      </c>
      <c r="J53" s="47">
        <v>41518</v>
      </c>
      <c r="K53" s="47">
        <v>41548</v>
      </c>
      <c r="L53" s="47">
        <v>41579</v>
      </c>
      <c r="M53" s="51">
        <v>41609</v>
      </c>
    </row>
    <row r="54" spans="1:13" s="8" customFormat="1" ht="11.25" customHeight="1">
      <c r="A54" s="10" t="s">
        <v>30</v>
      </c>
      <c r="B54" s="57">
        <f>COUNTIFS(Jan!$B:$B,2122,Jan!$J:$J,7)</f>
        <v>0</v>
      </c>
      <c r="C54" s="57">
        <f>COUNTIFS(Feb!$B:$B,2122,Feb!$J:$J,7)</f>
        <v>0</v>
      </c>
      <c r="D54" s="57">
        <f>COUNTIFS(Mar!$B:$B,2122,Mar!$J:$J,7)</f>
        <v>0</v>
      </c>
      <c r="E54" s="57">
        <v>1</v>
      </c>
      <c r="F54" s="57">
        <f>COUNTIFS(May!$B:$B,2122,May!$J:$J,7)</f>
        <v>0</v>
      </c>
      <c r="G54" s="57">
        <v>1</v>
      </c>
      <c r="H54" s="57">
        <f>COUNTIFS(Jul!$B:$B,2122,Jul!$J:$J,7)</f>
        <v>0</v>
      </c>
      <c r="I54" s="57">
        <f>COUNTIFS(Aug!$B:$B,2122,Aug!$J:$J,7)</f>
        <v>0</v>
      </c>
      <c r="J54" s="57">
        <v>2</v>
      </c>
      <c r="K54" s="57">
        <v>1</v>
      </c>
      <c r="L54" s="57">
        <v>1</v>
      </c>
      <c r="M54" s="57">
        <v>0</v>
      </c>
    </row>
    <row r="55" spans="1:13" s="8" customFormat="1" ht="11.25" customHeight="1">
      <c r="A55" s="10" t="s">
        <v>29</v>
      </c>
      <c r="B55" s="59">
        <f>COUNTIFS(Jan!$B:$B,2122,Jan!$J:$J,8)</f>
        <v>0</v>
      </c>
      <c r="C55" s="59">
        <f>COUNTIFS(Feb!$B:$B,2122,Feb!$J:$J,8)</f>
        <v>0</v>
      </c>
      <c r="D55" s="59">
        <f>COUNTIFS(Mar!$B:$B,2122,Mar!$J:$J,8)</f>
        <v>0</v>
      </c>
      <c r="E55" s="59">
        <f>COUNTIFS(Apr!$B:$B,2122,Apr!$J:$J,8)</f>
        <v>0</v>
      </c>
      <c r="F55" s="59">
        <f>COUNTIFS(May!$B:$B,2122,May!$J:$J,8)</f>
        <v>0</v>
      </c>
      <c r="G55" s="59">
        <f>COUNTIFS(Jun!$B:$B,2122,Jun!$J:$J,8)</f>
        <v>0</v>
      </c>
      <c r="H55" s="59">
        <f>COUNTIFS(Jul!$B:$B,2122,Jul!$J:$J,8)</f>
        <v>0</v>
      </c>
      <c r="I55" s="59">
        <f>COUNTIFS(Aug!$B:$B,2122,Aug!$J:$J,8)</f>
        <v>0</v>
      </c>
      <c r="J55" s="59">
        <f>COUNTIFS(Sep!$B:$B,2122,Sep!$J:$J,8)</f>
        <v>0</v>
      </c>
      <c r="K55" s="59">
        <f>COUNTIFS(Oct!$B:$B,2122,Oct!$J:$J,8)</f>
        <v>0</v>
      </c>
      <c r="L55" s="59">
        <f>COUNTIFS(Nov!$B:$B,2122,Nov!$J:$J,8)</f>
        <v>0</v>
      </c>
      <c r="M55" s="59">
        <v>0</v>
      </c>
    </row>
    <row r="56" spans="1:13" s="8" customFormat="1" ht="11.25" customHeight="1">
      <c r="A56" s="10" t="s">
        <v>7</v>
      </c>
      <c r="B56" s="59">
        <f>COUNTIFS(Jan!$B:$B,2122,Jan!$J:$J,12)</f>
        <v>0</v>
      </c>
      <c r="C56" s="59">
        <f>COUNTIFS(Feb!$B:$B,2122,Feb!$J:$J,12)</f>
        <v>0</v>
      </c>
      <c r="D56" s="59">
        <f>COUNTIFS(Mar!$B:$B,2122,Mar!$J:$J,12)</f>
        <v>0</v>
      </c>
      <c r="E56" s="59">
        <v>1</v>
      </c>
      <c r="F56" s="59">
        <v>1</v>
      </c>
      <c r="G56" s="59">
        <f>COUNTIFS(Jun!$B:$B,2122,Jun!$J:$J,12)</f>
        <v>0</v>
      </c>
      <c r="H56" s="59">
        <f>COUNTIFS(Jul!$B:$B,2122,Jul!$J:$J,12)</f>
        <v>0</v>
      </c>
      <c r="I56" s="59">
        <v>1</v>
      </c>
      <c r="J56" s="59">
        <f>COUNTIFS(Sep!$B:$B,2122,Sep!$J:$J,12)</f>
        <v>0</v>
      </c>
      <c r="K56" s="59">
        <v>1</v>
      </c>
      <c r="L56" s="59">
        <v>1</v>
      </c>
      <c r="M56" s="59">
        <v>0</v>
      </c>
    </row>
    <row r="57" spans="1:13" s="8" customFormat="1" ht="11.25" customHeight="1">
      <c r="A57" s="10" t="s">
        <v>10</v>
      </c>
      <c r="B57" s="59">
        <f>COUNTIFS(Jan!$B:$B,2122,Jan!$J:$J,5100)</f>
        <v>0</v>
      </c>
      <c r="C57" s="59">
        <f>COUNTIFS(Feb!$B:$B,2122,Feb!$J:$J,5100)</f>
        <v>0</v>
      </c>
      <c r="D57" s="59">
        <f>COUNTIFS(Mar!$B:$B,2122,Mar!$J:$J,5100)</f>
        <v>0</v>
      </c>
      <c r="E57" s="59">
        <f>COUNTIFS(Apr!$B:$B,2122,Apr!$J:$J,5100)</f>
        <v>0</v>
      </c>
      <c r="F57" s="59">
        <f>COUNTIFS(May!$B:$B,2122,May!$J:$J,5100)</f>
        <v>0</v>
      </c>
      <c r="G57" s="59">
        <f>COUNTIFS(Jun!$B:$B,2122,Jun!$J:$J,5100)</f>
        <v>0</v>
      </c>
      <c r="H57" s="59">
        <f>COUNTIFS(Jul!$B:$B,2122,Jul!$J:$J,5100)</f>
        <v>0</v>
      </c>
      <c r="I57" s="59">
        <f>COUNTIFS(Aug!$B:$B,2122,Aug!$J:$J,5100)</f>
        <v>0</v>
      </c>
      <c r="J57" s="59">
        <f>COUNTIFS(Sep!$B:$B,2122,Sep!$J:$J,5100)</f>
        <v>0</v>
      </c>
      <c r="K57" s="59">
        <f>COUNTIFS(Oct!$B:$B,2122,Oct!$J:$J,5100)</f>
        <v>0</v>
      </c>
      <c r="L57" s="59">
        <f>COUNTIFS(Nov!$B:$B,2122,Nov!$J:$J,5100)</f>
        <v>0</v>
      </c>
      <c r="M57" s="59">
        <v>0</v>
      </c>
    </row>
    <row r="58" spans="1:13" s="8" customFormat="1" ht="11.25" customHeight="1">
      <c r="A58" s="10" t="s">
        <v>36</v>
      </c>
      <c r="B58" s="59">
        <f>COUNTIFS(Jan!$B:$B,2122,Jan!$J:$J,6200)</f>
        <v>0</v>
      </c>
      <c r="C58" s="59">
        <f>COUNTIFS(Feb!$B:$B,2122,Feb!$J:$J,6200)</f>
        <v>0</v>
      </c>
      <c r="D58" s="59">
        <f>COUNTIFS(Mar!$B:$B,2122,Mar!$J:$J,6200)</f>
        <v>0</v>
      </c>
      <c r="E58" s="59">
        <f>COUNTIFS(Apr!$B:$B,2122,Apr!$J:$J,6200)</f>
        <v>0</v>
      </c>
      <c r="F58" s="59">
        <f>COUNTIFS(May!$B:$B,2122,May!$J:$J,6200)</f>
        <v>0</v>
      </c>
      <c r="G58" s="59">
        <f>COUNTIFS(Jun!$B:$B,2122,Jun!$J:$J,6200)</f>
        <v>0</v>
      </c>
      <c r="H58" s="59">
        <f>COUNTIFS(Jul!$B:$B,2122,Jul!$J:$J,6200)</f>
        <v>0</v>
      </c>
      <c r="I58" s="59">
        <f>COUNTIFS(Aug!$B:$B,2122,Aug!$J:$J,6200)</f>
        <v>0</v>
      </c>
      <c r="J58" s="59">
        <f>COUNTIFS(Sep!$B:$B,2122,Sep!$J:$J,6200)</f>
        <v>0</v>
      </c>
      <c r="K58" s="59">
        <f>COUNTIFS(Oct!$B:$B,2122,Oct!$J:$J,6200)</f>
        <v>0</v>
      </c>
      <c r="L58" s="59">
        <f>COUNTIFS(Nov!$B:$B,2122,Nov!$J:$J,6200)</f>
        <v>0</v>
      </c>
      <c r="M58" s="59">
        <v>0</v>
      </c>
    </row>
    <row r="59" spans="1:13" s="8" customFormat="1" ht="11.25" customHeight="1">
      <c r="A59" s="10" t="s">
        <v>145</v>
      </c>
      <c r="B59" s="59">
        <f>COUNTIFS(Jan!$B:$B,2122,Jan!$J:$J,28)</f>
        <v>0</v>
      </c>
      <c r="C59" s="59">
        <f>COUNTIFS(Feb!$B:$B,2122,Feb!$J:$J,28)</f>
        <v>0</v>
      </c>
      <c r="D59" s="59">
        <f>COUNTIFS(Mar!$B:$B,2122,Mar!$J:$J,28)</f>
        <v>0</v>
      </c>
      <c r="E59" s="59">
        <f>COUNTIFS(Apr!$B:$B,2122,Apr!$J:$J,28)</f>
        <v>0</v>
      </c>
      <c r="F59" s="59">
        <f>COUNTIFS(May!$B:$B,2122,May!$J:$J,28)</f>
        <v>0</v>
      </c>
      <c r="G59" s="59">
        <f>COUNTIFS(Jun!$B:$B,2122,Jun!$J:$J,28)</f>
        <v>0</v>
      </c>
      <c r="H59" s="59">
        <f>COUNTIFS(Jul!$B:$B,2122,Jul!$J:$J,28)</f>
        <v>0</v>
      </c>
      <c r="I59" s="59">
        <f>COUNTIFS(Aug!$B:$B,2122,Aug!$J:$J,28)</f>
        <v>0</v>
      </c>
      <c r="J59" s="59">
        <f>COUNTIFS(Sep!$B:$B,2122,Sep!$J:$J,28)</f>
        <v>0</v>
      </c>
      <c r="K59" s="59">
        <f>COUNTIFS(Oct!$B:$B,2122,Oct!$J:$J,28)</f>
        <v>0</v>
      </c>
      <c r="L59" s="59">
        <f>COUNTIFS(Nov!$B:$B,2122,Nov!$J:$J,28)</f>
        <v>0</v>
      </c>
      <c r="M59" s="59">
        <v>2</v>
      </c>
    </row>
    <row r="60" spans="1:13" s="8" customFormat="1" ht="11.25" customHeight="1">
      <c r="A60" s="10" t="s">
        <v>38</v>
      </c>
      <c r="B60" s="59">
        <f>COUNTIFS(Jan!$B:$B,2122,Jan!$J:$J,6100)</f>
        <v>0</v>
      </c>
      <c r="C60" s="59">
        <f>COUNTIFS(Feb!$B:$B,2122,Feb!$J:$J,6100)</f>
        <v>0</v>
      </c>
      <c r="D60" s="59">
        <f>COUNTIFS(Mar!$B:$B,2122,Mar!$J:$J,6100)</f>
        <v>0</v>
      </c>
      <c r="E60" s="59">
        <f>COUNTIFS(Apr!$B:$B,2122,Apr!$J:$J,6100)</f>
        <v>0</v>
      </c>
      <c r="F60" s="59">
        <f>COUNTIFS(May!$B:$B,2122,May!$J:$J,6100)</f>
        <v>0</v>
      </c>
      <c r="G60" s="59">
        <f>COUNTIFS(Jun!$B:$B,2122,Jun!$J:$J,6100)</f>
        <v>0</v>
      </c>
      <c r="H60" s="59">
        <v>1</v>
      </c>
      <c r="I60" s="59">
        <f>COUNTIFS(Aug!$B:$B,2122,Aug!$J:$J,6100)</f>
        <v>0</v>
      </c>
      <c r="J60" s="59">
        <f>COUNTIFS(Sep!$B:$B,2122,Sep!$J:$J,6100)</f>
        <v>0</v>
      </c>
      <c r="K60" s="59">
        <f>COUNTIFS(Oct!$B:$B,2122,Oct!$J:$J,6100)</f>
        <v>0</v>
      </c>
      <c r="L60" s="59">
        <f>COUNTIFS(Nov!$B:$B,2122,Nov!$J:$J,6100)</f>
        <v>0</v>
      </c>
      <c r="M60" s="59">
        <v>0</v>
      </c>
    </row>
    <row r="61" spans="1:13" s="8" customFormat="1" ht="11.25" customHeight="1">
      <c r="A61" s="10" t="s">
        <v>9</v>
      </c>
      <c r="B61" s="59">
        <f>COUNTIFS(Jan!$B:$B,2122,Jan!$J:$J,6)</f>
        <v>0</v>
      </c>
      <c r="C61" s="59">
        <f>COUNTIFS(Feb!$B:$B,2122,Feb!$J:$J,6)</f>
        <v>0</v>
      </c>
      <c r="D61" s="59">
        <f>COUNTIFS(Mar!$B:$B,2122,Mar!$J:$J,6)</f>
        <v>0</v>
      </c>
      <c r="E61" s="59">
        <f>COUNTIFS(Apr!$B:$B,2122,Apr!$J:$J,6)</f>
        <v>0</v>
      </c>
      <c r="F61" s="59">
        <f>COUNTIFS(May!$B:$B,2122,May!$J:$J,6)</f>
        <v>0</v>
      </c>
      <c r="G61" s="59">
        <f>COUNTIFS(Jun!$B:$B,2122,Jun!$J:$J,6)</f>
        <v>0</v>
      </c>
      <c r="H61" s="59">
        <f>COUNTIFS(Jul!$B:$B,2122,Jul!$J:$J,6)</f>
        <v>0</v>
      </c>
      <c r="I61" s="59">
        <f>COUNTIFS(Aug!$B:$B,2122,Aug!$J:$J,6)</f>
        <v>0</v>
      </c>
      <c r="J61" s="59">
        <f>COUNTIFS(Sep!$B:$B,2122,Sep!$J:$J,6)</f>
        <v>0</v>
      </c>
      <c r="K61" s="59">
        <f>COUNTIFS(Oct!$B:$B,2122,Oct!$J:$J,6)</f>
        <v>0</v>
      </c>
      <c r="L61" s="59">
        <f>COUNTIFS(Nov!$B:$B,2122,Nov!$J:$J,6)</f>
        <v>0</v>
      </c>
      <c r="M61" s="59">
        <v>0</v>
      </c>
    </row>
    <row r="62" spans="1:13" s="8" customFormat="1" ht="11.25" customHeight="1">
      <c r="A62" s="10" t="s">
        <v>8</v>
      </c>
      <c r="B62" s="59">
        <f>COUNTIFS(Jan!$B:$B,2122,Jan!$J:$J,4)</f>
        <v>0</v>
      </c>
      <c r="C62" s="59">
        <f>COUNTIFS(Feb!$B:$B,2122,Feb!$J:$J,4)</f>
        <v>0</v>
      </c>
      <c r="D62" s="59">
        <f>COUNTIFS(Mar!$B:$B,2122,Mar!$J:$J,4)</f>
        <v>0</v>
      </c>
      <c r="E62" s="59">
        <f>COUNTIFS(Apr!$B:$B,2122,Apr!$J:$J,4)</f>
        <v>0</v>
      </c>
      <c r="F62" s="59">
        <f>COUNTIFS(May!$B:$B,2122,May!$J:$J,4)</f>
        <v>0</v>
      </c>
      <c r="G62" s="59">
        <f>COUNTIFS(Jun!$B:$B,2122,Jun!$J:$J,4)</f>
        <v>0</v>
      </c>
      <c r="H62" s="59">
        <f>COUNTIFS(Jul!$B:$B,2122,Jul!$J:$J,4)</f>
        <v>0</v>
      </c>
      <c r="I62" s="59">
        <f>COUNTIFS(Aug!$B:$B,2122,Aug!$J:$J,4)</f>
        <v>0</v>
      </c>
      <c r="J62" s="59">
        <f>COUNTIFS(Sep!$B:$B,2122,Sep!$J:$J,4)</f>
        <v>0</v>
      </c>
      <c r="K62" s="59">
        <f>COUNTIFS(Oct!$B:$B,2122,Oct!$J:$J,4)</f>
        <v>0</v>
      </c>
      <c r="L62" s="59">
        <f>COUNTIFS(Nov!$B:$B,2122,Nov!$J:$J,4)</f>
        <v>0</v>
      </c>
      <c r="M62" s="59">
        <v>0</v>
      </c>
    </row>
    <row r="63" spans="1:13" s="8" customFormat="1" ht="11.25" customHeight="1">
      <c r="A63" s="10" t="s">
        <v>6</v>
      </c>
      <c r="B63" s="59">
        <f>COUNTIFS(Jan!$B:$B,2122,Jan!$J:$J,5)</f>
        <v>0</v>
      </c>
      <c r="C63" s="59">
        <f>COUNTIFS(Feb!$B:$B,2122,Feb!$J:$J,5)</f>
        <v>0</v>
      </c>
      <c r="D63" s="59">
        <f>COUNTIFS(Mar!$B:$B,2122,Mar!$J:$J,5)</f>
        <v>0</v>
      </c>
      <c r="E63" s="59">
        <f>COUNTIFS(Apr!$B:$B,2122,Apr!$J:$J,5)</f>
        <v>0</v>
      </c>
      <c r="F63" s="59">
        <f>COUNTIFS(May!$B:$B,2122,May!$J:$J,5)</f>
        <v>0</v>
      </c>
      <c r="G63" s="59">
        <f>COUNTIFS(Jun!$B:$B,2122,Jun!$J:$J,5)</f>
        <v>0</v>
      </c>
      <c r="H63" s="59">
        <f>COUNTIFS(Jul!$B:$B,2122,Jul!$J:$J,5)</f>
        <v>0</v>
      </c>
      <c r="I63" s="59">
        <f>COUNTIFS(Aug!$B:$B,2122,Aug!$J:$J,5)</f>
        <v>0</v>
      </c>
      <c r="J63" s="59">
        <f>COUNTIFS(Sep!$B:$B,2122,Sep!$J:$J,5)</f>
        <v>0</v>
      </c>
      <c r="K63" s="59">
        <f>COUNTIFS(Oct!$B:$B,2122,Oct!$J:$J,5)</f>
        <v>0</v>
      </c>
      <c r="L63" s="59">
        <f>COUNTIFS(Nov!$B:$B,2122,Nov!$J:$J,5)</f>
        <v>0</v>
      </c>
      <c r="M63" s="59">
        <v>0</v>
      </c>
    </row>
    <row r="64" spans="1:13" s="8" customFormat="1" ht="11.25" customHeight="1">
      <c r="A64" s="52" t="s">
        <v>141</v>
      </c>
      <c r="B64" s="69">
        <f>COUNTIFS(Jan!$B:$B,2122,Jan!$F:$F,456)</f>
        <v>6</v>
      </c>
      <c r="C64" s="69">
        <v>1</v>
      </c>
      <c r="D64" s="69">
        <v>1</v>
      </c>
      <c r="E64" s="69">
        <f>COUNTIFS(Apr!$B:$B,2122,Apr!$F:$F,456)</f>
        <v>0</v>
      </c>
      <c r="F64" s="69">
        <f>COUNTIFS(May!$B:$B,2122,May!$F:$F,456)</f>
        <v>0</v>
      </c>
      <c r="G64" s="69">
        <f>COUNTIFS(Jun!$B:$B,2122,Jun!$F:$F,456)</f>
        <v>0</v>
      </c>
      <c r="H64" s="69">
        <v>1</v>
      </c>
      <c r="I64" s="69">
        <f>COUNTIFS(Aug!$B:$B,2122,Aug!$F:$F,456)</f>
        <v>0</v>
      </c>
      <c r="J64" s="69">
        <f>COUNTIFS(Sep!$B:$B,2122,Sep!$F:$F,456)</f>
        <v>0</v>
      </c>
      <c r="K64" s="69">
        <v>1</v>
      </c>
      <c r="L64" s="69">
        <f>COUNTIFS(Nov!$B:$B,2122,Nov!$F:$F,456)</f>
        <v>0</v>
      </c>
      <c r="M64" s="69">
        <v>0</v>
      </c>
    </row>
    <row r="65" spans="1:13" s="8" customFormat="1" ht="11.25" customHeight="1" thickBot="1">
      <c r="A65" s="12" t="s">
        <v>16</v>
      </c>
      <c r="B65" s="70">
        <f>SUM(B54:B64)</f>
        <v>6</v>
      </c>
      <c r="C65" s="70">
        <f t="shared" ref="C65:M65" si="13">SUM(C54:C64)</f>
        <v>1</v>
      </c>
      <c r="D65" s="70">
        <f t="shared" si="13"/>
        <v>1</v>
      </c>
      <c r="E65" s="70">
        <f t="shared" si="13"/>
        <v>2</v>
      </c>
      <c r="F65" s="70">
        <f t="shared" si="13"/>
        <v>1</v>
      </c>
      <c r="G65" s="70">
        <f t="shared" si="13"/>
        <v>1</v>
      </c>
      <c r="H65" s="70">
        <f t="shared" si="13"/>
        <v>2</v>
      </c>
      <c r="I65" s="70">
        <f t="shared" si="13"/>
        <v>1</v>
      </c>
      <c r="J65" s="70">
        <f t="shared" si="13"/>
        <v>2</v>
      </c>
      <c r="K65" s="70">
        <f t="shared" si="13"/>
        <v>3</v>
      </c>
      <c r="L65" s="165">
        <f t="shared" si="13"/>
        <v>2</v>
      </c>
      <c r="M65" s="170">
        <f t="shared" si="13"/>
        <v>2</v>
      </c>
    </row>
    <row r="66" spans="1:13" s="8" customFormat="1" ht="15.75" customHeight="1">
      <c r="A66" s="6"/>
      <c r="B66" s="7"/>
      <c r="C66" s="7"/>
      <c r="D66" s="7"/>
      <c r="E66" s="7"/>
      <c r="F66" s="7"/>
      <c r="G66" s="7"/>
      <c r="H66" s="7"/>
      <c r="I66" s="7"/>
      <c r="J66" s="7"/>
      <c r="K66" s="7"/>
      <c r="L66" s="7"/>
      <c r="M66" s="7"/>
    </row>
    <row r="67" spans="1:13" ht="12" customHeight="1">
      <c r="A67" s="6"/>
      <c r="B67" s="7"/>
      <c r="C67" s="7"/>
      <c r="D67" s="7"/>
      <c r="E67" s="7"/>
      <c r="F67" s="7"/>
      <c r="G67" s="7"/>
      <c r="H67" s="7"/>
      <c r="I67" s="7"/>
      <c r="J67" s="7"/>
      <c r="K67" s="7"/>
      <c r="L67" s="7"/>
      <c r="M67" s="7"/>
    </row>
  </sheetData>
  <phoneticPr fontId="0" type="noConversion"/>
  <printOptions horizontalCentered="1" verticalCentered="1"/>
  <pageMargins left="0.14000000000000001" right="0.16" top="0.25" bottom="0.5" header="0.5" footer="0.25"/>
  <pageSetup scale="95" firstPageNumber="3" orientation="portrait" useFirstPageNumber="1" r:id="rId1"/>
  <headerFooter alignWithMargins="0">
    <oddFooter>&amp;R25 of 51</oddFooter>
  </headerFooter>
  <ignoredErrors>
    <ignoredError sqref="M32 M52 M65" formulaRange="1"/>
  </ignoredErrors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67"/>
  <sheetViews>
    <sheetView view="pageBreakPreview" topLeftCell="A19" zoomScale="90" zoomScaleNormal="100" zoomScaleSheetLayoutView="90" workbookViewId="0">
      <selection activeCell="M65" sqref="M65"/>
    </sheetView>
  </sheetViews>
  <sheetFormatPr defaultRowHeight="12.75"/>
  <cols>
    <col min="1" max="1" width="22.85546875" style="1" customWidth="1"/>
    <col min="2" max="13" width="7.140625" style="1" customWidth="1"/>
    <col min="14" max="14" width="4.42578125" style="1" customWidth="1"/>
    <col min="15" max="16384" width="9.140625" style="1"/>
  </cols>
  <sheetData>
    <row r="1" spans="1:21" ht="18" customHeight="1">
      <c r="A1" s="130"/>
      <c r="B1" s="131"/>
      <c r="C1" s="131"/>
      <c r="D1" s="131"/>
      <c r="E1" s="131"/>
      <c r="F1" s="131"/>
      <c r="G1" s="131"/>
      <c r="H1" s="130"/>
      <c r="I1" s="131"/>
      <c r="J1" s="131"/>
      <c r="K1" s="131"/>
      <c r="L1" s="130"/>
      <c r="M1" s="143" t="s">
        <v>22</v>
      </c>
    </row>
    <row r="2" spans="1:21" ht="18" customHeight="1">
      <c r="A2" s="130"/>
      <c r="B2" s="135"/>
      <c r="C2" s="135"/>
      <c r="D2" s="135"/>
      <c r="E2" s="135"/>
      <c r="F2" s="135"/>
      <c r="G2" s="135"/>
      <c r="H2" s="130"/>
      <c r="I2" s="135"/>
      <c r="J2" s="135"/>
      <c r="K2" s="135"/>
      <c r="L2" s="130"/>
      <c r="M2" s="155" t="s">
        <v>13</v>
      </c>
    </row>
    <row r="3" spans="1:21" s="5" customFormat="1" ht="18" customHeight="1">
      <c r="A3" s="133"/>
      <c r="B3" s="133"/>
      <c r="C3" s="133"/>
      <c r="D3" s="133"/>
      <c r="E3" s="133"/>
      <c r="F3" s="133"/>
      <c r="G3" s="133"/>
      <c r="H3" s="133"/>
      <c r="I3" s="133"/>
      <c r="J3" s="136"/>
      <c r="K3" s="136"/>
      <c r="L3" s="133"/>
      <c r="M3" s="155" t="s">
        <v>66</v>
      </c>
      <c r="N3" s="134"/>
      <c r="O3" s="134"/>
      <c r="P3" s="134"/>
      <c r="Q3" s="134"/>
      <c r="R3" s="134"/>
      <c r="S3" s="134"/>
      <c r="T3" s="134"/>
      <c r="U3" s="134"/>
    </row>
    <row r="4" spans="1:21" s="8" customFormat="1" ht="6.75" customHeight="1" thickBot="1">
      <c r="A4" s="38"/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</row>
    <row r="5" spans="1:21" s="8" customFormat="1" ht="11.25" customHeight="1" thickBot="1">
      <c r="A5" s="53" t="s">
        <v>19</v>
      </c>
      <c r="B5" s="50">
        <v>41275</v>
      </c>
      <c r="C5" s="47">
        <v>41306</v>
      </c>
      <c r="D5" s="47">
        <v>41334</v>
      </c>
      <c r="E5" s="47">
        <v>41365</v>
      </c>
      <c r="F5" s="47">
        <v>41395</v>
      </c>
      <c r="G5" s="47">
        <v>41426</v>
      </c>
      <c r="H5" s="47">
        <v>41456</v>
      </c>
      <c r="I5" s="47">
        <v>41487</v>
      </c>
      <c r="J5" s="47">
        <v>41518</v>
      </c>
      <c r="K5" s="47">
        <v>41548</v>
      </c>
      <c r="L5" s="47">
        <v>41579</v>
      </c>
      <c r="M5" s="51">
        <v>41609</v>
      </c>
    </row>
    <row r="6" spans="1:21" s="8" customFormat="1" ht="11.25" customHeight="1">
      <c r="A6" s="41" t="s">
        <v>129</v>
      </c>
      <c r="B6" s="57">
        <f t="shared" ref="B6:M6" si="0">B32</f>
        <v>25</v>
      </c>
      <c r="C6" s="57">
        <f t="shared" si="0"/>
        <v>39</v>
      </c>
      <c r="D6" s="57">
        <f t="shared" si="0"/>
        <v>33</v>
      </c>
      <c r="E6" s="57">
        <f t="shared" si="0"/>
        <v>30</v>
      </c>
      <c r="F6" s="57">
        <f t="shared" si="0"/>
        <v>47</v>
      </c>
      <c r="G6" s="57">
        <f t="shared" si="0"/>
        <v>34</v>
      </c>
      <c r="H6" s="57">
        <f t="shared" si="0"/>
        <v>51</v>
      </c>
      <c r="I6" s="57">
        <f t="shared" si="0"/>
        <v>30</v>
      </c>
      <c r="J6" s="57">
        <f t="shared" si="0"/>
        <v>39</v>
      </c>
      <c r="K6" s="57">
        <f t="shared" si="0"/>
        <v>10</v>
      </c>
      <c r="L6" s="156">
        <f t="shared" si="0"/>
        <v>31</v>
      </c>
      <c r="M6" s="168">
        <f t="shared" si="0"/>
        <v>37</v>
      </c>
    </row>
    <row r="7" spans="1:21" s="8" customFormat="1" ht="11.25" customHeight="1">
      <c r="A7" s="42" t="s">
        <v>18</v>
      </c>
      <c r="B7" s="57">
        <f t="shared" ref="B7:M7" si="1">SUM(B10:B12)</f>
        <v>83</v>
      </c>
      <c r="C7" s="57">
        <f t="shared" si="1"/>
        <v>87</v>
      </c>
      <c r="D7" s="57">
        <f t="shared" si="1"/>
        <v>90</v>
      </c>
      <c r="E7" s="57">
        <f t="shared" si="1"/>
        <v>85</v>
      </c>
      <c r="F7" s="57">
        <f t="shared" si="1"/>
        <v>86</v>
      </c>
      <c r="G7" s="57">
        <f t="shared" si="1"/>
        <v>105</v>
      </c>
      <c r="H7" s="57">
        <f t="shared" si="1"/>
        <v>105</v>
      </c>
      <c r="I7" s="57">
        <f t="shared" si="1"/>
        <v>95</v>
      </c>
      <c r="J7" s="57">
        <f t="shared" si="1"/>
        <v>103</v>
      </c>
      <c r="K7" s="57">
        <f t="shared" si="1"/>
        <v>87</v>
      </c>
      <c r="L7" s="156">
        <f t="shared" si="1"/>
        <v>102</v>
      </c>
      <c r="M7" s="171">
        <f t="shared" si="1"/>
        <v>103</v>
      </c>
    </row>
    <row r="8" spans="1:21" s="8" customFormat="1" ht="11.25" customHeight="1" thickBot="1">
      <c r="A8" s="43" t="s">
        <v>14</v>
      </c>
      <c r="B8" s="58">
        <f t="shared" ref="B8:M8" si="2">SUM(B6:B7)</f>
        <v>108</v>
      </c>
      <c r="C8" s="58">
        <f t="shared" si="2"/>
        <v>126</v>
      </c>
      <c r="D8" s="58">
        <f t="shared" si="2"/>
        <v>123</v>
      </c>
      <c r="E8" s="58">
        <f t="shared" si="2"/>
        <v>115</v>
      </c>
      <c r="F8" s="58">
        <f t="shared" si="2"/>
        <v>133</v>
      </c>
      <c r="G8" s="58">
        <f t="shared" si="2"/>
        <v>139</v>
      </c>
      <c r="H8" s="58">
        <f t="shared" si="2"/>
        <v>156</v>
      </c>
      <c r="I8" s="58">
        <f t="shared" si="2"/>
        <v>125</v>
      </c>
      <c r="J8" s="58">
        <f t="shared" si="2"/>
        <v>142</v>
      </c>
      <c r="K8" s="58">
        <f t="shared" si="2"/>
        <v>97</v>
      </c>
      <c r="L8" s="157">
        <f t="shared" si="2"/>
        <v>133</v>
      </c>
      <c r="M8" s="172">
        <f t="shared" si="2"/>
        <v>140</v>
      </c>
    </row>
    <row r="9" spans="1:21" s="8" customFormat="1" ht="11.25" customHeight="1" thickBot="1">
      <c r="A9" s="54" t="s">
        <v>18</v>
      </c>
      <c r="B9" s="50">
        <v>41275</v>
      </c>
      <c r="C9" s="47">
        <v>41306</v>
      </c>
      <c r="D9" s="47">
        <v>41334</v>
      </c>
      <c r="E9" s="47">
        <v>41365</v>
      </c>
      <c r="F9" s="47">
        <v>41395</v>
      </c>
      <c r="G9" s="47">
        <v>41426</v>
      </c>
      <c r="H9" s="47">
        <v>41456</v>
      </c>
      <c r="I9" s="47">
        <v>41487</v>
      </c>
      <c r="J9" s="47">
        <v>41518</v>
      </c>
      <c r="K9" s="47">
        <v>41548</v>
      </c>
      <c r="L9" s="47">
        <v>41579</v>
      </c>
      <c r="M9" s="51">
        <v>41609</v>
      </c>
    </row>
    <row r="10" spans="1:21" s="8" customFormat="1" ht="11.25" customHeight="1">
      <c r="A10" s="9" t="s">
        <v>128</v>
      </c>
      <c r="B10" s="57">
        <f t="shared" ref="B10:M10" si="3">B52</f>
        <v>41</v>
      </c>
      <c r="C10" s="57">
        <f t="shared" si="3"/>
        <v>42</v>
      </c>
      <c r="D10" s="57">
        <f t="shared" si="3"/>
        <v>40</v>
      </c>
      <c r="E10" s="57">
        <f t="shared" si="3"/>
        <v>45</v>
      </c>
      <c r="F10" s="57">
        <f t="shared" si="3"/>
        <v>45</v>
      </c>
      <c r="G10" s="59">
        <f t="shared" si="3"/>
        <v>56</v>
      </c>
      <c r="H10" s="59">
        <f t="shared" si="3"/>
        <v>55</v>
      </c>
      <c r="I10" s="59">
        <f t="shared" si="3"/>
        <v>43</v>
      </c>
      <c r="J10" s="59">
        <f t="shared" si="3"/>
        <v>55</v>
      </c>
      <c r="K10" s="59">
        <f t="shared" si="3"/>
        <v>35</v>
      </c>
      <c r="L10" s="158">
        <f t="shared" si="3"/>
        <v>49</v>
      </c>
      <c r="M10" s="168">
        <f t="shared" si="3"/>
        <v>55</v>
      </c>
    </row>
    <row r="11" spans="1:21" s="8" customFormat="1" ht="11.25" customHeight="1">
      <c r="A11" s="9" t="s">
        <v>127</v>
      </c>
      <c r="B11" s="59">
        <f t="shared" ref="B11:M11" si="4">B65</f>
        <v>4</v>
      </c>
      <c r="C11" s="59">
        <f t="shared" si="4"/>
        <v>3</v>
      </c>
      <c r="D11" s="59">
        <f t="shared" si="4"/>
        <v>6</v>
      </c>
      <c r="E11" s="59">
        <f t="shared" si="4"/>
        <v>0</v>
      </c>
      <c r="F11" s="59">
        <f t="shared" si="4"/>
        <v>3</v>
      </c>
      <c r="G11" s="59">
        <f t="shared" si="4"/>
        <v>7</v>
      </c>
      <c r="H11" s="59">
        <f t="shared" si="4"/>
        <v>4</v>
      </c>
      <c r="I11" s="59">
        <f t="shared" si="4"/>
        <v>4</v>
      </c>
      <c r="J11" s="59">
        <f t="shared" si="4"/>
        <v>1</v>
      </c>
      <c r="K11" s="59">
        <f t="shared" si="4"/>
        <v>2</v>
      </c>
      <c r="L11" s="158">
        <f t="shared" si="4"/>
        <v>7</v>
      </c>
      <c r="M11" s="169">
        <f t="shared" si="4"/>
        <v>1</v>
      </c>
    </row>
    <row r="12" spans="1:21" s="8" customFormat="1" ht="11.25" customHeight="1" thickBot="1">
      <c r="A12" s="2" t="s">
        <v>12</v>
      </c>
      <c r="B12" s="60">
        <f>COUNTIFS(Jan!$B:$B,2124,Jan!$F:$F,800)</f>
        <v>38</v>
      </c>
      <c r="C12" s="60">
        <v>42</v>
      </c>
      <c r="D12" s="60">
        <v>44</v>
      </c>
      <c r="E12" s="60">
        <v>40</v>
      </c>
      <c r="F12" s="60">
        <v>38</v>
      </c>
      <c r="G12" s="60">
        <v>42</v>
      </c>
      <c r="H12" s="60">
        <v>46</v>
      </c>
      <c r="I12" s="60">
        <v>48</v>
      </c>
      <c r="J12" s="60">
        <v>47</v>
      </c>
      <c r="K12" s="60">
        <v>50</v>
      </c>
      <c r="L12" s="60">
        <v>46</v>
      </c>
      <c r="M12" s="60">
        <v>47</v>
      </c>
    </row>
    <row r="13" spans="1:21" s="8" customFormat="1" ht="5.0999999999999996" customHeight="1" thickBot="1">
      <c r="A13" s="3"/>
      <c r="B13" s="17"/>
      <c r="C13" s="17"/>
      <c r="D13" s="17"/>
      <c r="E13" s="17"/>
      <c r="F13" s="17"/>
      <c r="G13" s="17"/>
      <c r="H13" s="17"/>
      <c r="I13" s="17"/>
      <c r="J13" s="17"/>
      <c r="K13" s="17"/>
      <c r="L13" s="17"/>
      <c r="M13" s="147"/>
    </row>
    <row r="14" spans="1:21" s="16" customFormat="1" ht="11.25" customHeight="1">
      <c r="A14" s="44" t="s">
        <v>131</v>
      </c>
      <c r="B14" s="120">
        <v>14393</v>
      </c>
      <c r="C14" s="120">
        <v>16895</v>
      </c>
      <c r="D14" s="120">
        <v>17706</v>
      </c>
      <c r="E14" s="120">
        <v>16412</v>
      </c>
      <c r="F14" s="120">
        <v>18230</v>
      </c>
      <c r="G14" s="120">
        <v>48657</v>
      </c>
      <c r="H14" s="119">
        <v>15803</v>
      </c>
      <c r="I14" s="61">
        <v>14482</v>
      </c>
      <c r="J14" s="61">
        <v>14671</v>
      </c>
      <c r="K14" s="118">
        <v>16858</v>
      </c>
      <c r="L14" s="160">
        <v>10116</v>
      </c>
      <c r="M14" s="173">
        <v>17264</v>
      </c>
      <c r="O14" s="22"/>
      <c r="P14" s="22"/>
      <c r="Q14" s="22"/>
    </row>
    <row r="15" spans="1:21" s="8" customFormat="1" ht="11.25" customHeight="1">
      <c r="A15" s="45" t="s">
        <v>132</v>
      </c>
      <c r="B15" s="62">
        <f>IFERROR((SUMIFS(Jan!$N:$N,Jan!$J:$J,1,Jan!$B:$B,2124)+SUMIFS(Jan!$N:$N,Jan!$D:$D,"&gt;1",Jan!$B:$B,2124))/(COUNTIFS(Jan!$J:$J,1,Jan!$B:$B,2124)+COUNTIFS(Jan!$D:$D,"&gt;1",Jan!$B:$B,2124)),"")</f>
        <v>32.659090909090907</v>
      </c>
      <c r="C15" s="62">
        <v>31.31</v>
      </c>
      <c r="D15" s="62">
        <v>30.57</v>
      </c>
      <c r="E15" s="62">
        <v>33.14</v>
      </c>
      <c r="F15" s="62">
        <v>33.75</v>
      </c>
      <c r="G15" s="62">
        <v>32.69</v>
      </c>
      <c r="H15" s="62">
        <v>33.21</v>
      </c>
      <c r="I15" s="62">
        <v>34.04</v>
      </c>
      <c r="J15" s="62">
        <v>31.72</v>
      </c>
      <c r="K15" s="62">
        <v>33.39</v>
      </c>
      <c r="L15" s="62">
        <v>32.979999999999997</v>
      </c>
      <c r="M15" s="62">
        <v>32.22</v>
      </c>
      <c r="N15" s="15"/>
      <c r="O15" s="1"/>
      <c r="P15" s="1"/>
      <c r="Q15" s="1"/>
    </row>
    <row r="16" spans="1:21" s="8" customFormat="1" ht="11.25" customHeight="1">
      <c r="A16" s="45" t="s">
        <v>133</v>
      </c>
      <c r="B16" s="62">
        <f>IFERROR(AVERAGEIFS(Jan!$N:$N,Jan!$F:$F,800,Jan!$B:$B,2124),"")</f>
        <v>32.44736842105263</v>
      </c>
      <c r="C16" s="62">
        <v>34.17</v>
      </c>
      <c r="D16" s="62">
        <v>31.73</v>
      </c>
      <c r="E16" s="62">
        <v>34.6</v>
      </c>
      <c r="F16" s="62">
        <v>36.32</v>
      </c>
      <c r="G16" s="62">
        <v>36</v>
      </c>
      <c r="H16" s="62">
        <v>35.06</v>
      </c>
      <c r="I16" s="62">
        <v>36.33</v>
      </c>
      <c r="J16" s="62">
        <v>34.57</v>
      </c>
      <c r="K16" s="62">
        <v>34.22</v>
      </c>
      <c r="L16" s="62">
        <v>36.56</v>
      </c>
      <c r="M16" s="62">
        <v>33.93</v>
      </c>
      <c r="O16" s="1"/>
      <c r="P16" s="1"/>
      <c r="Q16" s="1"/>
    </row>
    <row r="17" spans="1:17" s="8" customFormat="1" ht="11.25" customHeight="1">
      <c r="A17" s="45" t="s">
        <v>134</v>
      </c>
      <c r="B17" s="63">
        <f>IFERROR((SUMIFS(Jan!$M:$M,Jan!$J:$J,1,Jan!$B:$B,2124)+SUMIFS(Jan!$M:$M,Jan!$D:$D,"&gt;1",Jan!$B:$B,2124))/(COUNTIFS(Jan!$J:$J,1,Jan!$B:$B,2124)+COUNTIFS(Jan!$D:$D,"&gt;1",Jan!$B:$B,2124)),"")</f>
        <v>1.2022727272727272</v>
      </c>
      <c r="C17" s="63">
        <v>2.0299999999999998</v>
      </c>
      <c r="D17" s="63">
        <v>1.85</v>
      </c>
      <c r="E17" s="63">
        <v>1.57</v>
      </c>
      <c r="F17" s="63">
        <v>3.41</v>
      </c>
      <c r="G17" s="63">
        <v>1.96</v>
      </c>
      <c r="H17" s="63">
        <v>3.23</v>
      </c>
      <c r="I17" s="63">
        <v>1.79</v>
      </c>
      <c r="J17" s="63">
        <v>1.8</v>
      </c>
      <c r="K17" s="63">
        <v>1.0900000000000001</v>
      </c>
      <c r="L17" s="63">
        <v>2.58</v>
      </c>
      <c r="M17" s="63">
        <v>1.39</v>
      </c>
      <c r="O17" s="1"/>
      <c r="P17" s="1"/>
      <c r="Q17" s="1"/>
    </row>
    <row r="18" spans="1:17" s="8" customFormat="1" ht="11.25" customHeight="1" thickBot="1">
      <c r="A18" s="43" t="s">
        <v>135</v>
      </c>
      <c r="B18" s="64">
        <f>IFERROR(AVERAGEIFS(Jan!$M:$M,Jan!$F:$F,800,Jan!$B:$B,2124),"")</f>
        <v>1.3394736842105264</v>
      </c>
      <c r="C18" s="64">
        <v>1.1100000000000001</v>
      </c>
      <c r="D18" s="64">
        <v>0.87</v>
      </c>
      <c r="E18" s="64">
        <v>0.56000000000000005</v>
      </c>
      <c r="F18" s="64">
        <v>3.06</v>
      </c>
      <c r="G18" s="64">
        <v>0.64</v>
      </c>
      <c r="H18" s="64">
        <v>1.68</v>
      </c>
      <c r="I18" s="64">
        <v>1.1000000000000001</v>
      </c>
      <c r="J18" s="64">
        <v>0.67</v>
      </c>
      <c r="K18" s="64">
        <v>0.65</v>
      </c>
      <c r="L18" s="64">
        <v>2.0699999999999998</v>
      </c>
      <c r="M18" s="64">
        <v>1.31</v>
      </c>
    </row>
    <row r="19" spans="1:17" s="8" customFormat="1" ht="5.0999999999999996" customHeight="1" thickBot="1">
      <c r="A19" s="3"/>
      <c r="B19" s="17"/>
      <c r="C19" s="17"/>
      <c r="D19" s="17"/>
      <c r="E19" s="17"/>
      <c r="F19" s="17"/>
      <c r="G19" s="17"/>
      <c r="H19" s="17"/>
      <c r="I19" s="17">
        <v>31</v>
      </c>
      <c r="J19" s="17"/>
      <c r="K19" s="17"/>
      <c r="L19" s="17"/>
      <c r="M19" s="147"/>
    </row>
    <row r="20" spans="1:17" s="8" customFormat="1" ht="11.25" customHeight="1">
      <c r="A20" s="42" t="s">
        <v>52</v>
      </c>
      <c r="B20" s="65">
        <v>31</v>
      </c>
      <c r="C20" s="65">
        <v>28</v>
      </c>
      <c r="D20" s="65">
        <v>31</v>
      </c>
      <c r="E20" s="65">
        <v>30</v>
      </c>
      <c r="F20" s="65">
        <v>31</v>
      </c>
      <c r="G20" s="65">
        <v>30</v>
      </c>
      <c r="H20" s="65">
        <v>31</v>
      </c>
      <c r="I20" s="65">
        <v>31</v>
      </c>
      <c r="J20" s="65">
        <v>30</v>
      </c>
      <c r="K20" s="65">
        <v>31</v>
      </c>
      <c r="L20" s="161">
        <v>30</v>
      </c>
      <c r="M20" s="174">
        <v>31</v>
      </c>
    </row>
    <row r="21" spans="1:17" s="8" customFormat="1" ht="11.25" customHeight="1">
      <c r="A21" s="9" t="s">
        <v>15</v>
      </c>
      <c r="B21" s="66">
        <f>B12/B20</f>
        <v>1.2258064516129032</v>
      </c>
      <c r="C21" s="66">
        <f t="shared" ref="C21:M21" si="5">C12/C20</f>
        <v>1.5</v>
      </c>
      <c r="D21" s="66">
        <f>D12/D20</f>
        <v>1.4193548387096775</v>
      </c>
      <c r="E21" s="66">
        <f>E12/E20</f>
        <v>1.3333333333333333</v>
      </c>
      <c r="F21" s="66">
        <f>F12/F20</f>
        <v>1.2258064516129032</v>
      </c>
      <c r="G21" s="66">
        <f>G12/G20</f>
        <v>1.4</v>
      </c>
      <c r="H21" s="66">
        <f t="shared" si="5"/>
        <v>1.4838709677419355</v>
      </c>
      <c r="I21" s="66">
        <f t="shared" si="5"/>
        <v>1.5483870967741935</v>
      </c>
      <c r="J21" s="66">
        <f t="shared" si="5"/>
        <v>1.5666666666666667</v>
      </c>
      <c r="K21" s="66">
        <f t="shared" si="5"/>
        <v>1.6129032258064515</v>
      </c>
      <c r="L21" s="162">
        <f t="shared" si="5"/>
        <v>1.5333333333333334</v>
      </c>
      <c r="M21" s="175">
        <f t="shared" si="5"/>
        <v>1.5161290322580645</v>
      </c>
    </row>
    <row r="22" spans="1:17" s="8" customFormat="1" ht="11.25" customHeight="1">
      <c r="A22" s="9" t="s">
        <v>130</v>
      </c>
      <c r="B22" s="67">
        <f t="shared" ref="B22:G22" si="6">IFERROR(B12/B7,0)</f>
        <v>0.45783132530120479</v>
      </c>
      <c r="C22" s="67">
        <f t="shared" si="6"/>
        <v>0.48275862068965519</v>
      </c>
      <c r="D22" s="67">
        <f t="shared" si="6"/>
        <v>0.48888888888888887</v>
      </c>
      <c r="E22" s="67">
        <f t="shared" si="6"/>
        <v>0.47058823529411764</v>
      </c>
      <c r="F22" s="67">
        <f t="shared" si="6"/>
        <v>0.44186046511627908</v>
      </c>
      <c r="G22" s="67">
        <f t="shared" si="6"/>
        <v>0.4</v>
      </c>
      <c r="H22" s="67">
        <f t="shared" ref="H22:M22" si="7">IFERROR(H12/H7,0)</f>
        <v>0.43809523809523809</v>
      </c>
      <c r="I22" s="67">
        <f t="shared" si="7"/>
        <v>0.50526315789473686</v>
      </c>
      <c r="J22" s="67">
        <f t="shared" si="7"/>
        <v>0.4563106796116505</v>
      </c>
      <c r="K22" s="116">
        <f t="shared" si="7"/>
        <v>0.57471264367816088</v>
      </c>
      <c r="L22" s="67">
        <f t="shared" si="7"/>
        <v>0.45098039215686275</v>
      </c>
      <c r="M22" s="176">
        <f t="shared" si="7"/>
        <v>0.4563106796116505</v>
      </c>
      <c r="N22" s="1"/>
    </row>
    <row r="23" spans="1:17" s="8" customFormat="1" ht="11.25" customHeight="1" thickBot="1">
      <c r="A23" s="9" t="s">
        <v>53</v>
      </c>
      <c r="B23" s="67">
        <f t="shared" ref="B23:G23" si="8">IFERROR(B12/(B11+B12),0)</f>
        <v>0.90476190476190477</v>
      </c>
      <c r="C23" s="67">
        <f t="shared" si="8"/>
        <v>0.93333333333333335</v>
      </c>
      <c r="D23" s="67">
        <f t="shared" si="8"/>
        <v>0.88</v>
      </c>
      <c r="E23" s="67">
        <f t="shared" si="8"/>
        <v>1</v>
      </c>
      <c r="F23" s="67">
        <f t="shared" si="8"/>
        <v>0.92682926829268297</v>
      </c>
      <c r="G23" s="67">
        <f t="shared" si="8"/>
        <v>0.8571428571428571</v>
      </c>
      <c r="H23" s="67">
        <f t="shared" ref="H23:M23" si="9">IFERROR(H12/(H11+H12),0)</f>
        <v>0.92</v>
      </c>
      <c r="I23" s="67">
        <f t="shared" si="9"/>
        <v>0.92307692307692313</v>
      </c>
      <c r="J23" s="67">
        <f t="shared" si="9"/>
        <v>0.97916666666666663</v>
      </c>
      <c r="K23" s="117">
        <f t="shared" si="9"/>
        <v>0.96153846153846156</v>
      </c>
      <c r="L23" s="163">
        <f t="shared" si="9"/>
        <v>0.86792452830188682</v>
      </c>
      <c r="M23" s="177">
        <f t="shared" si="9"/>
        <v>0.97916666666666663</v>
      </c>
      <c r="N23" s="4"/>
    </row>
    <row r="24" spans="1:17" s="8" customFormat="1" ht="11.25" customHeight="1" thickBot="1">
      <c r="A24" s="56" t="s">
        <v>21</v>
      </c>
      <c r="B24" s="50">
        <v>41275</v>
      </c>
      <c r="C24" s="47">
        <v>41306</v>
      </c>
      <c r="D24" s="47">
        <v>41334</v>
      </c>
      <c r="E24" s="47">
        <v>41365</v>
      </c>
      <c r="F24" s="47">
        <v>41395</v>
      </c>
      <c r="G24" s="47">
        <v>41426</v>
      </c>
      <c r="H24" s="47">
        <v>41456</v>
      </c>
      <c r="I24" s="47">
        <v>41487</v>
      </c>
      <c r="J24" s="47">
        <v>41518</v>
      </c>
      <c r="K24" s="47">
        <v>41548</v>
      </c>
      <c r="L24" s="47">
        <v>41579</v>
      </c>
      <c r="M24" s="51">
        <v>41609</v>
      </c>
    </row>
    <row r="25" spans="1:17" s="8" customFormat="1" ht="11.25" customHeight="1">
      <c r="A25" s="18" t="s">
        <v>5</v>
      </c>
      <c r="B25" s="68">
        <f>COUNTIFS(Jan!$B:$B,2124,Jan!$J:$J,18)</f>
        <v>3</v>
      </c>
      <c r="C25" s="68">
        <v>8</v>
      </c>
      <c r="D25" s="68">
        <v>5</v>
      </c>
      <c r="E25" s="68">
        <v>5</v>
      </c>
      <c r="F25" s="68">
        <v>5</v>
      </c>
      <c r="G25" s="68">
        <v>6</v>
      </c>
      <c r="H25" s="68">
        <v>7</v>
      </c>
      <c r="I25" s="68">
        <v>7</v>
      </c>
      <c r="J25" s="68">
        <v>6</v>
      </c>
      <c r="K25" s="68">
        <v>1</v>
      </c>
      <c r="L25" s="68">
        <v>7</v>
      </c>
      <c r="M25" s="68">
        <v>6</v>
      </c>
    </row>
    <row r="26" spans="1:17" s="8" customFormat="1" ht="11.25" customHeight="1">
      <c r="A26" s="46" t="s">
        <v>40</v>
      </c>
      <c r="B26" s="57">
        <f>COUNTIFS(Jan!$B:$B,2124,Jan!$J:$J,41)</f>
        <v>0</v>
      </c>
      <c r="C26" s="57">
        <f>COUNTIFS(Feb!$B:$B,2124,Feb!$J:$J,41)</f>
        <v>0</v>
      </c>
      <c r="D26" s="57">
        <f>COUNTIFS(Mar!$B:$B,2124,Mar!$J:$J,41)</f>
        <v>0</v>
      </c>
      <c r="E26" s="57">
        <v>10</v>
      </c>
      <c r="F26" s="57">
        <v>14</v>
      </c>
      <c r="G26" s="57">
        <f>COUNTIFS(Jun!$B:$B,2124,Jun!$J:$J,41)</f>
        <v>0</v>
      </c>
      <c r="H26" s="57">
        <v>1</v>
      </c>
      <c r="I26" s="57">
        <f>COUNTIFS(Aug!$B:$B,2124,Aug!$J:$J,41)</f>
        <v>0</v>
      </c>
      <c r="J26" s="57">
        <f>COUNTIFS(Sep!$B:$B,2124,Sep!$J:$J,41)</f>
        <v>0</v>
      </c>
      <c r="K26" s="57">
        <f>COUNTIFS(Oct!$B:$B,2124,Oct!$J:$J,41)</f>
        <v>0</v>
      </c>
      <c r="L26" s="57">
        <f>COUNTIFS(Nov!$B:$B,2124,Nov!$J:$J,41)</f>
        <v>0</v>
      </c>
      <c r="M26" s="57">
        <v>0</v>
      </c>
    </row>
    <row r="27" spans="1:17" s="8" customFormat="1" ht="11.25" customHeight="1">
      <c r="A27" s="9" t="s">
        <v>11</v>
      </c>
      <c r="B27" s="179">
        <f>COUNTIFS(Jan!$B:$B,2124,Jan!$J:$J,17)</f>
        <v>19</v>
      </c>
      <c r="C27" s="206">
        <v>29</v>
      </c>
      <c r="D27" s="206">
        <v>27</v>
      </c>
      <c r="E27" s="206">
        <v>15</v>
      </c>
      <c r="F27" s="206">
        <v>28</v>
      </c>
      <c r="G27" s="206">
        <v>28</v>
      </c>
      <c r="H27" s="206">
        <v>41</v>
      </c>
      <c r="I27" s="206">
        <v>23</v>
      </c>
      <c r="J27" s="206">
        <v>31</v>
      </c>
      <c r="K27" s="206">
        <v>8</v>
      </c>
      <c r="L27" s="206">
        <v>23</v>
      </c>
      <c r="M27" s="206">
        <v>31</v>
      </c>
    </row>
    <row r="28" spans="1:17" s="8" customFormat="1" ht="11.25" customHeight="1">
      <c r="A28" s="9" t="s">
        <v>143</v>
      </c>
      <c r="B28" s="59">
        <f>COUNTIFS(Jan!$B:$B,2124,Jan!$F:$F,455)</f>
        <v>0</v>
      </c>
      <c r="C28" s="59">
        <f>COUNTIFS(Feb!$B:$B,2124,Feb!$F:$F,455)</f>
        <v>0</v>
      </c>
      <c r="D28" s="59">
        <f>COUNTIFS(Mar!$B:$B,2124,Mar!$F:$F,455)</f>
        <v>0</v>
      </c>
      <c r="E28" s="59">
        <f>COUNTIFS(Apr!$B:$B,2124,Apr!$F:$F,455)</f>
        <v>0</v>
      </c>
      <c r="F28" s="59">
        <f>COUNTIFS(May!$B:$B,2124,May!$F:$F,455)</f>
        <v>0</v>
      </c>
      <c r="G28" s="59">
        <f>COUNTIFS(Jun!$B:$B,2124,Jun!$F:$F,455)</f>
        <v>0</v>
      </c>
      <c r="H28" s="59">
        <f>COUNTIFS(Jul!$B:$B,2124,Jul!$F:$F,455)</f>
        <v>0</v>
      </c>
      <c r="I28" s="59">
        <f>COUNTIFS(Aug!$B:$B,2124,Aug!$F:$F,455)</f>
        <v>0</v>
      </c>
      <c r="J28" s="59">
        <f>COUNTIFS(Sep!$B:$B,2124,Sep!$F:$F,455)</f>
        <v>0</v>
      </c>
      <c r="K28" s="59">
        <f>COUNTIFS(Oct!$B:$B,2124,Oct!$F:$F,455)</f>
        <v>0</v>
      </c>
      <c r="L28" s="59">
        <f>COUNTIFS(Nov!$B:$B,2124,Nov!$F:$F,455)</f>
        <v>0</v>
      </c>
      <c r="M28" s="59">
        <v>0</v>
      </c>
    </row>
    <row r="29" spans="1:17" s="8" customFormat="1" ht="11.25" customHeight="1">
      <c r="A29" s="9" t="s">
        <v>23</v>
      </c>
      <c r="B29" s="59">
        <f>COUNTIFS(Jan!$B:$B,2124,Jan!$J:$J,31)</f>
        <v>0</v>
      </c>
      <c r="C29" s="59">
        <f>COUNTIFS(Feb!$B:$B,2124,Feb!$J:$J,31)</f>
        <v>0</v>
      </c>
      <c r="D29" s="59">
        <f>COUNTIFS(Mar!$B:$B,2124,Mar!$J:$J,31)</f>
        <v>0</v>
      </c>
      <c r="E29" s="59">
        <f>COUNTIFS(Apr!$B:$B,2124,Apr!$J:$J,31)</f>
        <v>0</v>
      </c>
      <c r="F29" s="59">
        <f>COUNTIFS(May!$B:$B,2124,May!$J:$J,31)</f>
        <v>0</v>
      </c>
      <c r="G29" s="59">
        <f>COUNTIFS(Jun!$B:$B,2124,Jun!$J:$J,31)</f>
        <v>0</v>
      </c>
      <c r="H29" s="59">
        <f>COUNTIFS(Jul!$B:$B,2124,Jul!$J:$J,31)</f>
        <v>0</v>
      </c>
      <c r="I29" s="59">
        <f>COUNTIFS(Aug!$B:$B,2124,Aug!$J:$J,31)</f>
        <v>0</v>
      </c>
      <c r="J29" s="59">
        <f>COUNTIFS(Sep!$B:$B,2124,Sep!$J:$J,31)</f>
        <v>0</v>
      </c>
      <c r="K29" s="59">
        <f>COUNTIFS(Oct!$B:$B,2124,Oct!$J:$J,31)</f>
        <v>0</v>
      </c>
      <c r="L29" s="59">
        <f>COUNTIFS(Nov!$B:$B,2124,Nov!$J:$J,31)</f>
        <v>0</v>
      </c>
      <c r="M29" s="59">
        <v>0</v>
      </c>
    </row>
    <row r="30" spans="1:17" s="8" customFormat="1" ht="11.25" customHeight="1">
      <c r="A30" s="9" t="s">
        <v>37</v>
      </c>
      <c r="B30" s="59">
        <f>COUNTIFS(Jan!$B:$B,2124,Jan!$J:$J,4400)</f>
        <v>3</v>
      </c>
      <c r="C30" s="59">
        <v>2</v>
      </c>
      <c r="D30" s="59">
        <v>1</v>
      </c>
      <c r="E30" s="59">
        <f>COUNTIFS(Apr!$B:$B,2124,Apr!$J:$J,4400)</f>
        <v>0</v>
      </c>
      <c r="F30" s="59">
        <f>COUNTIFS(May!$B:$B,2124,May!$J:$J,4400)</f>
        <v>0</v>
      </c>
      <c r="G30" s="59">
        <f>COUNTIFS(Jun!$B:$B,2124,Jun!$J:$J,4400)</f>
        <v>0</v>
      </c>
      <c r="H30" s="59">
        <v>2</v>
      </c>
      <c r="I30" s="59">
        <f>COUNTIFS(Aug!$B:$B,2124,Aug!$J:$J,4400)</f>
        <v>0</v>
      </c>
      <c r="J30" s="59">
        <v>2</v>
      </c>
      <c r="K30" s="59">
        <v>1</v>
      </c>
      <c r="L30" s="59">
        <v>1</v>
      </c>
      <c r="M30" s="59">
        <v>0</v>
      </c>
    </row>
    <row r="31" spans="1:17" s="8" customFormat="1" ht="11.25" customHeight="1">
      <c r="A31" s="10" t="s">
        <v>24</v>
      </c>
      <c r="B31" s="59">
        <f>COUNTIFS(Jan!$B:$B,2124,Jan!$J:$J,30)</f>
        <v>0</v>
      </c>
      <c r="C31" s="59">
        <f>COUNTIFS(Feb!$B:$B,2124,Feb!$J:$J,30)</f>
        <v>0</v>
      </c>
      <c r="D31" s="59">
        <f>COUNTIFS(Mar!$B:$B,2124,Mar!$J:$J,30)</f>
        <v>0</v>
      </c>
      <c r="E31" s="59">
        <f>COUNTIFS(Apr!$B:$B,2124,Apr!$J:$J,30)</f>
        <v>0</v>
      </c>
      <c r="F31" s="59">
        <f>COUNTIFS(May!$B:$B,2124,May!$J:$J,30)</f>
        <v>0</v>
      </c>
      <c r="G31" s="59">
        <f>COUNTIFS(Jun!$B:$B,2124,Jun!$J:$J,30)</f>
        <v>0</v>
      </c>
      <c r="H31" s="59">
        <f>COUNTIFS(Jul!$B:$B,2124,Jul!$J:$J,30)</f>
        <v>0</v>
      </c>
      <c r="I31" s="59">
        <f>COUNTIFS(Aug!$B:$B,2124,Aug!$J:$J,30)</f>
        <v>0</v>
      </c>
      <c r="J31" s="59">
        <f>COUNTIFS(Sep!$B:$B,2124,Sep!$J:$J,30)</f>
        <v>0</v>
      </c>
      <c r="K31" s="59">
        <f>COUNTIFS(Oct!$B:$B,2124,Oct!$J:$J,30)</f>
        <v>0</v>
      </c>
      <c r="L31" s="59">
        <f>COUNTIFS(Nov!$B:$B,2124,Nov!$J:$J,30)</f>
        <v>0</v>
      </c>
      <c r="M31" s="59">
        <v>0</v>
      </c>
    </row>
    <row r="32" spans="1:17" s="14" customFormat="1" ht="11.25" customHeight="1" thickBot="1">
      <c r="A32" s="2" t="s">
        <v>140</v>
      </c>
      <c r="B32" s="60">
        <f>SUM(B25:B31)</f>
        <v>25</v>
      </c>
      <c r="C32" s="60">
        <f t="shared" ref="C32:M32" si="10">SUM(C25:C31)</f>
        <v>39</v>
      </c>
      <c r="D32" s="60">
        <f>SUM(D25:D31)</f>
        <v>33</v>
      </c>
      <c r="E32" s="60">
        <f>SUM(E25:E31)</f>
        <v>30</v>
      </c>
      <c r="F32" s="60">
        <f>SUM(F25:F31)</f>
        <v>47</v>
      </c>
      <c r="G32" s="60">
        <f>SUM(G25:G31)</f>
        <v>34</v>
      </c>
      <c r="H32" s="60">
        <f t="shared" si="10"/>
        <v>51</v>
      </c>
      <c r="I32" s="60">
        <f t="shared" si="10"/>
        <v>30</v>
      </c>
      <c r="J32" s="60">
        <f t="shared" si="10"/>
        <v>39</v>
      </c>
      <c r="K32" s="60">
        <f t="shared" si="10"/>
        <v>10</v>
      </c>
      <c r="L32" s="159">
        <f t="shared" si="10"/>
        <v>31</v>
      </c>
      <c r="M32" s="170">
        <f t="shared" si="10"/>
        <v>37</v>
      </c>
    </row>
    <row r="33" spans="1:13" ht="12" customHeight="1" thickBot="1">
      <c r="A33" s="55" t="s">
        <v>136</v>
      </c>
      <c r="B33" s="50">
        <v>41275</v>
      </c>
      <c r="C33" s="47">
        <v>41306</v>
      </c>
      <c r="D33" s="47">
        <v>41334</v>
      </c>
      <c r="E33" s="47">
        <v>41365</v>
      </c>
      <c r="F33" s="47">
        <v>41395</v>
      </c>
      <c r="G33" s="47">
        <v>41426</v>
      </c>
      <c r="H33" s="47">
        <v>41456</v>
      </c>
      <c r="I33" s="47">
        <v>41487</v>
      </c>
      <c r="J33" s="47">
        <v>41518</v>
      </c>
      <c r="K33" s="47">
        <v>41548</v>
      </c>
      <c r="L33" s="47">
        <v>41579</v>
      </c>
      <c r="M33" s="51">
        <v>41609</v>
      </c>
    </row>
    <row r="34" spans="1:13" s="8" customFormat="1" ht="11.25" customHeight="1">
      <c r="A34" s="46" t="s">
        <v>33</v>
      </c>
      <c r="B34" s="57">
        <f>COUNTIFS(Jan!$B:$B,2124,Jan!$J:$J,40)</f>
        <v>0</v>
      </c>
      <c r="C34" s="57">
        <f>COUNTIFS(Feb!$B:$B,2124,Feb!$J:$J,40)</f>
        <v>0</v>
      </c>
      <c r="D34" s="57">
        <v>1</v>
      </c>
      <c r="E34" s="57">
        <v>2</v>
      </c>
      <c r="F34" s="57">
        <f>COUNTIFS(May!$B:$B,2124,May!$J:$J,40)</f>
        <v>0</v>
      </c>
      <c r="G34" s="57">
        <f>COUNTIFS(Jun!$B:$B,2124,Jun!$J:$J,40)</f>
        <v>0</v>
      </c>
      <c r="H34" s="57">
        <f>COUNTIFS(Jul!$B:$B,2124,Jul!$J:$J,40)</f>
        <v>0</v>
      </c>
      <c r="I34" s="57">
        <f>COUNTIFS(Aug!$B:$B,2124,Aug!$J:$J,40)</f>
        <v>0</v>
      </c>
      <c r="J34" s="57">
        <v>1</v>
      </c>
      <c r="K34" s="57">
        <f>COUNTIFS(Oct!$B:$B,2124,Oct!$J:$J,40)</f>
        <v>0</v>
      </c>
      <c r="L34" s="57">
        <f>COUNTIFS(Nov!$B:$B,2124,Nov!$J:$J,40)</f>
        <v>0</v>
      </c>
      <c r="M34" s="57">
        <v>0</v>
      </c>
    </row>
    <row r="35" spans="1:13" s="8" customFormat="1" ht="11.25" customHeight="1">
      <c r="A35" s="10" t="s">
        <v>4</v>
      </c>
      <c r="B35" s="59">
        <f>COUNTIFS(Jan!$B:$B,2124,Jan!$J:$J,15)</f>
        <v>0</v>
      </c>
      <c r="C35" s="59">
        <f>COUNTIFS(Feb!$B:$B,2124,Feb!$J:$J,15)</f>
        <v>0</v>
      </c>
      <c r="D35" s="59">
        <v>4</v>
      </c>
      <c r="E35" s="59">
        <f>COUNTIFS(Apr!$B:$B,2124,Apr!$J:$J,15)</f>
        <v>0</v>
      </c>
      <c r="F35" s="59">
        <f>COUNTIFS(May!$B:$B,2124,May!$J:$J,15)</f>
        <v>0</v>
      </c>
      <c r="G35" s="59">
        <v>2</v>
      </c>
      <c r="H35" s="59">
        <v>1</v>
      </c>
      <c r="I35" s="59">
        <f>COUNTIFS(Aug!$B:$B,2124,Aug!$J:$J,15)</f>
        <v>0</v>
      </c>
      <c r="J35" s="59">
        <f>COUNTIFS(Sep!$B:$B,2124,Sep!$J:$J,15)</f>
        <v>0</v>
      </c>
      <c r="K35" s="59">
        <f>COUNTIFS(Oct!$B:$B,2124,Oct!$J:$J,15)</f>
        <v>0</v>
      </c>
      <c r="L35" s="59">
        <f>COUNTIFS(Nov!$B:$B,2124,Nov!$J:$J,15)</f>
        <v>0</v>
      </c>
      <c r="M35" s="59">
        <v>3</v>
      </c>
    </row>
    <row r="36" spans="1:13" s="8" customFormat="1" ht="11.25" customHeight="1">
      <c r="A36" s="10" t="s">
        <v>39</v>
      </c>
      <c r="B36" s="59">
        <f>COUNTIFS(Jan!$B:$B,2124,Jan!$J:$J,29)</f>
        <v>6</v>
      </c>
      <c r="C36" s="59">
        <v>4</v>
      </c>
      <c r="D36" s="59">
        <v>3</v>
      </c>
      <c r="E36" s="59">
        <v>1</v>
      </c>
      <c r="F36" s="59">
        <v>4</v>
      </c>
      <c r="G36" s="59">
        <v>6</v>
      </c>
      <c r="H36" s="59">
        <v>5</v>
      </c>
      <c r="I36" s="59">
        <v>4</v>
      </c>
      <c r="J36" s="59">
        <v>3</v>
      </c>
      <c r="K36" s="59">
        <v>10</v>
      </c>
      <c r="L36" s="59">
        <v>7</v>
      </c>
      <c r="M36" s="59">
        <v>5</v>
      </c>
    </row>
    <row r="37" spans="1:13" s="8" customFormat="1" ht="11.25" customHeight="1">
      <c r="A37" s="10" t="s">
        <v>3</v>
      </c>
      <c r="B37" s="59">
        <f>COUNTIFS(Jan!$B:$B,2124,Jan!$J:$J,13)</f>
        <v>5</v>
      </c>
      <c r="C37" s="59">
        <v>12</v>
      </c>
      <c r="D37" s="59">
        <v>11</v>
      </c>
      <c r="E37" s="59">
        <v>11</v>
      </c>
      <c r="F37" s="59">
        <v>3</v>
      </c>
      <c r="G37" s="59">
        <v>6</v>
      </c>
      <c r="H37" s="59">
        <v>8</v>
      </c>
      <c r="I37" s="59">
        <v>7</v>
      </c>
      <c r="J37" s="59">
        <v>10</v>
      </c>
      <c r="K37" s="59">
        <v>2</v>
      </c>
      <c r="L37" s="59">
        <v>6</v>
      </c>
      <c r="M37" s="59">
        <v>3</v>
      </c>
    </row>
    <row r="38" spans="1:13" s="8" customFormat="1" ht="11.25" customHeight="1">
      <c r="A38" s="9" t="s">
        <v>218</v>
      </c>
      <c r="B38" s="59">
        <f>COUNTIFS(Jan!$B:$B,2124,Jan!$J:$J,43)</f>
        <v>9</v>
      </c>
      <c r="C38" s="59">
        <v>1</v>
      </c>
      <c r="D38" s="59">
        <v>4</v>
      </c>
      <c r="E38" s="59">
        <v>3</v>
      </c>
      <c r="F38" s="59">
        <v>2</v>
      </c>
      <c r="G38" s="59">
        <v>6</v>
      </c>
      <c r="H38" s="59">
        <v>5</v>
      </c>
      <c r="I38" s="59">
        <v>5</v>
      </c>
      <c r="J38" s="59">
        <v>4</v>
      </c>
      <c r="K38" s="59">
        <v>6</v>
      </c>
      <c r="L38" s="59">
        <v>5</v>
      </c>
      <c r="M38" s="59">
        <v>7</v>
      </c>
    </row>
    <row r="39" spans="1:13" s="8" customFormat="1" ht="11.25" customHeight="1">
      <c r="A39" s="10" t="s">
        <v>25</v>
      </c>
      <c r="B39" s="59">
        <f>COUNTIFS(Jan!$B:$B,2124,Jan!$J:$J,24)</f>
        <v>6</v>
      </c>
      <c r="C39" s="59">
        <v>7</v>
      </c>
      <c r="D39" s="59">
        <v>5</v>
      </c>
      <c r="E39" s="59">
        <v>15</v>
      </c>
      <c r="F39" s="59">
        <v>9</v>
      </c>
      <c r="G39" s="59">
        <v>18</v>
      </c>
      <c r="H39" s="59">
        <v>10</v>
      </c>
      <c r="I39" s="59">
        <v>6</v>
      </c>
      <c r="J39" s="59">
        <v>14</v>
      </c>
      <c r="K39" s="59">
        <v>9</v>
      </c>
      <c r="L39" s="59">
        <v>7</v>
      </c>
      <c r="M39" s="59">
        <v>12</v>
      </c>
    </row>
    <row r="40" spans="1:13" s="8" customFormat="1" ht="11.25" customHeight="1">
      <c r="A40" s="10" t="s">
        <v>34</v>
      </c>
      <c r="B40" s="59">
        <f>COUNTIFS(Jan!$B:$B,2124,Jan!$J:$J,9)</f>
        <v>0</v>
      </c>
      <c r="C40" s="59">
        <f>COUNTIFS(Feb!$B:$B,2124,Feb!$J:$J,9)</f>
        <v>0</v>
      </c>
      <c r="D40" s="59">
        <f>COUNTIFS(Mar!$B:$B,2124,Mar!$J:$J,9)</f>
        <v>0</v>
      </c>
      <c r="E40" s="59">
        <f>COUNTIFS(Apr!$B:$B,2124,Apr!$J:$J,9)</f>
        <v>0</v>
      </c>
      <c r="F40" s="59">
        <f>COUNTIFS(May!$B:$B,2124,May!$J:$J,9)</f>
        <v>0</v>
      </c>
      <c r="G40" s="59">
        <f>COUNTIFS(Jun!$B:$B,2124,Jun!$J:$J,9)</f>
        <v>0</v>
      </c>
      <c r="H40" s="59">
        <f>COUNTIFS(Jul!$B:$B,2124,Jul!$J:$J,9)</f>
        <v>0</v>
      </c>
      <c r="I40" s="59">
        <f>COUNTIFS(Aug!$B:$B,2124,Aug!$J:$J,9)</f>
        <v>0</v>
      </c>
      <c r="J40" s="59">
        <f>COUNTIFS(Sep!$B:$B,2124,Sep!$J:$J,9)</f>
        <v>0</v>
      </c>
      <c r="K40" s="59">
        <f>COUNTIFS(Oct!$B:$B,2124,Oct!$J:$J,9)</f>
        <v>0</v>
      </c>
      <c r="L40" s="59">
        <f>COUNTIFS(Nov!$B:$B,2124,Nov!$J:$J,9)</f>
        <v>0</v>
      </c>
      <c r="M40" s="59">
        <v>0</v>
      </c>
    </row>
    <row r="41" spans="1:13" s="8" customFormat="1" ht="11.25" customHeight="1">
      <c r="A41" s="10" t="s">
        <v>31</v>
      </c>
      <c r="B41" s="59">
        <f>COUNTIFS(Jan!$B:$B,2124,Jan!$J:$J,10)</f>
        <v>0</v>
      </c>
      <c r="C41" s="59">
        <f>COUNTIFS(Feb!$B:$B,2124,Feb!$J:$J,10)</f>
        <v>0</v>
      </c>
      <c r="D41" s="59">
        <f>COUNTIFS(Mar!$B:$B,2124,Mar!$J:$J,10)</f>
        <v>0</v>
      </c>
      <c r="E41" s="59">
        <f>COUNTIFS(Apr!$B:$B,2124,Apr!$J:$J,10)</f>
        <v>0</v>
      </c>
      <c r="F41" s="59">
        <v>3</v>
      </c>
      <c r="G41" s="59">
        <v>4</v>
      </c>
      <c r="H41" s="59">
        <v>6</v>
      </c>
      <c r="I41" s="59">
        <v>7</v>
      </c>
      <c r="J41" s="59">
        <v>1</v>
      </c>
      <c r="K41" s="59">
        <v>1</v>
      </c>
      <c r="L41" s="59">
        <v>3</v>
      </c>
      <c r="M41" s="59">
        <v>0</v>
      </c>
    </row>
    <row r="42" spans="1:13" s="8" customFormat="1" ht="11.25" customHeight="1">
      <c r="A42" s="10" t="s">
        <v>144</v>
      </c>
      <c r="B42" s="59">
        <f>COUNTIFS(Jan!$B:$B,2124,Jan!$F:$F,462)</f>
        <v>1</v>
      </c>
      <c r="C42" s="59">
        <f>COUNTIFS(Feb!$B:$B,2124,Feb!$F:$F,462)</f>
        <v>0</v>
      </c>
      <c r="D42" s="59">
        <f>COUNTIFS(Mar!$B:$B,2124,Mar!$F:$F,462)</f>
        <v>0</v>
      </c>
      <c r="E42" s="59">
        <f>COUNTIFS(Apr!$B:$B,2124,Apr!$F:$F,462)</f>
        <v>0</v>
      </c>
      <c r="F42" s="59">
        <f>COUNTIFS(May!$B:$B,2124,May!$F:$F,462)</f>
        <v>0</v>
      </c>
      <c r="G42" s="59">
        <v>1</v>
      </c>
      <c r="H42" s="59">
        <v>1</v>
      </c>
      <c r="I42" s="59">
        <f>COUNTIFS(Aug!$B:$B,2124,Aug!$F:$F,462)</f>
        <v>0</v>
      </c>
      <c r="J42" s="59">
        <f>COUNTIFS(Sep!$B:$B,2124,Sep!$F:$F,462)</f>
        <v>0</v>
      </c>
      <c r="K42" s="59">
        <f>COUNTIFS(Oct!$B:$B,2124,Oct!$F:$F,462)</f>
        <v>0</v>
      </c>
      <c r="L42" s="59">
        <f>COUNTIFS(Nov!$B:$B,2124,Nov!$F:$F,462)</f>
        <v>0</v>
      </c>
      <c r="M42" s="59">
        <v>0</v>
      </c>
    </row>
    <row r="43" spans="1:13" s="8" customFormat="1" ht="11.25" customHeight="1">
      <c r="A43" s="10" t="s">
        <v>1</v>
      </c>
      <c r="B43" s="59">
        <f>COUNTIFS(Jan!$B:$B,2124,Jan!$J:$J,11)</f>
        <v>0</v>
      </c>
      <c r="C43" s="59">
        <f>COUNTIFS(Feb!$B:$B,2124,Feb!$J:$J,11)</f>
        <v>0</v>
      </c>
      <c r="D43" s="59">
        <f>COUNTIFS(Mar!$B:$B,2124,Mar!$J:$J,11)</f>
        <v>0</v>
      </c>
      <c r="E43" s="59">
        <v>3</v>
      </c>
      <c r="F43" s="59">
        <f>COUNTIFS(May!$B:$B,2124,May!$J:$J,11)</f>
        <v>0</v>
      </c>
      <c r="G43" s="59">
        <v>2</v>
      </c>
      <c r="H43" s="59">
        <f>COUNTIFS(Jul!$B:$B,2124,Jul!$J:$J,11)</f>
        <v>0</v>
      </c>
      <c r="I43" s="59">
        <f>COUNTIFS(Aug!$B:$B,2124,Aug!$J:$J,11)</f>
        <v>0</v>
      </c>
      <c r="J43" s="59">
        <v>2</v>
      </c>
      <c r="K43" s="59">
        <v>2</v>
      </c>
      <c r="L43" s="59">
        <f>COUNTIFS(Nov!$B:$B,2124,Nov!$J:$J,11)</f>
        <v>0</v>
      </c>
      <c r="M43" s="59">
        <v>0</v>
      </c>
    </row>
    <row r="44" spans="1:13" s="8" customFormat="1" ht="11.25" customHeight="1">
      <c r="A44" s="10" t="s">
        <v>26</v>
      </c>
      <c r="B44" s="59">
        <f>COUNTIFS(Jan!$B:$B,2124,Jan!$J:$J,20)</f>
        <v>0</v>
      </c>
      <c r="C44" s="59">
        <f>COUNTIFS(Feb!$B:$B,2124,Feb!$J:$J,20)</f>
        <v>0</v>
      </c>
      <c r="D44" s="59">
        <f>COUNTIFS(Mar!$B:$B,2124,Mar!$J:$J,20)</f>
        <v>0</v>
      </c>
      <c r="E44" s="59">
        <f>COUNTIFS(Apr!$B:$B,2124,Apr!$J:$J,20)</f>
        <v>0</v>
      </c>
      <c r="F44" s="59">
        <f>COUNTIFS(May!$B:$B,2124,May!$J:$J,20)</f>
        <v>0</v>
      </c>
      <c r="G44" s="59">
        <f>COUNTIFS(Jun!$B:$B,2124,Jun!$J:$J,20)</f>
        <v>0</v>
      </c>
      <c r="H44" s="59">
        <v>2</v>
      </c>
      <c r="I44" s="59">
        <f>COUNTIFS(Aug!$B:$B,2124,Aug!$J:$J,20)</f>
        <v>0</v>
      </c>
      <c r="J44" s="59">
        <f>COUNTIFS(Sep!$B:$B,2124,Sep!$J:$J,20)</f>
        <v>0</v>
      </c>
      <c r="K44" s="59">
        <f>COUNTIFS(Oct!$B:$B,2124,Oct!$J:$J,20)</f>
        <v>0</v>
      </c>
      <c r="L44" s="59">
        <f>COUNTIFS(Nov!$B:$B,2124,Nov!$J:$J,20)</f>
        <v>0</v>
      </c>
      <c r="M44" s="59">
        <v>0</v>
      </c>
    </row>
    <row r="45" spans="1:13" s="8" customFormat="1" ht="11.25" customHeight="1">
      <c r="A45" s="10" t="s">
        <v>32</v>
      </c>
      <c r="B45" s="59">
        <f>COUNTIFS(Jan!$B:$B,2124,Jan!$J:$J,2)</f>
        <v>8</v>
      </c>
      <c r="C45" s="59">
        <v>12</v>
      </c>
      <c r="D45" s="59">
        <v>6</v>
      </c>
      <c r="E45" s="59">
        <v>9</v>
      </c>
      <c r="F45" s="59">
        <v>18</v>
      </c>
      <c r="G45" s="59">
        <v>7</v>
      </c>
      <c r="H45" s="59">
        <v>10</v>
      </c>
      <c r="I45" s="59">
        <v>10</v>
      </c>
      <c r="J45" s="59">
        <v>17</v>
      </c>
      <c r="K45" s="59">
        <v>4</v>
      </c>
      <c r="L45" s="59">
        <v>15</v>
      </c>
      <c r="M45" s="59">
        <v>12</v>
      </c>
    </row>
    <row r="46" spans="1:13" s="8" customFormat="1" ht="11.25" customHeight="1">
      <c r="A46" s="10" t="s">
        <v>28</v>
      </c>
      <c r="B46" s="59">
        <f>COUNTIFS(Jan!$B:$B,2124,Jan!$J:$J,1700)+COUNTIFS(Jan!$B:$B,2124,Jan!$F:$F,1700)+COUNTIFS(Jan!$B:$B,2124,Jan!$J:$J,19)</f>
        <v>0</v>
      </c>
      <c r="C46" s="59">
        <f>COUNTIFS(Feb!$B:$B,2124,Feb!$J:$J,1700)+COUNTIFS(Feb!$B:$B,2124,Feb!$F:$F,1700)+COUNTIFS(Feb!$B:$B,2124,Feb!$J:$J,19)</f>
        <v>0</v>
      </c>
      <c r="D46" s="59">
        <f>COUNTIFS(Mar!$B:$B,2124,Mar!$J:$J,1700)+COUNTIFS(Mar!$B:$B,2124,Mar!$F:$F,1700)+COUNTIFS(Mar!$B:$B,2124,Mar!$J:$J,19)</f>
        <v>0</v>
      </c>
      <c r="E46" s="59">
        <f>COUNTIFS(Apr!$B:$B,2124,Apr!$J:$J,1700)+COUNTIFS(Apr!$B:$B,2124,Apr!$F:$F,1700)+COUNTIFS(Apr!$B:$B,2124,Apr!$J:$J,19)</f>
        <v>0</v>
      </c>
      <c r="F46" s="59">
        <f>COUNTIFS(May!$B:$B,2124,May!$J:$J,1700)+COUNTIFS(May!$B:$B,2124,May!$F:$F,1700)+COUNTIFS(May!$B:$B,2124,May!$J:$J,19)</f>
        <v>0</v>
      </c>
      <c r="G46" s="59">
        <f>COUNTIFS(Jun!$B:$B,2124,Jun!$J:$J,1700)+COUNTIFS(Jun!$B:$B,2124,Jun!$F:$F,1700)+COUNTIFS(Jun!$B:$B,2124,Jun!$J:$J,19)</f>
        <v>0</v>
      </c>
      <c r="H46" s="59">
        <f>COUNTIFS(Jul!$B:$B,2124,Jul!$J:$J,1700)+COUNTIFS(Jul!$B:$B,2124,Jul!$F:$F,1700)+COUNTIFS(Jul!$B:$B,2124,Jul!$J:$J,19)</f>
        <v>0</v>
      </c>
      <c r="I46" s="59">
        <f>COUNTIFS(Aug!$B:$B,2124,Aug!$J:$J,1700)+COUNTIFS(Aug!$B:$B,2124,Aug!$F:$F,1700)+COUNTIFS(Aug!$B:$B,2124,Aug!$J:$J,19)</f>
        <v>0</v>
      </c>
      <c r="J46" s="59">
        <f>COUNTIFS(Sep!$B:$B,2124,Sep!$J:$J,1700)+COUNTIFS(Sep!$B:$B,2124,Sep!$F:$F,1700)+COUNTIFS(Sep!$B:$B,2124,Sep!$J:$J,19)</f>
        <v>0</v>
      </c>
      <c r="K46" s="59">
        <f>COUNTIFS(Oct!$B:$B,2124,Oct!$J:$J,1700)+COUNTIFS(Oct!$B:$B,2124,Oct!$F:$F,1700)+COUNTIFS(Oct!$B:$B,2124,Oct!$J:$J,19)</f>
        <v>0</v>
      </c>
      <c r="L46" s="59">
        <v>2</v>
      </c>
      <c r="M46" s="59">
        <v>1</v>
      </c>
    </row>
    <row r="47" spans="1:13" s="8" customFormat="1" ht="11.25" customHeight="1">
      <c r="A47" s="10" t="s">
        <v>0</v>
      </c>
      <c r="B47" s="59">
        <f>COUNTIFS(Jan!$B:$B,2124,Jan!$J:$J,3)</f>
        <v>2</v>
      </c>
      <c r="C47" s="59">
        <v>3</v>
      </c>
      <c r="D47" s="59">
        <v>2</v>
      </c>
      <c r="E47" s="59">
        <f>COUNTIFS(Apr!$B:$B,2124,Apr!$J:$J,3)</f>
        <v>0</v>
      </c>
      <c r="F47" s="59">
        <v>5</v>
      </c>
      <c r="G47" s="59">
        <v>3</v>
      </c>
      <c r="H47" s="59">
        <v>6</v>
      </c>
      <c r="I47" s="59">
        <v>3</v>
      </c>
      <c r="J47" s="59">
        <v>1</v>
      </c>
      <c r="K47" s="59">
        <v>1</v>
      </c>
      <c r="L47" s="59">
        <v>1</v>
      </c>
      <c r="M47" s="59">
        <v>4</v>
      </c>
    </row>
    <row r="48" spans="1:13" s="8" customFormat="1" ht="11.25" customHeight="1">
      <c r="A48" s="10" t="s">
        <v>35</v>
      </c>
      <c r="B48" s="59">
        <f>COUNTIFS(Jan!$B:$B,2124,Jan!$J:$J,7400)</f>
        <v>0</v>
      </c>
      <c r="C48" s="59">
        <f>COUNTIFS(Feb!$B:$B,2124,Feb!$J:$J,7400)</f>
        <v>0</v>
      </c>
      <c r="D48" s="59">
        <f>COUNTIFS(Mar!$B:$B,2124,Mar!$J:$J,7400)</f>
        <v>0</v>
      </c>
      <c r="E48" s="59">
        <f>COUNTIFS(Apr!$B:$B,2124,Apr!$J:$J,7400)</f>
        <v>0</v>
      </c>
      <c r="F48" s="59">
        <f>COUNTIFS(May!$B:$B,2124,May!$J:$J,7400)</f>
        <v>0</v>
      </c>
      <c r="G48" s="59">
        <f>COUNTIFS(Jun!$B:$B,2124,Jun!$J:$J,7400)</f>
        <v>0</v>
      </c>
      <c r="H48" s="59">
        <f>COUNTIFS(Jul!$B:$B,2124,Jul!$J:$J,7400)</f>
        <v>0</v>
      </c>
      <c r="I48" s="59">
        <f>COUNTIFS(Aug!$B:$B,2124,Aug!$J:$J,7400)</f>
        <v>0</v>
      </c>
      <c r="J48" s="59">
        <f>COUNTIFS(Sep!$B:$B,2124,Sep!$J:$J,7400)</f>
        <v>0</v>
      </c>
      <c r="K48" s="59">
        <f>COUNTIFS(Oct!$B:$B,2124,Oct!$J:$J,7400)</f>
        <v>0</v>
      </c>
      <c r="L48" s="59">
        <f>COUNTIFS(Nov!$B:$B,2124,Nov!$J:$J,7400)</f>
        <v>0</v>
      </c>
      <c r="M48" s="59">
        <v>0</v>
      </c>
    </row>
    <row r="49" spans="1:13" s="8" customFormat="1" ht="11.25" customHeight="1">
      <c r="A49" s="10" t="s">
        <v>2</v>
      </c>
      <c r="B49" s="59">
        <f>COUNTIFS(Jan!$B:$B,2124,Jan!$J:$J,14)</f>
        <v>1</v>
      </c>
      <c r="C49" s="59">
        <v>1</v>
      </c>
      <c r="D49" s="59">
        <v>1</v>
      </c>
      <c r="E49" s="59">
        <v>1</v>
      </c>
      <c r="F49" s="59">
        <v>1</v>
      </c>
      <c r="G49" s="59">
        <v>1</v>
      </c>
      <c r="H49" s="59">
        <v>1</v>
      </c>
      <c r="I49" s="59">
        <v>1</v>
      </c>
      <c r="J49" s="59">
        <v>1</v>
      </c>
      <c r="K49" s="59">
        <f>COUNTIFS(Oct!$B:$B,2124,Oct!$J:$J,14)</f>
        <v>0</v>
      </c>
      <c r="L49" s="59">
        <v>2</v>
      </c>
      <c r="M49" s="59">
        <v>1</v>
      </c>
    </row>
    <row r="50" spans="1:13" s="8" customFormat="1" ht="11.25" customHeight="1">
      <c r="A50" s="10" t="s">
        <v>142</v>
      </c>
      <c r="B50" s="59">
        <f>COUNTIFS(Jan!$B:$B,2124,Jan!$F:$F,466)</f>
        <v>3</v>
      </c>
      <c r="C50" s="59">
        <v>2</v>
      </c>
      <c r="D50" s="59">
        <v>3</v>
      </c>
      <c r="E50" s="59">
        <f>COUNTIFS(Apr!$B:$B,2124,Apr!$F:$F,466)</f>
        <v>0</v>
      </c>
      <c r="F50" s="59">
        <f>COUNTIFS(May!$B:$B,2124,May!$F:$F,466)</f>
        <v>0</v>
      </c>
      <c r="G50" s="59">
        <f>COUNTIFS(Jun!$B:$B,2124,Jun!$F:$F,466)</f>
        <v>0</v>
      </c>
      <c r="H50" s="59">
        <f>COUNTIFS(Jul!$B:$B,2124,Jul!$F:$F,466)</f>
        <v>0</v>
      </c>
      <c r="I50" s="59">
        <f>COUNTIFS(Aug!$B:$B,2124,Aug!$F:$F,466)</f>
        <v>0</v>
      </c>
      <c r="J50" s="59">
        <v>1</v>
      </c>
      <c r="K50" s="59">
        <f>COUNTIFS(Oct!$B:$B,2124,Oct!$F:$F,466)</f>
        <v>0</v>
      </c>
      <c r="L50" s="59">
        <v>1</v>
      </c>
      <c r="M50" s="59">
        <v>7</v>
      </c>
    </row>
    <row r="51" spans="1:13" s="8" customFormat="1" ht="11.25" customHeight="1">
      <c r="A51" s="10" t="s">
        <v>27</v>
      </c>
      <c r="B51" s="59">
        <f>COUNTIFS(Jan!$B:$B,2124,Jan!$J:$J,25)</f>
        <v>0</v>
      </c>
      <c r="C51" s="59">
        <f>COUNTIFS(Feb!$B:$B,2124,Feb!$J:$J,25)</f>
        <v>0</v>
      </c>
      <c r="D51" s="59">
        <f>COUNTIFS(Mar!$B:$B,2124,Mar!$J:$J,25)</f>
        <v>0</v>
      </c>
      <c r="E51" s="59">
        <f>COUNTIFS(Apr!$B:$B,2124,Apr!$J:$J,25)</f>
        <v>0</v>
      </c>
      <c r="F51" s="59">
        <f>COUNTIFS(May!$B:$B,2124,May!$J:$J,25)</f>
        <v>0</v>
      </c>
      <c r="G51" s="59">
        <f>COUNTIFS(Jun!$B:$B,2124,Jun!$J:$J,25)</f>
        <v>0</v>
      </c>
      <c r="H51" s="59">
        <f>COUNTIFS(Jul!$B:$B,2124,Jul!$J:$J,25)</f>
        <v>0</v>
      </c>
      <c r="I51" s="59">
        <f>COUNTIFS(Aug!$B:$B,2124,Aug!$J:$J,25)</f>
        <v>0</v>
      </c>
      <c r="J51" s="59">
        <f>COUNTIFS(Sep!$B:$B,2124,Sep!$J:$J,25)</f>
        <v>0</v>
      </c>
      <c r="K51" s="59">
        <f>COUNTIFS(Oct!$B:$B,2124,Oct!$J:$J,25)</f>
        <v>0</v>
      </c>
      <c r="L51" s="59">
        <f>COUNTIFS(Nov!$B:$B,2124,Nov!$J:$J,25)</f>
        <v>0</v>
      </c>
      <c r="M51" s="59">
        <v>0</v>
      </c>
    </row>
    <row r="52" spans="1:13" s="8" customFormat="1" ht="11.25" customHeight="1" thickBot="1">
      <c r="A52" s="11" t="s">
        <v>16</v>
      </c>
      <c r="B52" s="60">
        <f t="shared" ref="B52:G52" si="11">SUM(B34:B51)</f>
        <v>41</v>
      </c>
      <c r="C52" s="60">
        <f t="shared" si="11"/>
        <v>42</v>
      </c>
      <c r="D52" s="60">
        <f t="shared" si="11"/>
        <v>40</v>
      </c>
      <c r="E52" s="60">
        <f t="shared" si="11"/>
        <v>45</v>
      </c>
      <c r="F52" s="60">
        <f t="shared" si="11"/>
        <v>45</v>
      </c>
      <c r="G52" s="60">
        <f t="shared" si="11"/>
        <v>56</v>
      </c>
      <c r="H52" s="60">
        <f t="shared" ref="H52:M52" si="12">SUM(H34:H51)</f>
        <v>55</v>
      </c>
      <c r="I52" s="60">
        <f t="shared" si="12"/>
        <v>43</v>
      </c>
      <c r="J52" s="60">
        <f t="shared" si="12"/>
        <v>55</v>
      </c>
      <c r="K52" s="60">
        <f t="shared" si="12"/>
        <v>35</v>
      </c>
      <c r="L52" s="159">
        <f t="shared" si="12"/>
        <v>49</v>
      </c>
      <c r="M52" s="170">
        <f t="shared" si="12"/>
        <v>55</v>
      </c>
    </row>
    <row r="53" spans="1:13" ht="12" customHeight="1" thickBot="1">
      <c r="A53" s="55" t="s">
        <v>137</v>
      </c>
      <c r="B53" s="50">
        <v>41275</v>
      </c>
      <c r="C53" s="47">
        <v>41306</v>
      </c>
      <c r="D53" s="47">
        <v>41334</v>
      </c>
      <c r="E53" s="47">
        <v>41365</v>
      </c>
      <c r="F53" s="47">
        <v>41395</v>
      </c>
      <c r="G53" s="47">
        <v>41426</v>
      </c>
      <c r="H53" s="47">
        <v>41456</v>
      </c>
      <c r="I53" s="47">
        <v>41487</v>
      </c>
      <c r="J53" s="47">
        <v>41518</v>
      </c>
      <c r="K53" s="47">
        <v>41548</v>
      </c>
      <c r="L53" s="47">
        <v>41579</v>
      </c>
      <c r="M53" s="51">
        <v>41609</v>
      </c>
    </row>
    <row r="54" spans="1:13" s="8" customFormat="1" ht="11.25" customHeight="1">
      <c r="A54" s="10" t="s">
        <v>30</v>
      </c>
      <c r="B54" s="57">
        <f>COUNTIFS(Jan!$B:$B,2124,Jan!$J:$J,7)</f>
        <v>0</v>
      </c>
      <c r="C54" s="57">
        <f>COUNTIFS(Feb!$B:$B,2124,Feb!$J:$J,7)</f>
        <v>0</v>
      </c>
      <c r="D54" s="57">
        <f>COUNTIFS(Mar!$B:$B,2124,Mar!$J:$J,7)</f>
        <v>0</v>
      </c>
      <c r="E54" s="57">
        <f>COUNTIFS(Apr!$B:$B,2124,Apr!$J:$J,7)</f>
        <v>0</v>
      </c>
      <c r="F54" s="57">
        <v>1</v>
      </c>
      <c r="G54" s="57">
        <v>2</v>
      </c>
      <c r="H54" s="57">
        <f>COUNTIFS(Jul!$B:$B,2124,Jul!$J:$J,7)</f>
        <v>0</v>
      </c>
      <c r="I54" s="57">
        <v>2</v>
      </c>
      <c r="J54" s="57">
        <v>1</v>
      </c>
      <c r="K54" s="57">
        <f>COUNTIFS(Oct!$B:$B,2124,Oct!$J:$J,7)</f>
        <v>0</v>
      </c>
      <c r="L54" s="57">
        <v>1</v>
      </c>
      <c r="M54" s="57">
        <v>0</v>
      </c>
    </row>
    <row r="55" spans="1:13" s="8" customFormat="1" ht="11.25" customHeight="1">
      <c r="A55" s="10" t="s">
        <v>29</v>
      </c>
      <c r="B55" s="59">
        <f>COUNTIFS(Jan!$B:$B,2124,Jan!$J:$J,8)</f>
        <v>0</v>
      </c>
      <c r="C55" s="59">
        <f>COUNTIFS(Feb!$B:$B,2124,Feb!$J:$J,8)</f>
        <v>0</v>
      </c>
      <c r="D55" s="59">
        <f>COUNTIFS(Mar!$B:$B,2124,Mar!$J:$J,8)</f>
        <v>0</v>
      </c>
      <c r="E55" s="59">
        <f>COUNTIFS(Apr!$B:$B,2124,Apr!$J:$J,8)</f>
        <v>0</v>
      </c>
      <c r="F55" s="59">
        <f>COUNTIFS(May!$B:$B,2124,May!$J:$J,8)</f>
        <v>0</v>
      </c>
      <c r="G55" s="59">
        <f>COUNTIFS(Jun!$B:$B,2124,Jun!$J:$J,8)</f>
        <v>0</v>
      </c>
      <c r="H55" s="59">
        <f>COUNTIFS(Jul!$B:$B,2124,Jul!$J:$J,8)</f>
        <v>0</v>
      </c>
      <c r="I55" s="59">
        <f>COUNTIFS(Aug!$B:$B,2124,Aug!$J:$J,8)</f>
        <v>0</v>
      </c>
      <c r="J55" s="59">
        <f>COUNTIFS(Sep!$B:$B,2124,Sep!$J:$J,8)</f>
        <v>0</v>
      </c>
      <c r="K55" s="59">
        <f>COUNTIFS(Oct!$B:$B,2124,Oct!$J:$J,8)</f>
        <v>0</v>
      </c>
      <c r="L55" s="59">
        <f>COUNTIFS(Nov!$B:$B,2124,Nov!$J:$J,8)</f>
        <v>0</v>
      </c>
      <c r="M55" s="59">
        <v>0</v>
      </c>
    </row>
    <row r="56" spans="1:13" s="8" customFormat="1" ht="11.25" customHeight="1">
      <c r="A56" s="10" t="s">
        <v>7</v>
      </c>
      <c r="B56" s="59">
        <f>COUNTIFS(Jan!$B:$B,2124,Jan!$J:$J,12)</f>
        <v>0</v>
      </c>
      <c r="C56" s="59">
        <f>COUNTIFS(Feb!$B:$B,2124,Feb!$J:$J,12)</f>
        <v>0</v>
      </c>
      <c r="D56" s="59">
        <f>COUNTIFS(Mar!$B:$B,2124,Mar!$J:$J,12)</f>
        <v>0</v>
      </c>
      <c r="E56" s="59">
        <f>COUNTIFS(Apr!$B:$B,2124,Apr!$J:$J,12)</f>
        <v>0</v>
      </c>
      <c r="F56" s="59">
        <f>COUNTIFS(May!$B:$B,2124,May!$J:$J,12)</f>
        <v>0</v>
      </c>
      <c r="G56" s="59">
        <v>3</v>
      </c>
      <c r="H56" s="59">
        <v>1</v>
      </c>
      <c r="I56" s="59">
        <f>COUNTIFS(Aug!$B:$B,2124,Aug!$J:$J,12)</f>
        <v>0</v>
      </c>
      <c r="J56" s="59">
        <f>COUNTIFS(Sep!$B:$B,2124,Sep!$J:$J,12)</f>
        <v>0</v>
      </c>
      <c r="K56" s="59">
        <f>COUNTIFS(Oct!$B:$B,2124,Oct!$J:$J,12)</f>
        <v>0</v>
      </c>
      <c r="L56" s="59">
        <f>COUNTIFS(Nov!$B:$B,2124,Nov!$J:$J,12)</f>
        <v>0</v>
      </c>
      <c r="M56" s="59">
        <v>0</v>
      </c>
    </row>
    <row r="57" spans="1:13" s="8" customFormat="1" ht="11.25" customHeight="1">
      <c r="A57" s="10" t="s">
        <v>10</v>
      </c>
      <c r="B57" s="59">
        <f>COUNTIFS(Jan!$B:$B,2124,Jan!$J:$J,5100)</f>
        <v>0</v>
      </c>
      <c r="C57" s="59">
        <f>COUNTIFS(Feb!$B:$B,2124,Feb!$J:$J,5100)</f>
        <v>0</v>
      </c>
      <c r="D57" s="59">
        <f>COUNTIFS(Mar!$B:$B,2124,Mar!$J:$J,5100)</f>
        <v>0</v>
      </c>
      <c r="E57" s="59">
        <f>COUNTIFS(Apr!$B:$B,2124,Apr!$J:$J,5100)</f>
        <v>0</v>
      </c>
      <c r="F57" s="59">
        <f>COUNTIFS(May!$B:$B,2124,May!$J:$J,5100)</f>
        <v>0</v>
      </c>
      <c r="G57" s="59">
        <f>COUNTIFS(Jun!$B:$B,2124,Jun!$J:$J,5100)</f>
        <v>0</v>
      </c>
      <c r="H57" s="59">
        <f>COUNTIFS(Jul!$B:$B,2124,Jul!$J:$J,5100)</f>
        <v>0</v>
      </c>
      <c r="I57" s="59">
        <f>COUNTIFS(Aug!$B:$B,2124,Aug!$J:$J,5100)</f>
        <v>0</v>
      </c>
      <c r="J57" s="59">
        <f>COUNTIFS(Sep!$B:$B,2124,Sep!$J:$J,5100)</f>
        <v>0</v>
      </c>
      <c r="K57" s="59">
        <f>COUNTIFS(Oct!$B:$B,2124,Oct!$J:$J,5100)</f>
        <v>0</v>
      </c>
      <c r="L57" s="59">
        <v>1</v>
      </c>
      <c r="M57" s="59">
        <v>0</v>
      </c>
    </row>
    <row r="58" spans="1:13" s="8" customFormat="1" ht="11.25" customHeight="1">
      <c r="A58" s="10" t="s">
        <v>36</v>
      </c>
      <c r="B58" s="59">
        <f>COUNTIFS(Jan!$B:$B,2124,Jan!$J:$J,6200)</f>
        <v>0</v>
      </c>
      <c r="C58" s="59">
        <f>COUNTIFS(Feb!$B:$B,2124,Feb!$J:$J,6200)</f>
        <v>0</v>
      </c>
      <c r="D58" s="59">
        <f>COUNTIFS(Mar!$B:$B,2124,Mar!$J:$J,6200)</f>
        <v>0</v>
      </c>
      <c r="E58" s="59">
        <f>COUNTIFS(Apr!$B:$B,2124,Apr!$J:$J,6200)</f>
        <v>0</v>
      </c>
      <c r="F58" s="59">
        <f>COUNTIFS(May!$B:$B,2124,May!$J:$J,6200)</f>
        <v>0</v>
      </c>
      <c r="G58" s="59">
        <f>COUNTIFS(Jun!$B:$B,2124,Jun!$J:$J,6200)</f>
        <v>0</v>
      </c>
      <c r="H58" s="59">
        <f>COUNTIFS(Jul!$B:$B,2124,Jul!$J:$J,6200)</f>
        <v>0</v>
      </c>
      <c r="I58" s="59">
        <f>COUNTIFS(Aug!$B:$B,2124,Aug!$J:$J,6200)</f>
        <v>0</v>
      </c>
      <c r="J58" s="59">
        <f>COUNTIFS(Sep!$B:$B,2124,Sep!$J:$J,6200)</f>
        <v>0</v>
      </c>
      <c r="K58" s="59">
        <f>COUNTIFS(Oct!$B:$B,2124,Oct!$J:$J,6200)</f>
        <v>0</v>
      </c>
      <c r="L58" s="59">
        <f>COUNTIFS(Nov!$B:$B,2124,Nov!$J:$J,6200)</f>
        <v>0</v>
      </c>
      <c r="M58" s="59">
        <v>0</v>
      </c>
    </row>
    <row r="59" spans="1:13" s="8" customFormat="1" ht="11.25" customHeight="1">
      <c r="A59" s="10" t="s">
        <v>145</v>
      </c>
      <c r="B59" s="59">
        <f>COUNTIFS(Jan!$B:$B,2124,Jan!$J:$J,28)</f>
        <v>0</v>
      </c>
      <c r="C59" s="59">
        <f>COUNTIFS(Feb!$B:$B,2124,Feb!$J:$J,28)</f>
        <v>0</v>
      </c>
      <c r="D59" s="59">
        <f>COUNTIFS(Mar!$B:$B,2124,Mar!$J:$J,28)</f>
        <v>0</v>
      </c>
      <c r="E59" s="59">
        <f>COUNTIFS(Apr!$B:$B,2124,Apr!$J:$J,28)</f>
        <v>0</v>
      </c>
      <c r="F59" s="59">
        <f>COUNTIFS(May!$B:$B,2124,May!$J:$J,28)</f>
        <v>0</v>
      </c>
      <c r="G59" s="59">
        <f>COUNTIFS(Jun!$B:$B,2124,Jun!$J:$J,28)</f>
        <v>0</v>
      </c>
      <c r="H59" s="59">
        <f>COUNTIFS(Jul!$B:$B,2124,Jul!$J:$J,28)</f>
        <v>0</v>
      </c>
      <c r="I59" s="59">
        <f>COUNTIFS(Aug!$B:$B,2124,Aug!$J:$J,28)</f>
        <v>0</v>
      </c>
      <c r="J59" s="59">
        <f>COUNTIFS(Sep!$B:$B,2124,Sep!$J:$J,28)</f>
        <v>0</v>
      </c>
      <c r="K59" s="59">
        <f>COUNTIFS(Oct!$B:$B,2124,Oct!$J:$J,28)</f>
        <v>0</v>
      </c>
      <c r="L59" s="59">
        <f>COUNTIFS(Nov!$B:$B,2124,Nov!$J:$J,28)</f>
        <v>0</v>
      </c>
      <c r="M59" s="59">
        <v>0</v>
      </c>
    </row>
    <row r="60" spans="1:13" s="8" customFormat="1" ht="11.25" customHeight="1">
      <c r="A60" s="10" t="s">
        <v>38</v>
      </c>
      <c r="B60" s="59">
        <f>COUNTIFS(Jan!$B:$B,2124,Jan!$J:$J,6100)</f>
        <v>0</v>
      </c>
      <c r="C60" s="59">
        <f>COUNTIFS(Feb!$B:$B,2124,Feb!$J:$J,6100)</f>
        <v>0</v>
      </c>
      <c r="D60" s="59">
        <f>COUNTIFS(Mar!$B:$B,2124,Mar!$J:$J,6100)</f>
        <v>0</v>
      </c>
      <c r="E60" s="59">
        <f>COUNTIFS(Apr!$B:$B,2124,Apr!$J:$J,6100)</f>
        <v>0</v>
      </c>
      <c r="F60" s="59">
        <v>1</v>
      </c>
      <c r="G60" s="59">
        <v>1</v>
      </c>
      <c r="H60" s="59">
        <v>2</v>
      </c>
      <c r="I60" s="59">
        <f>COUNTIFS(Aug!$B:$B,2124,Aug!$J:$J,6100)</f>
        <v>0</v>
      </c>
      <c r="J60" s="59">
        <f>COUNTIFS(Sep!$B:$B,2124,Sep!$J:$J,6100)</f>
        <v>0</v>
      </c>
      <c r="K60" s="59">
        <f>COUNTIFS(Oct!$B:$B,2124,Oct!$J:$J,6100)</f>
        <v>0</v>
      </c>
      <c r="L60" s="59">
        <f>COUNTIFS(Nov!$B:$B,2124,Nov!$J:$J,6100)</f>
        <v>0</v>
      </c>
      <c r="M60" s="59">
        <v>0</v>
      </c>
    </row>
    <row r="61" spans="1:13" s="8" customFormat="1" ht="11.25" customHeight="1">
      <c r="A61" s="10" t="s">
        <v>9</v>
      </c>
      <c r="B61" s="59">
        <f>COUNTIFS(Jan!$B:$B,2124,Jan!$J:$J,6)</f>
        <v>0</v>
      </c>
      <c r="C61" s="59">
        <f>COUNTIFS(Feb!$B:$B,2124,Feb!$J:$J,6)</f>
        <v>0</v>
      </c>
      <c r="D61" s="59">
        <f>COUNTIFS(Mar!$B:$B,2124,Mar!$J:$J,6)</f>
        <v>0</v>
      </c>
      <c r="E61" s="59">
        <f>COUNTIFS(Apr!$B:$B,2124,Apr!$J:$J,6)</f>
        <v>0</v>
      </c>
      <c r="F61" s="59">
        <f>COUNTIFS(May!$B:$B,2124,May!$J:$J,6)</f>
        <v>0</v>
      </c>
      <c r="G61" s="59">
        <f>COUNTIFS(Jun!$B:$B,2124,Jun!$J:$J,6)</f>
        <v>0</v>
      </c>
      <c r="H61" s="59">
        <f>COUNTIFS(Jul!$B:$B,2124,Jul!$J:$J,6)</f>
        <v>0</v>
      </c>
      <c r="I61" s="59">
        <f>COUNTIFS(Aug!$B:$B,2124,Aug!$J:$J,6)</f>
        <v>0</v>
      </c>
      <c r="J61" s="59">
        <f>COUNTIFS(Sep!$B:$B,2124,Sep!$J:$J,6)</f>
        <v>0</v>
      </c>
      <c r="K61" s="59">
        <f>COUNTIFS(Oct!$B:$B,2124,Oct!$J:$J,6)</f>
        <v>0</v>
      </c>
      <c r="L61" s="59">
        <f>COUNTIFS(Nov!$B:$B,2124,Nov!$J:$J,6)</f>
        <v>0</v>
      </c>
      <c r="M61" s="59">
        <v>0</v>
      </c>
    </row>
    <row r="62" spans="1:13" s="8" customFormat="1" ht="11.25" customHeight="1">
      <c r="A62" s="10" t="s">
        <v>8</v>
      </c>
      <c r="B62" s="59">
        <f>COUNTIFS(Jan!$B:$B,2124,Jan!$J:$J,4)</f>
        <v>2</v>
      </c>
      <c r="C62" s="59">
        <v>1</v>
      </c>
      <c r="D62" s="59">
        <v>1</v>
      </c>
      <c r="E62" s="59">
        <f>COUNTIFS(Apr!$B:$B,2124,Apr!$J:$J,4)</f>
        <v>0</v>
      </c>
      <c r="F62" s="59">
        <v>1</v>
      </c>
      <c r="G62" s="59">
        <f>COUNTIFS(Jun!$B:$B,2124,Jun!$J:$J,4)</f>
        <v>0</v>
      </c>
      <c r="H62" s="59">
        <f>COUNTIFS(Jul!$B:$B,2124,Jul!$J:$J,4)</f>
        <v>0</v>
      </c>
      <c r="I62" s="59">
        <v>1</v>
      </c>
      <c r="J62" s="59">
        <f>COUNTIFS(Sep!$B:$B,2124,Sep!$J:$J,4)</f>
        <v>0</v>
      </c>
      <c r="K62" s="59">
        <v>1</v>
      </c>
      <c r="L62" s="59">
        <f>COUNTIFS(Nov!$B:$B,2124,Nov!$J:$J,4)</f>
        <v>0</v>
      </c>
      <c r="M62" s="59">
        <v>0</v>
      </c>
    </row>
    <row r="63" spans="1:13" s="8" customFormat="1" ht="11.25" customHeight="1">
      <c r="A63" s="10" t="s">
        <v>6</v>
      </c>
      <c r="B63" s="59">
        <f>COUNTIFS(Jan!$B:$B,2124,Jan!$J:$J,5)</f>
        <v>0</v>
      </c>
      <c r="C63" s="59">
        <f>COUNTIFS(Feb!$B:$B,2124,Feb!$J:$J,5)</f>
        <v>0</v>
      </c>
      <c r="D63" s="59">
        <f>COUNTIFS(Mar!$B:$B,2124,Mar!$J:$J,5)</f>
        <v>0</v>
      </c>
      <c r="E63" s="59">
        <f>COUNTIFS(Apr!$B:$B,2124,Apr!$J:$J,5)</f>
        <v>0</v>
      </c>
      <c r="F63" s="59">
        <f>COUNTIFS(May!$B:$B,2124,May!$J:$J,5)</f>
        <v>0</v>
      </c>
      <c r="G63" s="59">
        <f>COUNTIFS(Jun!$B:$B,2124,Jun!$J:$J,5)</f>
        <v>0</v>
      </c>
      <c r="H63" s="59">
        <f>COUNTIFS(Jul!$B:$B,2124,Jul!$J:$J,5)</f>
        <v>0</v>
      </c>
      <c r="I63" s="59">
        <f>COUNTIFS(Aug!$B:$B,2124,Aug!$J:$J,5)</f>
        <v>0</v>
      </c>
      <c r="J63" s="59">
        <f>COUNTIFS(Sep!$B:$B,2124,Sep!$J:$J,5)</f>
        <v>0</v>
      </c>
      <c r="K63" s="59">
        <f>COUNTIFS(Oct!$B:$B,2124,Oct!$J:$J,5)</f>
        <v>0</v>
      </c>
      <c r="L63" s="59">
        <f>COUNTIFS(Nov!$B:$B,2124,Nov!$J:$J,5)</f>
        <v>0</v>
      </c>
      <c r="M63" s="59">
        <v>0</v>
      </c>
    </row>
    <row r="64" spans="1:13" s="8" customFormat="1" ht="11.25" customHeight="1">
      <c r="A64" s="52" t="s">
        <v>141</v>
      </c>
      <c r="B64" s="69">
        <f>COUNTIFS(Jan!$B:$B,2124,Jan!$F:$F,456)</f>
        <v>2</v>
      </c>
      <c r="C64" s="69">
        <v>2</v>
      </c>
      <c r="D64" s="69">
        <v>5</v>
      </c>
      <c r="E64" s="69">
        <f>COUNTIFS(Apr!$B:$B,2124,Apr!$F:$F,456)</f>
        <v>0</v>
      </c>
      <c r="F64" s="69">
        <f>COUNTIFS(May!$B:$B,2124,May!$F:$F,456)</f>
        <v>0</v>
      </c>
      <c r="G64" s="69">
        <v>1</v>
      </c>
      <c r="H64" s="69">
        <v>1</v>
      </c>
      <c r="I64" s="69">
        <v>1</v>
      </c>
      <c r="J64" s="69">
        <f>COUNTIFS(Sep!$B:$B,2124,Sep!$F:$F,456)</f>
        <v>0</v>
      </c>
      <c r="K64" s="69">
        <v>1</v>
      </c>
      <c r="L64" s="69">
        <v>5</v>
      </c>
      <c r="M64" s="69">
        <v>1</v>
      </c>
    </row>
    <row r="65" spans="1:13" s="8" customFormat="1" ht="11.25" customHeight="1" thickBot="1">
      <c r="A65" s="12" t="s">
        <v>16</v>
      </c>
      <c r="B65" s="70">
        <f>SUM(B54:B64)</f>
        <v>4</v>
      </c>
      <c r="C65" s="70">
        <f t="shared" ref="C65:M65" si="13">SUM(C54:C64)</f>
        <v>3</v>
      </c>
      <c r="D65" s="70">
        <f t="shared" si="13"/>
        <v>6</v>
      </c>
      <c r="E65" s="70">
        <f t="shared" si="13"/>
        <v>0</v>
      </c>
      <c r="F65" s="70">
        <f t="shared" si="13"/>
        <v>3</v>
      </c>
      <c r="G65" s="70">
        <f t="shared" si="13"/>
        <v>7</v>
      </c>
      <c r="H65" s="70">
        <f t="shared" si="13"/>
        <v>4</v>
      </c>
      <c r="I65" s="70">
        <f t="shared" si="13"/>
        <v>4</v>
      </c>
      <c r="J65" s="70">
        <f t="shared" si="13"/>
        <v>1</v>
      </c>
      <c r="K65" s="70">
        <f t="shared" si="13"/>
        <v>2</v>
      </c>
      <c r="L65" s="165">
        <f t="shared" si="13"/>
        <v>7</v>
      </c>
      <c r="M65" s="170">
        <f t="shared" si="13"/>
        <v>1</v>
      </c>
    </row>
    <row r="66" spans="1:13" s="8" customFormat="1" ht="15.75" customHeight="1">
      <c r="A66" s="6"/>
      <c r="B66" s="7"/>
      <c r="C66" s="7"/>
      <c r="D66" s="7"/>
      <c r="E66" s="7"/>
      <c r="F66" s="7"/>
      <c r="G66" s="7"/>
      <c r="H66" s="7"/>
      <c r="I66" s="7"/>
      <c r="J66" s="7"/>
      <c r="K66" s="7"/>
      <c r="L66" s="7"/>
      <c r="M66" s="7"/>
    </row>
    <row r="67" spans="1:13" ht="12" customHeight="1">
      <c r="A67" s="6"/>
      <c r="B67" s="7"/>
      <c r="C67" s="7"/>
      <c r="D67" s="7"/>
      <c r="E67" s="7"/>
      <c r="F67" s="7"/>
      <c r="G67" s="7"/>
      <c r="H67" s="7"/>
      <c r="I67" s="7"/>
      <c r="J67" s="7"/>
      <c r="K67" s="7"/>
      <c r="L67" s="7"/>
      <c r="M67" s="7"/>
    </row>
  </sheetData>
  <phoneticPr fontId="0" type="noConversion"/>
  <printOptions horizontalCentered="1" verticalCentered="1"/>
  <pageMargins left="0.14000000000000001" right="0.16" top="0.25" bottom="0.5" header="0.5" footer="0.25"/>
  <pageSetup scale="95" firstPageNumber="3" orientation="portrait" useFirstPageNumber="1" r:id="rId1"/>
  <headerFooter alignWithMargins="0">
    <oddFooter>&amp;R26 of 51</oddFooter>
  </headerFooter>
  <ignoredErrors>
    <ignoredError sqref="M32 M52 M65" formulaRange="1"/>
  </ignoredErrors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67"/>
  <sheetViews>
    <sheetView view="pageBreakPreview" topLeftCell="A16" zoomScale="90" zoomScaleNormal="100" zoomScaleSheetLayoutView="90" workbookViewId="0">
      <selection activeCell="M65" sqref="M65"/>
    </sheetView>
  </sheetViews>
  <sheetFormatPr defaultRowHeight="12.75"/>
  <cols>
    <col min="1" max="1" width="22.85546875" style="1" customWidth="1"/>
    <col min="2" max="13" width="7.140625" style="1" customWidth="1"/>
    <col min="14" max="14" width="4.42578125" style="1" customWidth="1"/>
    <col min="15" max="16384" width="9.140625" style="1"/>
  </cols>
  <sheetData>
    <row r="1" spans="1:21" ht="18" customHeight="1">
      <c r="A1" s="130"/>
      <c r="B1" s="131"/>
      <c r="C1" s="131"/>
      <c r="D1" s="131"/>
      <c r="E1" s="131"/>
      <c r="F1" s="131"/>
      <c r="G1" s="131"/>
      <c r="H1" s="130"/>
      <c r="I1" s="131"/>
      <c r="J1" s="131"/>
      <c r="K1" s="131"/>
      <c r="L1" s="130"/>
      <c r="M1" s="143" t="s">
        <v>22</v>
      </c>
    </row>
    <row r="2" spans="1:21" ht="18" customHeight="1">
      <c r="A2" s="130"/>
      <c r="B2" s="135"/>
      <c r="C2" s="135"/>
      <c r="D2" s="135"/>
      <c r="E2" s="135"/>
      <c r="F2" s="135"/>
      <c r="G2" s="135"/>
      <c r="H2" s="130"/>
      <c r="I2" s="135"/>
      <c r="J2" s="135"/>
      <c r="K2" s="135"/>
      <c r="L2" s="130"/>
      <c r="M2" s="155" t="s">
        <v>13</v>
      </c>
    </row>
    <row r="3" spans="1:21" s="5" customFormat="1" ht="18" customHeight="1">
      <c r="A3" s="133"/>
      <c r="B3" s="133"/>
      <c r="C3" s="133"/>
      <c r="D3" s="133"/>
      <c r="E3" s="133"/>
      <c r="F3" s="133"/>
      <c r="G3" s="133"/>
      <c r="H3" s="133"/>
      <c r="I3" s="133"/>
      <c r="J3" s="136"/>
      <c r="K3" s="136"/>
      <c r="L3" s="133"/>
      <c r="M3" s="155" t="s">
        <v>67</v>
      </c>
      <c r="N3" s="134"/>
      <c r="O3" s="134"/>
      <c r="P3" s="134"/>
      <c r="Q3" s="134"/>
      <c r="R3" s="134"/>
      <c r="S3" s="134"/>
      <c r="T3" s="134"/>
      <c r="U3" s="134"/>
    </row>
    <row r="4" spans="1:21" s="8" customFormat="1" ht="6.75" customHeight="1" thickBot="1">
      <c r="A4" s="38"/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</row>
    <row r="5" spans="1:21" s="8" customFormat="1" ht="11.25" customHeight="1" thickBot="1">
      <c r="A5" s="53" t="s">
        <v>19</v>
      </c>
      <c r="B5" s="50">
        <v>41275</v>
      </c>
      <c r="C5" s="47">
        <v>41306</v>
      </c>
      <c r="D5" s="47">
        <v>41334</v>
      </c>
      <c r="E5" s="47">
        <v>41365</v>
      </c>
      <c r="F5" s="47">
        <v>41395</v>
      </c>
      <c r="G5" s="47">
        <v>41426</v>
      </c>
      <c r="H5" s="47">
        <v>41456</v>
      </c>
      <c r="I5" s="47">
        <v>41487</v>
      </c>
      <c r="J5" s="47">
        <v>41518</v>
      </c>
      <c r="K5" s="47">
        <v>41548</v>
      </c>
      <c r="L5" s="47">
        <v>41579</v>
      </c>
      <c r="M5" s="51">
        <v>41609</v>
      </c>
    </row>
    <row r="6" spans="1:21" s="8" customFormat="1" ht="11.25" customHeight="1">
      <c r="A6" s="41" t="s">
        <v>129</v>
      </c>
      <c r="B6" s="57">
        <f t="shared" ref="B6:M6" si="0">B32</f>
        <v>47</v>
      </c>
      <c r="C6" s="57">
        <f t="shared" si="0"/>
        <v>48</v>
      </c>
      <c r="D6" s="57">
        <f t="shared" si="0"/>
        <v>47</v>
      </c>
      <c r="E6" s="57">
        <f t="shared" si="0"/>
        <v>62</v>
      </c>
      <c r="F6" s="57">
        <f t="shared" si="0"/>
        <v>73</v>
      </c>
      <c r="G6" s="57">
        <f t="shared" si="0"/>
        <v>68</v>
      </c>
      <c r="H6" s="57">
        <f t="shared" si="0"/>
        <v>90</v>
      </c>
      <c r="I6" s="57">
        <f t="shared" si="0"/>
        <v>109</v>
      </c>
      <c r="J6" s="57">
        <f t="shared" si="0"/>
        <v>109</v>
      </c>
      <c r="K6" s="57">
        <f t="shared" si="0"/>
        <v>62</v>
      </c>
      <c r="L6" s="156">
        <f t="shared" si="0"/>
        <v>36</v>
      </c>
      <c r="M6" s="168">
        <f t="shared" si="0"/>
        <v>62</v>
      </c>
    </row>
    <row r="7" spans="1:21" s="8" customFormat="1" ht="11.25" customHeight="1">
      <c r="A7" s="42" t="s">
        <v>18</v>
      </c>
      <c r="B7" s="57">
        <f t="shared" ref="B7:M7" si="1">SUM(B10:B12)</f>
        <v>11</v>
      </c>
      <c r="C7" s="57">
        <f t="shared" si="1"/>
        <v>20</v>
      </c>
      <c r="D7" s="57">
        <f t="shared" si="1"/>
        <v>22</v>
      </c>
      <c r="E7" s="57">
        <f t="shared" si="1"/>
        <v>11</v>
      </c>
      <c r="F7" s="57">
        <f t="shared" si="1"/>
        <v>27</v>
      </c>
      <c r="G7" s="57">
        <f t="shared" si="1"/>
        <v>20</v>
      </c>
      <c r="H7" s="57">
        <f t="shared" si="1"/>
        <v>25</v>
      </c>
      <c r="I7" s="57">
        <f t="shared" si="1"/>
        <v>15</v>
      </c>
      <c r="J7" s="57">
        <f t="shared" si="1"/>
        <v>20</v>
      </c>
      <c r="K7" s="57">
        <f t="shared" si="1"/>
        <v>19</v>
      </c>
      <c r="L7" s="156">
        <f t="shared" si="1"/>
        <v>34</v>
      </c>
      <c r="M7" s="171">
        <f t="shared" si="1"/>
        <v>51</v>
      </c>
    </row>
    <row r="8" spans="1:21" s="8" customFormat="1" ht="11.25" customHeight="1" thickBot="1">
      <c r="A8" s="43" t="s">
        <v>14</v>
      </c>
      <c r="B8" s="58">
        <f t="shared" ref="B8:M8" si="2">SUM(B6:B7)</f>
        <v>58</v>
      </c>
      <c r="C8" s="58">
        <f t="shared" si="2"/>
        <v>68</v>
      </c>
      <c r="D8" s="58">
        <f t="shared" si="2"/>
        <v>69</v>
      </c>
      <c r="E8" s="58">
        <f t="shared" si="2"/>
        <v>73</v>
      </c>
      <c r="F8" s="58">
        <f t="shared" si="2"/>
        <v>100</v>
      </c>
      <c r="G8" s="58">
        <f t="shared" si="2"/>
        <v>88</v>
      </c>
      <c r="H8" s="58">
        <f t="shared" si="2"/>
        <v>115</v>
      </c>
      <c r="I8" s="58">
        <f t="shared" si="2"/>
        <v>124</v>
      </c>
      <c r="J8" s="58">
        <f t="shared" si="2"/>
        <v>129</v>
      </c>
      <c r="K8" s="58">
        <f t="shared" si="2"/>
        <v>81</v>
      </c>
      <c r="L8" s="157">
        <f t="shared" si="2"/>
        <v>70</v>
      </c>
      <c r="M8" s="172">
        <f t="shared" si="2"/>
        <v>113</v>
      </c>
    </row>
    <row r="9" spans="1:21" s="8" customFormat="1" ht="11.25" customHeight="1" thickBot="1">
      <c r="A9" s="54" t="s">
        <v>18</v>
      </c>
      <c r="B9" s="50">
        <v>41275</v>
      </c>
      <c r="C9" s="47">
        <v>41306</v>
      </c>
      <c r="D9" s="47">
        <v>41334</v>
      </c>
      <c r="E9" s="47">
        <v>41365</v>
      </c>
      <c r="F9" s="47">
        <v>41395</v>
      </c>
      <c r="G9" s="47">
        <v>41426</v>
      </c>
      <c r="H9" s="47">
        <v>41456</v>
      </c>
      <c r="I9" s="47">
        <v>41487</v>
      </c>
      <c r="J9" s="47">
        <v>41518</v>
      </c>
      <c r="K9" s="47">
        <v>41548</v>
      </c>
      <c r="L9" s="47">
        <v>41579</v>
      </c>
      <c r="M9" s="51">
        <v>41609</v>
      </c>
    </row>
    <row r="10" spans="1:21" s="8" customFormat="1" ht="11.25" customHeight="1">
      <c r="A10" s="9" t="s">
        <v>128</v>
      </c>
      <c r="B10" s="57">
        <f t="shared" ref="B10:M10" si="3">B52</f>
        <v>7</v>
      </c>
      <c r="C10" s="57">
        <f t="shared" si="3"/>
        <v>9</v>
      </c>
      <c r="D10" s="57">
        <f t="shared" si="3"/>
        <v>14</v>
      </c>
      <c r="E10" s="57">
        <f t="shared" si="3"/>
        <v>2</v>
      </c>
      <c r="F10" s="57">
        <f t="shared" si="3"/>
        <v>11</v>
      </c>
      <c r="G10" s="59">
        <f t="shared" si="3"/>
        <v>13</v>
      </c>
      <c r="H10" s="59">
        <f t="shared" si="3"/>
        <v>17</v>
      </c>
      <c r="I10" s="59">
        <f t="shared" si="3"/>
        <v>10</v>
      </c>
      <c r="J10" s="59">
        <f t="shared" si="3"/>
        <v>6</v>
      </c>
      <c r="K10" s="59">
        <f t="shared" si="3"/>
        <v>6</v>
      </c>
      <c r="L10" s="158">
        <f t="shared" si="3"/>
        <v>11</v>
      </c>
      <c r="M10" s="168">
        <f t="shared" si="3"/>
        <v>20</v>
      </c>
    </row>
    <row r="11" spans="1:21" s="8" customFormat="1" ht="11.25" customHeight="1">
      <c r="A11" s="9" t="s">
        <v>127</v>
      </c>
      <c r="B11" s="59">
        <f t="shared" ref="B11:M11" si="4">B65</f>
        <v>1</v>
      </c>
      <c r="C11" s="59">
        <f t="shared" si="4"/>
        <v>4</v>
      </c>
      <c r="D11" s="59">
        <f t="shared" si="4"/>
        <v>3</v>
      </c>
      <c r="E11" s="59">
        <f t="shared" si="4"/>
        <v>1</v>
      </c>
      <c r="F11" s="59">
        <f t="shared" si="4"/>
        <v>2</v>
      </c>
      <c r="G11" s="59">
        <f t="shared" si="4"/>
        <v>3</v>
      </c>
      <c r="H11" s="59">
        <f t="shared" si="4"/>
        <v>2</v>
      </c>
      <c r="I11" s="59">
        <f t="shared" si="4"/>
        <v>1</v>
      </c>
      <c r="J11" s="59">
        <f t="shared" si="4"/>
        <v>2</v>
      </c>
      <c r="K11" s="59">
        <f t="shared" si="4"/>
        <v>0</v>
      </c>
      <c r="L11" s="158">
        <f t="shared" si="4"/>
        <v>4</v>
      </c>
      <c r="M11" s="169">
        <f t="shared" si="4"/>
        <v>7</v>
      </c>
    </row>
    <row r="12" spans="1:21" s="8" customFormat="1" ht="11.25" customHeight="1" thickBot="1">
      <c r="A12" s="2" t="s">
        <v>12</v>
      </c>
      <c r="B12" s="60">
        <f>COUNTIFS(Jan!$B:$B,2131,Jan!$F:$F,800)</f>
        <v>3</v>
      </c>
      <c r="C12" s="60">
        <v>7</v>
      </c>
      <c r="D12" s="60">
        <v>5</v>
      </c>
      <c r="E12" s="60">
        <v>8</v>
      </c>
      <c r="F12" s="60">
        <v>14</v>
      </c>
      <c r="G12" s="60">
        <v>4</v>
      </c>
      <c r="H12" s="60">
        <v>6</v>
      </c>
      <c r="I12" s="60">
        <v>4</v>
      </c>
      <c r="J12" s="60">
        <v>12</v>
      </c>
      <c r="K12" s="60">
        <v>13</v>
      </c>
      <c r="L12" s="60">
        <v>19</v>
      </c>
      <c r="M12" s="60">
        <v>24</v>
      </c>
    </row>
    <row r="13" spans="1:21" s="8" customFormat="1" ht="5.0999999999999996" customHeight="1" thickBot="1">
      <c r="A13" s="3"/>
      <c r="B13" s="17"/>
      <c r="C13" s="17"/>
      <c r="D13" s="17"/>
      <c r="E13" s="17"/>
      <c r="F13" s="17"/>
      <c r="G13" s="17"/>
      <c r="H13" s="17"/>
      <c r="I13" s="17"/>
      <c r="J13" s="17"/>
      <c r="K13" s="17"/>
      <c r="L13" s="17"/>
      <c r="M13" s="147"/>
    </row>
    <row r="14" spans="1:21" s="16" customFormat="1" ht="11.25" customHeight="1">
      <c r="A14" s="44" t="s">
        <v>131</v>
      </c>
      <c r="B14" s="120">
        <v>7444</v>
      </c>
      <c r="C14" s="120">
        <v>7557</v>
      </c>
      <c r="D14" s="120">
        <v>7206</v>
      </c>
      <c r="E14" s="120">
        <v>7341</v>
      </c>
      <c r="F14" s="120">
        <v>8020</v>
      </c>
      <c r="G14" s="120">
        <v>7630</v>
      </c>
      <c r="H14" s="119">
        <v>7483</v>
      </c>
      <c r="I14" s="61">
        <v>6388</v>
      </c>
      <c r="J14" s="61">
        <v>7751</v>
      </c>
      <c r="K14" s="118">
        <v>7954</v>
      </c>
      <c r="L14" s="160">
        <v>6362</v>
      </c>
      <c r="M14" s="173">
        <v>8464</v>
      </c>
      <c r="O14" s="22"/>
      <c r="P14" s="22"/>
      <c r="Q14" s="22"/>
    </row>
    <row r="15" spans="1:21" s="8" customFormat="1" ht="11.25" customHeight="1">
      <c r="A15" s="45" t="s">
        <v>132</v>
      </c>
      <c r="B15" s="62">
        <f>IFERROR((SUMIFS(Jan!$N:$N,Jan!$J:$J,1,Jan!$B:$B,2131)+SUMIFS(Jan!$N:$N,Jan!$D:$D,"&gt;1",Jan!$B:$B,2131))/(COUNTIFS(Jan!$J:$J,1,Jan!$B:$B,2131)+COUNTIFS(Jan!$D:$D,"&gt;1",Jan!$B:$B,2131)),"")</f>
        <v>20.333333333333332</v>
      </c>
      <c r="C15" s="62">
        <v>20.97</v>
      </c>
      <c r="D15" s="62">
        <v>22.43</v>
      </c>
      <c r="E15" s="62">
        <v>19.239999999999998</v>
      </c>
      <c r="F15" s="62">
        <v>21.44</v>
      </c>
      <c r="G15" s="62">
        <v>20.36</v>
      </c>
      <c r="H15" s="62">
        <v>20.420000000000002</v>
      </c>
      <c r="I15" s="62">
        <v>19.760000000000002</v>
      </c>
      <c r="J15" s="62">
        <v>19.2</v>
      </c>
      <c r="K15" s="62">
        <v>20.63</v>
      </c>
      <c r="L15" s="62">
        <v>22.94</v>
      </c>
      <c r="M15" s="62">
        <v>21.94</v>
      </c>
      <c r="N15" s="15"/>
      <c r="O15" s="1"/>
      <c r="P15" s="1"/>
      <c r="Q15" s="1"/>
    </row>
    <row r="16" spans="1:21" s="8" customFormat="1" ht="11.25" customHeight="1">
      <c r="A16" s="45" t="s">
        <v>133</v>
      </c>
      <c r="B16" s="62">
        <f>IFERROR(AVERAGEIFS(Jan!$N:$N,Jan!$F:$F,800,Jan!$B:$B,2131),"")</f>
        <v>20.333333333333332</v>
      </c>
      <c r="C16" s="62">
        <v>27.86</v>
      </c>
      <c r="D16" s="62">
        <v>31.5</v>
      </c>
      <c r="E16" s="62">
        <v>24.75</v>
      </c>
      <c r="F16" s="62">
        <v>29.79</v>
      </c>
      <c r="G16" s="62">
        <v>23.25</v>
      </c>
      <c r="H16" s="62">
        <v>23.67</v>
      </c>
      <c r="I16" s="62">
        <v>31</v>
      </c>
      <c r="J16" s="62">
        <v>24.83</v>
      </c>
      <c r="K16" s="62">
        <v>26.85</v>
      </c>
      <c r="L16" s="62">
        <v>26.89</v>
      </c>
      <c r="M16" s="62">
        <v>27.12</v>
      </c>
      <c r="O16" s="1"/>
      <c r="P16" s="1"/>
      <c r="Q16" s="1"/>
    </row>
    <row r="17" spans="1:17" s="8" customFormat="1" ht="11.25" customHeight="1">
      <c r="A17" s="45" t="s">
        <v>134</v>
      </c>
      <c r="B17" s="63">
        <f>IFERROR((SUMIFS(Jan!$M:$M,Jan!$J:$J,1,Jan!$B:$B,2131)+SUMIFS(Jan!$M:$M,Jan!$D:$D,"&gt;1",Jan!$B:$B,2131))/(COUNTIFS(Jan!$J:$J,1,Jan!$B:$B,2131)+COUNTIFS(Jan!$D:$D,"&gt;1",Jan!$B:$B,2131)),"")</f>
        <v>8.7333333333333325</v>
      </c>
      <c r="C17" s="63">
        <v>12.61</v>
      </c>
      <c r="D17" s="63">
        <v>9.64</v>
      </c>
      <c r="E17" s="63">
        <v>13.37</v>
      </c>
      <c r="F17" s="63">
        <v>13.22</v>
      </c>
      <c r="G17" s="63">
        <v>12.39</v>
      </c>
      <c r="H17" s="63">
        <v>13.48</v>
      </c>
      <c r="I17" s="63">
        <v>14.4</v>
      </c>
      <c r="J17" s="63">
        <v>12.5</v>
      </c>
      <c r="K17" s="63">
        <v>11.47</v>
      </c>
      <c r="L17" s="63">
        <v>6.73</v>
      </c>
      <c r="M17" s="63">
        <v>7.09</v>
      </c>
      <c r="O17" s="1"/>
      <c r="P17" s="1"/>
      <c r="Q17" s="1"/>
    </row>
    <row r="18" spans="1:17" s="8" customFormat="1" ht="11.25" customHeight="1" thickBot="1">
      <c r="A18" s="43" t="s">
        <v>135</v>
      </c>
      <c r="B18" s="64">
        <f>IFERROR(AVERAGEIFS(Jan!$M:$M,Jan!$F:$F,800,Jan!$B:$B,2131),"")</f>
        <v>8.7333333333333325</v>
      </c>
      <c r="C18" s="64">
        <v>4.0999999999999996</v>
      </c>
      <c r="D18" s="64">
        <v>0.53</v>
      </c>
      <c r="E18" s="64">
        <v>0.78</v>
      </c>
      <c r="F18" s="64">
        <v>0.59</v>
      </c>
      <c r="G18" s="64">
        <v>0.78</v>
      </c>
      <c r="H18" s="64">
        <v>4.3499999999999996</v>
      </c>
      <c r="I18" s="64">
        <v>6.13</v>
      </c>
      <c r="J18" s="64">
        <v>0.54</v>
      </c>
      <c r="K18" s="64">
        <v>0.7</v>
      </c>
      <c r="L18" s="64">
        <v>0.56999999999999995</v>
      </c>
      <c r="M18" s="64">
        <v>1.63</v>
      </c>
    </row>
    <row r="19" spans="1:17" s="8" customFormat="1" ht="5.0999999999999996" customHeight="1" thickBot="1">
      <c r="A19" s="3"/>
      <c r="B19" s="17"/>
      <c r="C19" s="17"/>
      <c r="D19" s="17"/>
      <c r="E19" s="17"/>
      <c r="F19" s="17"/>
      <c r="G19" s="17"/>
      <c r="H19" s="17"/>
      <c r="I19" s="17"/>
      <c r="J19" s="17"/>
      <c r="K19" s="17"/>
      <c r="L19" s="17"/>
      <c r="M19" s="147"/>
    </row>
    <row r="20" spans="1:17" s="8" customFormat="1" ht="11.25" customHeight="1">
      <c r="A20" s="42" t="s">
        <v>52</v>
      </c>
      <c r="B20" s="65">
        <v>31</v>
      </c>
      <c r="C20" s="65">
        <v>28</v>
      </c>
      <c r="D20" s="65">
        <v>31</v>
      </c>
      <c r="E20" s="65">
        <v>30</v>
      </c>
      <c r="F20" s="65">
        <v>31</v>
      </c>
      <c r="G20" s="65">
        <v>30</v>
      </c>
      <c r="H20" s="65">
        <v>31</v>
      </c>
      <c r="I20" s="65">
        <v>31</v>
      </c>
      <c r="J20" s="65">
        <v>30</v>
      </c>
      <c r="K20" s="65">
        <v>31</v>
      </c>
      <c r="L20" s="161">
        <v>30</v>
      </c>
      <c r="M20" s="174">
        <v>31</v>
      </c>
    </row>
    <row r="21" spans="1:17" s="8" customFormat="1" ht="11.25" customHeight="1">
      <c r="A21" s="9" t="s">
        <v>15</v>
      </c>
      <c r="B21" s="66">
        <f>B12/B20</f>
        <v>9.6774193548387094E-2</v>
      </c>
      <c r="C21" s="66">
        <f t="shared" ref="C21:M21" si="5">C12/C20</f>
        <v>0.25</v>
      </c>
      <c r="D21" s="66">
        <f>D12/D20</f>
        <v>0.16129032258064516</v>
      </c>
      <c r="E21" s="66">
        <f>E12/E20</f>
        <v>0.26666666666666666</v>
      </c>
      <c r="F21" s="66">
        <f>F12/F20</f>
        <v>0.45161290322580644</v>
      </c>
      <c r="G21" s="66">
        <f>G12/G20</f>
        <v>0.13333333333333333</v>
      </c>
      <c r="H21" s="66">
        <f t="shared" si="5"/>
        <v>0.19354838709677419</v>
      </c>
      <c r="I21" s="66">
        <f t="shared" si="5"/>
        <v>0.12903225806451613</v>
      </c>
      <c r="J21" s="66">
        <f t="shared" si="5"/>
        <v>0.4</v>
      </c>
      <c r="K21" s="66">
        <f t="shared" si="5"/>
        <v>0.41935483870967744</v>
      </c>
      <c r="L21" s="162">
        <f t="shared" si="5"/>
        <v>0.6333333333333333</v>
      </c>
      <c r="M21" s="175">
        <f t="shared" si="5"/>
        <v>0.77419354838709675</v>
      </c>
    </row>
    <row r="22" spans="1:17" s="8" customFormat="1" ht="11.25" customHeight="1">
      <c r="A22" s="9" t="s">
        <v>130</v>
      </c>
      <c r="B22" s="67">
        <f t="shared" ref="B22:G22" si="6">IFERROR(B12/B7,0)</f>
        <v>0.27272727272727271</v>
      </c>
      <c r="C22" s="67">
        <f t="shared" si="6"/>
        <v>0.35</v>
      </c>
      <c r="D22" s="67">
        <f t="shared" si="6"/>
        <v>0.22727272727272727</v>
      </c>
      <c r="E22" s="67">
        <f t="shared" si="6"/>
        <v>0.72727272727272729</v>
      </c>
      <c r="F22" s="67">
        <f t="shared" si="6"/>
        <v>0.51851851851851849</v>
      </c>
      <c r="G22" s="67">
        <f t="shared" si="6"/>
        <v>0.2</v>
      </c>
      <c r="H22" s="67">
        <f t="shared" ref="H22:M22" si="7">IFERROR(H12/H7,0)</f>
        <v>0.24</v>
      </c>
      <c r="I22" s="67">
        <f t="shared" si="7"/>
        <v>0.26666666666666666</v>
      </c>
      <c r="J22" s="67">
        <f t="shared" si="7"/>
        <v>0.6</v>
      </c>
      <c r="K22" s="116">
        <f t="shared" si="7"/>
        <v>0.68421052631578949</v>
      </c>
      <c r="L22" s="67">
        <f t="shared" si="7"/>
        <v>0.55882352941176472</v>
      </c>
      <c r="M22" s="176">
        <f t="shared" si="7"/>
        <v>0.47058823529411764</v>
      </c>
      <c r="N22" s="1"/>
    </row>
    <row r="23" spans="1:17" s="8" customFormat="1" ht="11.25" customHeight="1" thickBot="1">
      <c r="A23" s="9" t="s">
        <v>53</v>
      </c>
      <c r="B23" s="67">
        <f t="shared" ref="B23:G23" si="8">IFERROR(B12/(B11+B12),0)</f>
        <v>0.75</v>
      </c>
      <c r="C23" s="67">
        <f t="shared" si="8"/>
        <v>0.63636363636363635</v>
      </c>
      <c r="D23" s="67">
        <f t="shared" si="8"/>
        <v>0.625</v>
      </c>
      <c r="E23" s="67">
        <f t="shared" si="8"/>
        <v>0.88888888888888884</v>
      </c>
      <c r="F23" s="67">
        <f t="shared" si="8"/>
        <v>0.875</v>
      </c>
      <c r="G23" s="67">
        <f t="shared" si="8"/>
        <v>0.5714285714285714</v>
      </c>
      <c r="H23" s="67">
        <f t="shared" ref="H23:M23" si="9">IFERROR(H12/(H11+H12),0)</f>
        <v>0.75</v>
      </c>
      <c r="I23" s="67">
        <f t="shared" si="9"/>
        <v>0.8</v>
      </c>
      <c r="J23" s="67">
        <f t="shared" si="9"/>
        <v>0.8571428571428571</v>
      </c>
      <c r="K23" s="117">
        <f t="shared" si="9"/>
        <v>1</v>
      </c>
      <c r="L23" s="163">
        <f t="shared" si="9"/>
        <v>0.82608695652173914</v>
      </c>
      <c r="M23" s="177">
        <f t="shared" si="9"/>
        <v>0.77419354838709675</v>
      </c>
      <c r="N23" s="4"/>
    </row>
    <row r="24" spans="1:17" s="8" customFormat="1" ht="11.25" customHeight="1" thickBot="1">
      <c r="A24" s="56" t="s">
        <v>21</v>
      </c>
      <c r="B24" s="50">
        <v>41275</v>
      </c>
      <c r="C24" s="47">
        <v>41306</v>
      </c>
      <c r="D24" s="47">
        <v>41334</v>
      </c>
      <c r="E24" s="47">
        <v>41365</v>
      </c>
      <c r="F24" s="47">
        <v>41395</v>
      </c>
      <c r="G24" s="47">
        <v>41426</v>
      </c>
      <c r="H24" s="47">
        <v>41456</v>
      </c>
      <c r="I24" s="47">
        <v>41487</v>
      </c>
      <c r="J24" s="47">
        <v>41518</v>
      </c>
      <c r="K24" s="47">
        <v>41548</v>
      </c>
      <c r="L24" s="47">
        <v>41579</v>
      </c>
      <c r="M24" s="51">
        <v>41609</v>
      </c>
    </row>
    <row r="25" spans="1:17" s="8" customFormat="1" ht="11.25" customHeight="1">
      <c r="A25" s="18" t="s">
        <v>5</v>
      </c>
      <c r="B25" s="68">
        <f>COUNTIFS(Jan!$B:$B,2131,Jan!$J:$J,18)</f>
        <v>40</v>
      </c>
      <c r="C25" s="68">
        <v>39</v>
      </c>
      <c r="D25" s="68">
        <v>39</v>
      </c>
      <c r="E25" s="68">
        <v>55</v>
      </c>
      <c r="F25" s="68">
        <v>58</v>
      </c>
      <c r="G25" s="68">
        <v>55</v>
      </c>
      <c r="H25" s="68">
        <v>78</v>
      </c>
      <c r="I25" s="68">
        <v>97</v>
      </c>
      <c r="J25" s="68">
        <v>103</v>
      </c>
      <c r="K25" s="68">
        <v>56</v>
      </c>
      <c r="L25" s="68">
        <v>32</v>
      </c>
      <c r="M25" s="68">
        <v>57</v>
      </c>
    </row>
    <row r="26" spans="1:17" s="8" customFormat="1" ht="11.25" customHeight="1">
      <c r="A26" s="46" t="s">
        <v>40</v>
      </c>
      <c r="B26" s="57">
        <f>COUNTIFS(Jan!$B:$B,2131,Jan!$J:$J,41)</f>
        <v>0</v>
      </c>
      <c r="C26" s="57">
        <f>COUNTIFS(Feb!$B:$B,2131,Feb!$J:$J,41)</f>
        <v>0</v>
      </c>
      <c r="D26" s="57">
        <f>COUNTIFS(Mar!$B:$B,2131,Mar!$J:$J,41)</f>
        <v>0</v>
      </c>
      <c r="E26" s="57">
        <f>COUNTIFS(Apr!$B:$B,2131,Apr!$J:$J,41)</f>
        <v>0</v>
      </c>
      <c r="F26" s="57">
        <v>1</v>
      </c>
      <c r="G26" s="57">
        <f>COUNTIFS(Jun!$B:$B,2131,Jun!$J:$J,41)</f>
        <v>0</v>
      </c>
      <c r="H26" s="57">
        <f>COUNTIFS(Jul!$B:$B,2131,Jul!$J:$J,41)</f>
        <v>0</v>
      </c>
      <c r="I26" s="57">
        <f>COUNTIFS(Aug!$B:$B,2131,Aug!$J:$J,41)</f>
        <v>0</v>
      </c>
      <c r="J26" s="57">
        <f>COUNTIFS(Sep!$B:$B,2131,Sep!$J:$J,41)</f>
        <v>0</v>
      </c>
      <c r="K26" s="57">
        <f>COUNTIFS(Oct!$B:$B,2131,Oct!$J:$J,41)</f>
        <v>0</v>
      </c>
      <c r="L26" s="57">
        <f>COUNTIFS(Nov!$B:$B,2131,Nov!$J:$J,41)</f>
        <v>0</v>
      </c>
      <c r="M26" s="57">
        <v>0</v>
      </c>
    </row>
    <row r="27" spans="1:17" s="8" customFormat="1" ht="11.25" customHeight="1">
      <c r="A27" s="9" t="s">
        <v>11</v>
      </c>
      <c r="B27" s="179">
        <f>COUNTIFS(Jan!$B:$B,2131,Jan!$J:$J,17)</f>
        <v>6</v>
      </c>
      <c r="C27" s="206">
        <v>8</v>
      </c>
      <c r="D27" s="206">
        <v>8</v>
      </c>
      <c r="E27" s="206">
        <v>7</v>
      </c>
      <c r="F27" s="206">
        <v>14</v>
      </c>
      <c r="G27" s="206">
        <v>13</v>
      </c>
      <c r="H27" s="206">
        <v>12</v>
      </c>
      <c r="I27" s="206">
        <v>11</v>
      </c>
      <c r="J27" s="206">
        <v>6</v>
      </c>
      <c r="K27" s="206">
        <v>6</v>
      </c>
      <c r="L27" s="206">
        <v>4</v>
      </c>
      <c r="M27" s="206">
        <v>5</v>
      </c>
    </row>
    <row r="28" spans="1:17" s="8" customFormat="1" ht="11.25" customHeight="1">
      <c r="A28" s="9" t="s">
        <v>143</v>
      </c>
      <c r="B28" s="59">
        <f>COUNTIFS(Jan!$B:$B,2131,Jan!$F:$F,455)</f>
        <v>0</v>
      </c>
      <c r="C28" s="59">
        <f>COUNTIFS(Feb!$B:$B,2131,Feb!$F:$F,455)</f>
        <v>0</v>
      </c>
      <c r="D28" s="59">
        <f>COUNTIFS(Mar!$B:$B,2131,Mar!$F:$F,455)</f>
        <v>0</v>
      </c>
      <c r="E28" s="59">
        <f>COUNTIFS(Apr!$B:$B,2131,Apr!$F:$F,455)</f>
        <v>0</v>
      </c>
      <c r="F28" s="59">
        <f>COUNTIFS(May!$B:$B,2131,May!$F:$F,455)</f>
        <v>0</v>
      </c>
      <c r="G28" s="59">
        <f>COUNTIFS(Jun!$B:$B,2131,Jun!$F:$F,455)</f>
        <v>0</v>
      </c>
      <c r="H28" s="59">
        <f>COUNTIFS(Jul!$B:$B,2131,Jul!$F:$F,455)</f>
        <v>0</v>
      </c>
      <c r="I28" s="59">
        <f>COUNTIFS(Aug!$B:$B,2131,Aug!$F:$F,455)</f>
        <v>0</v>
      </c>
      <c r="J28" s="59">
        <f>COUNTIFS(Sep!$B:$B,2131,Sep!$F:$F,455)</f>
        <v>0</v>
      </c>
      <c r="K28" s="59">
        <f>COUNTIFS(Oct!$B:$B,2131,Oct!$F:$F,455)</f>
        <v>0</v>
      </c>
      <c r="L28" s="59">
        <f>COUNTIFS(Nov!$B:$B,2131,Nov!$F:$F,455)</f>
        <v>0</v>
      </c>
      <c r="M28" s="59">
        <v>0</v>
      </c>
    </row>
    <row r="29" spans="1:17" s="8" customFormat="1" ht="11.25" customHeight="1">
      <c r="A29" s="9" t="s">
        <v>23</v>
      </c>
      <c r="B29" s="59">
        <f>COUNTIFS(Jan!$B:$B,2131,Jan!$J:$J,31)</f>
        <v>0</v>
      </c>
      <c r="C29" s="59">
        <f>COUNTIFS(Feb!$B:$B,2131,Feb!$J:$J,31)</f>
        <v>0</v>
      </c>
      <c r="D29" s="59">
        <f>COUNTIFS(Mar!$B:$B,2131,Mar!$J:$J,31)</f>
        <v>0</v>
      </c>
      <c r="E29" s="59">
        <f>COUNTIFS(Apr!$B:$B,2131,Apr!$J:$J,31)</f>
        <v>0</v>
      </c>
      <c r="F29" s="59">
        <f>COUNTIFS(May!$B:$B,2131,May!$J:$J,31)</f>
        <v>0</v>
      </c>
      <c r="G29" s="59">
        <f>COUNTIFS(Jun!$B:$B,2131,Jun!$J:$J,31)</f>
        <v>0</v>
      </c>
      <c r="H29" s="59">
        <f>COUNTIFS(Jul!$B:$B,2131,Jul!$J:$J,31)</f>
        <v>0</v>
      </c>
      <c r="I29" s="59">
        <f>COUNTIFS(Aug!$B:$B,2131,Aug!$J:$J,31)</f>
        <v>0</v>
      </c>
      <c r="J29" s="59">
        <f>COUNTIFS(Sep!$B:$B,2131,Sep!$J:$J,31)</f>
        <v>0</v>
      </c>
      <c r="K29" s="59">
        <f>COUNTIFS(Oct!$B:$B,2131,Oct!$J:$J,31)</f>
        <v>0</v>
      </c>
      <c r="L29" s="59">
        <f>COUNTIFS(Nov!$B:$B,2131,Nov!$J:$J,31)</f>
        <v>0</v>
      </c>
      <c r="M29" s="59">
        <v>0</v>
      </c>
    </row>
    <row r="30" spans="1:17" s="8" customFormat="1" ht="11.25" customHeight="1">
      <c r="A30" s="9" t="s">
        <v>37</v>
      </c>
      <c r="B30" s="59">
        <f>COUNTIFS(Jan!$B:$B,2131,Jan!$J:$J,4400)</f>
        <v>1</v>
      </c>
      <c r="C30" s="59">
        <v>1</v>
      </c>
      <c r="D30" s="59">
        <f>COUNTIFS(Mar!$B:$B,2131,Mar!$J:$J,4400)</f>
        <v>0</v>
      </c>
      <c r="E30" s="59">
        <f>COUNTIFS(Apr!$B:$B,2131,Apr!$J:$J,4400)</f>
        <v>0</v>
      </c>
      <c r="F30" s="59">
        <f>COUNTIFS(May!$B:$B,2131,May!$J:$J,4400)</f>
        <v>0</v>
      </c>
      <c r="G30" s="59">
        <f>COUNTIFS(Jun!$B:$B,2131,Jun!$J:$J,4400)</f>
        <v>0</v>
      </c>
      <c r="H30" s="59">
        <f>COUNTIFS(Jul!$B:$B,2131,Jul!$J:$J,4400)</f>
        <v>0</v>
      </c>
      <c r="I30" s="59">
        <v>1</v>
      </c>
      <c r="J30" s="59">
        <f>COUNTIFS(Sep!$B:$B,2131,Sep!$J:$J,4400)</f>
        <v>0</v>
      </c>
      <c r="K30" s="59">
        <f>COUNTIFS(Oct!$B:$B,2131,Oct!$J:$J,4400)</f>
        <v>0</v>
      </c>
      <c r="L30" s="59">
        <f>COUNTIFS(Nov!$B:$B,2131,Nov!$J:$J,4400)</f>
        <v>0</v>
      </c>
      <c r="M30" s="59">
        <v>0</v>
      </c>
    </row>
    <row r="31" spans="1:17" s="8" customFormat="1" ht="11.25" customHeight="1">
      <c r="A31" s="10" t="s">
        <v>24</v>
      </c>
      <c r="B31" s="59">
        <f>COUNTIFS(Jan!$B:$B,2131,Jan!$J:$J,30)</f>
        <v>0</v>
      </c>
      <c r="C31" s="59">
        <f>COUNTIFS(Feb!$B:$B,2131,Feb!$J:$J,30)</f>
        <v>0</v>
      </c>
      <c r="D31" s="59">
        <f>COUNTIFS(Mar!$B:$B,2131,Mar!$J:$J,30)</f>
        <v>0</v>
      </c>
      <c r="E31" s="59">
        <f>COUNTIFS(Apr!$B:$B,2131,Apr!$J:$J,30)</f>
        <v>0</v>
      </c>
      <c r="F31" s="59">
        <f>COUNTIFS(May!$B:$B,2131,May!$J:$J,30)</f>
        <v>0</v>
      </c>
      <c r="G31" s="59">
        <f>COUNTIFS(Jun!$B:$B,2131,Jun!$J:$J,30)</f>
        <v>0</v>
      </c>
      <c r="H31" s="59">
        <f>COUNTIFS(Jul!$B:$B,2131,Jul!$J:$J,30)</f>
        <v>0</v>
      </c>
      <c r="I31" s="59">
        <f>COUNTIFS(Aug!$B:$B,2131,Aug!$J:$J,30)</f>
        <v>0</v>
      </c>
      <c r="J31" s="59">
        <f>COUNTIFS(Sep!$B:$B,2131,Sep!$J:$J,30)</f>
        <v>0</v>
      </c>
      <c r="K31" s="59">
        <f>COUNTIFS(Oct!$B:$B,2131,Oct!$J:$J,30)</f>
        <v>0</v>
      </c>
      <c r="L31" s="59">
        <f>COUNTIFS(Nov!$B:$B,2131,Nov!$J:$J,30)</f>
        <v>0</v>
      </c>
      <c r="M31" s="59">
        <v>0</v>
      </c>
    </row>
    <row r="32" spans="1:17" s="14" customFormat="1" ht="11.25" customHeight="1" thickBot="1">
      <c r="A32" s="2" t="s">
        <v>140</v>
      </c>
      <c r="B32" s="60">
        <f>SUM(B25:B31)</f>
        <v>47</v>
      </c>
      <c r="C32" s="60">
        <f t="shared" ref="C32:M32" si="10">SUM(C25:C31)</f>
        <v>48</v>
      </c>
      <c r="D32" s="60">
        <f>SUM(D25:D31)</f>
        <v>47</v>
      </c>
      <c r="E32" s="60">
        <f>SUM(E25:E31)</f>
        <v>62</v>
      </c>
      <c r="F32" s="60">
        <f>SUM(F25:F31)</f>
        <v>73</v>
      </c>
      <c r="G32" s="60">
        <f>SUM(G25:G31)</f>
        <v>68</v>
      </c>
      <c r="H32" s="60">
        <f t="shared" si="10"/>
        <v>90</v>
      </c>
      <c r="I32" s="60">
        <f t="shared" si="10"/>
        <v>109</v>
      </c>
      <c r="J32" s="60">
        <f t="shared" si="10"/>
        <v>109</v>
      </c>
      <c r="K32" s="60">
        <f t="shared" si="10"/>
        <v>62</v>
      </c>
      <c r="L32" s="159">
        <f t="shared" si="10"/>
        <v>36</v>
      </c>
      <c r="M32" s="170">
        <f t="shared" si="10"/>
        <v>62</v>
      </c>
    </row>
    <row r="33" spans="1:13" ht="12" customHeight="1" thickBot="1">
      <c r="A33" s="55" t="s">
        <v>136</v>
      </c>
      <c r="B33" s="50">
        <v>41275</v>
      </c>
      <c r="C33" s="47">
        <v>41306</v>
      </c>
      <c r="D33" s="47">
        <v>41334</v>
      </c>
      <c r="E33" s="47">
        <v>41365</v>
      </c>
      <c r="F33" s="47">
        <v>41395</v>
      </c>
      <c r="G33" s="47">
        <v>41426</v>
      </c>
      <c r="H33" s="47">
        <v>41456</v>
      </c>
      <c r="I33" s="47">
        <v>41487</v>
      </c>
      <c r="J33" s="47">
        <v>41518</v>
      </c>
      <c r="K33" s="47">
        <v>41548</v>
      </c>
      <c r="L33" s="47">
        <v>41579</v>
      </c>
      <c r="M33" s="51">
        <v>41609</v>
      </c>
    </row>
    <row r="34" spans="1:13" s="8" customFormat="1" ht="11.25" customHeight="1">
      <c r="A34" s="46" t="s">
        <v>33</v>
      </c>
      <c r="B34" s="57">
        <f>COUNTIFS(Jan!$B:$B,2131,Jan!$J:$J,40)</f>
        <v>0</v>
      </c>
      <c r="C34" s="57">
        <f>COUNTIFS(Feb!$B:$B,2131,Feb!$J:$J,40)</f>
        <v>0</v>
      </c>
      <c r="D34" s="57">
        <f>COUNTIFS(Mar!$B:$B,2131,Mar!$J:$J,40)</f>
        <v>0</v>
      </c>
      <c r="E34" s="57">
        <f>COUNTIFS(Apr!$B:$B,2131,Apr!$J:$J,40)</f>
        <v>0</v>
      </c>
      <c r="F34" s="57">
        <f>COUNTIFS(May!$B:$B,2131,May!$J:$J,40)</f>
        <v>0</v>
      </c>
      <c r="G34" s="57">
        <f>COUNTIFS(Jun!$B:$B,2131,Jun!$J:$J,40)</f>
        <v>0</v>
      </c>
      <c r="H34" s="57">
        <f>COUNTIFS(Jul!$B:$B,2131,Jul!$J:$J,40)</f>
        <v>0</v>
      </c>
      <c r="I34" s="57">
        <f>COUNTIFS(Aug!$B:$B,2131,Aug!$J:$J,40)</f>
        <v>0</v>
      </c>
      <c r="J34" s="57">
        <f>COUNTIFS(Sep!$B:$B,2131,Sep!$J:$J,40)</f>
        <v>0</v>
      </c>
      <c r="K34" s="57">
        <f>COUNTIFS(Oct!$B:$B,2131,Oct!$J:$J,40)</f>
        <v>0</v>
      </c>
      <c r="L34" s="57">
        <f>COUNTIFS(Nov!$B:$B,2131,Nov!$J:$J,40)</f>
        <v>0</v>
      </c>
      <c r="M34" s="57">
        <v>0</v>
      </c>
    </row>
    <row r="35" spans="1:13" s="8" customFormat="1" ht="11.25" customHeight="1">
      <c r="A35" s="10" t="s">
        <v>4</v>
      </c>
      <c r="B35" s="59">
        <f>COUNTIFS(Jan!$B:$B,2131,Jan!$J:$J,15)</f>
        <v>2</v>
      </c>
      <c r="C35" s="59">
        <v>1</v>
      </c>
      <c r="D35" s="59">
        <v>1</v>
      </c>
      <c r="E35" s="59">
        <f>COUNTIFS(Apr!$B:$B,2131,Apr!$J:$J,15)</f>
        <v>0</v>
      </c>
      <c r="F35" s="59">
        <f>COUNTIFS(May!$B:$B,2131,May!$J:$J,15)</f>
        <v>0</v>
      </c>
      <c r="G35" s="59">
        <v>1</v>
      </c>
      <c r="H35" s="59">
        <f>COUNTIFS(Jul!$B:$B,2131,Jul!$J:$J,15)</f>
        <v>0</v>
      </c>
      <c r="I35" s="59">
        <f>COUNTIFS(Aug!$B:$B,2131,Aug!$J:$J,15)</f>
        <v>0</v>
      </c>
      <c r="J35" s="59">
        <f>COUNTIFS(Sep!$B:$B,2131,Sep!$J:$J,15)</f>
        <v>0</v>
      </c>
      <c r="K35" s="59">
        <v>1</v>
      </c>
      <c r="L35" s="59">
        <f>COUNTIFS(Nov!$B:$B,2131,Nov!$J:$J,15)</f>
        <v>0</v>
      </c>
      <c r="M35" s="59">
        <v>4</v>
      </c>
    </row>
    <row r="36" spans="1:13" s="8" customFormat="1" ht="11.25" customHeight="1">
      <c r="A36" s="10" t="s">
        <v>39</v>
      </c>
      <c r="B36" s="59">
        <f>COUNTIFS(Jan!$B:$B,2131,Jan!$J:$J,29)</f>
        <v>0</v>
      </c>
      <c r="C36" s="59">
        <f>COUNTIFS(Feb!$B:$B,2131,Feb!$J:$J,29)</f>
        <v>0</v>
      </c>
      <c r="D36" s="59">
        <v>4</v>
      </c>
      <c r="E36" s="59">
        <v>1</v>
      </c>
      <c r="F36" s="59">
        <f>COUNTIFS(May!$B:$B,2131,May!$J:$J,29)</f>
        <v>0</v>
      </c>
      <c r="G36" s="59">
        <v>1</v>
      </c>
      <c r="H36" s="59">
        <v>3</v>
      </c>
      <c r="I36" s="59">
        <v>2</v>
      </c>
      <c r="J36" s="59">
        <f>COUNTIFS(Sep!$B:$B,2131,Sep!$J:$J,29)</f>
        <v>0</v>
      </c>
      <c r="K36" s="59">
        <v>2</v>
      </c>
      <c r="L36" s="59">
        <v>1</v>
      </c>
      <c r="M36" s="59">
        <v>2</v>
      </c>
    </row>
    <row r="37" spans="1:13" s="8" customFormat="1" ht="11.25" customHeight="1">
      <c r="A37" s="10" t="s">
        <v>3</v>
      </c>
      <c r="B37" s="59">
        <f>COUNTIFS(Jan!$B:$B,2131,Jan!$J:$J,13)</f>
        <v>0</v>
      </c>
      <c r="C37" s="59">
        <f>COUNTIFS(Feb!$B:$B,2131,Feb!$J:$J,13)</f>
        <v>0</v>
      </c>
      <c r="D37" s="59">
        <f>COUNTIFS(Mar!$B:$B,2131,Mar!$J:$J,13)</f>
        <v>0</v>
      </c>
      <c r="E37" s="59">
        <f>COUNTIFS(Apr!$B:$B,2131,Apr!$J:$J,13)</f>
        <v>0</v>
      </c>
      <c r="F37" s="59">
        <f>COUNTIFS(May!$B:$B,2131,May!$J:$J,13)</f>
        <v>0</v>
      </c>
      <c r="G37" s="59">
        <f>COUNTIFS(Jun!$B:$B,2131,Jun!$J:$J,13)</f>
        <v>0</v>
      </c>
      <c r="H37" s="59">
        <f>COUNTIFS(Jul!$B:$B,2131,Jul!$J:$J,13)</f>
        <v>0</v>
      </c>
      <c r="I37" s="59">
        <f>COUNTIFS(Aug!$B:$B,2131,Aug!$J:$J,13)</f>
        <v>0</v>
      </c>
      <c r="J37" s="59">
        <f>COUNTIFS(Sep!$B:$B,2131,Sep!$J:$J,13)</f>
        <v>0</v>
      </c>
      <c r="K37" s="59">
        <f>COUNTIFS(Oct!$B:$B,2131,Oct!$J:$J,13)</f>
        <v>0</v>
      </c>
      <c r="L37" s="59">
        <f>COUNTIFS(Nov!$B:$B,2131,Nov!$J:$J,13)</f>
        <v>0</v>
      </c>
      <c r="M37" s="59">
        <v>0</v>
      </c>
    </row>
    <row r="38" spans="1:13" s="8" customFormat="1" ht="11.25" customHeight="1">
      <c r="A38" s="9" t="s">
        <v>218</v>
      </c>
      <c r="B38" s="59">
        <f>COUNTIFS(Jan!$B:$B,2431,Jan!$J:$J,43)</f>
        <v>0</v>
      </c>
      <c r="C38" s="59">
        <v>2</v>
      </c>
      <c r="D38" s="59">
        <v>1</v>
      </c>
      <c r="E38" s="59">
        <f>COUNTIFS(Apr!$B:$B,2431,Apr!$J:$J,43)</f>
        <v>0</v>
      </c>
      <c r="F38" s="59">
        <v>2</v>
      </c>
      <c r="G38" s="59">
        <v>1</v>
      </c>
      <c r="H38" s="59">
        <f>COUNTIFS(Jul!$B:$B,2431,Jul!$J:$J,43)</f>
        <v>0</v>
      </c>
      <c r="I38" s="59">
        <f>COUNTIFS(Aug!$B:$B,2431,Aug!$J:$J,43)</f>
        <v>0</v>
      </c>
      <c r="J38" s="59">
        <v>1</v>
      </c>
      <c r="K38" s="59">
        <f>COUNTIFS(Oct!$B:$B,2431,Oct!$J:$J,43)</f>
        <v>0</v>
      </c>
      <c r="L38" s="59">
        <v>1</v>
      </c>
      <c r="M38" s="59">
        <v>2</v>
      </c>
    </row>
    <row r="39" spans="1:13" s="8" customFormat="1" ht="11.25" customHeight="1">
      <c r="A39" s="10" t="s">
        <v>25</v>
      </c>
      <c r="B39" s="59">
        <f>COUNTIFS(Jan!$B:$B,2131,Jan!$J:$J,24)</f>
        <v>1</v>
      </c>
      <c r="C39" s="59">
        <f>COUNTIFS(Feb!$B:$B,2131,Feb!$J:$J,24)</f>
        <v>0</v>
      </c>
      <c r="D39" s="59">
        <v>2</v>
      </c>
      <c r="E39" s="59">
        <v>1</v>
      </c>
      <c r="F39" s="59">
        <f>COUNTIFS(May!$B:$B,2131,May!$J:$J,24)</f>
        <v>0</v>
      </c>
      <c r="G39" s="59">
        <v>3</v>
      </c>
      <c r="H39" s="59">
        <v>3</v>
      </c>
      <c r="I39" s="59">
        <f>COUNTIFS(Aug!$B:$B,2131,Aug!$J:$J,24)</f>
        <v>0</v>
      </c>
      <c r="J39" s="59">
        <f>COUNTIFS(Sep!$B:$B,2131,Sep!$J:$J,24)</f>
        <v>0</v>
      </c>
      <c r="K39" s="59">
        <f>COUNTIFS(Oct!$B:$B,2131,Oct!$J:$J,24)</f>
        <v>0</v>
      </c>
      <c r="L39" s="59">
        <v>1</v>
      </c>
      <c r="M39" s="59">
        <v>4</v>
      </c>
    </row>
    <row r="40" spans="1:13" s="8" customFormat="1" ht="11.25" customHeight="1">
      <c r="A40" s="10" t="s">
        <v>34</v>
      </c>
      <c r="B40" s="59">
        <f>COUNTIFS(Jan!$B:$B,2131,Jan!$J:$J,9)</f>
        <v>0</v>
      </c>
      <c r="C40" s="59">
        <f>COUNTIFS(Feb!$B:$B,2131,Feb!$J:$J,9)</f>
        <v>0</v>
      </c>
      <c r="D40" s="59">
        <f>COUNTIFS(Mar!$B:$B,2131,Mar!$J:$J,9)</f>
        <v>0</v>
      </c>
      <c r="E40" s="59">
        <f>COUNTIFS(Apr!$B:$B,2131,Apr!$J:$J,9)</f>
        <v>0</v>
      </c>
      <c r="F40" s="59">
        <f>COUNTIFS(May!$B:$B,2131,May!$J:$J,9)</f>
        <v>0</v>
      </c>
      <c r="G40" s="59">
        <f>COUNTIFS(Jun!$B:$B,2131,Jun!$J:$J,9)</f>
        <v>0</v>
      </c>
      <c r="H40" s="59">
        <f>COUNTIFS(Jul!$B:$B,2131,Jul!$J:$J,9)</f>
        <v>0</v>
      </c>
      <c r="I40" s="59">
        <f>COUNTIFS(Aug!$B:$B,2131,Aug!$J:$J,9)</f>
        <v>0</v>
      </c>
      <c r="J40" s="59">
        <f>COUNTIFS(Sep!$B:$B,2131,Sep!$J:$J,9)</f>
        <v>0</v>
      </c>
      <c r="K40" s="59">
        <f>COUNTIFS(Oct!$B:$B,2131,Oct!$J:$J,9)</f>
        <v>0</v>
      </c>
      <c r="L40" s="59">
        <f>COUNTIFS(Nov!$B:$B,2131,Nov!$J:$J,9)</f>
        <v>0</v>
      </c>
      <c r="M40" s="59">
        <v>1</v>
      </c>
    </row>
    <row r="41" spans="1:13" s="8" customFormat="1" ht="11.25" customHeight="1">
      <c r="A41" s="10" t="s">
        <v>31</v>
      </c>
      <c r="B41" s="59">
        <f>COUNTIFS(Jan!$B:$B,2131,Jan!$J:$J,10)</f>
        <v>0</v>
      </c>
      <c r="C41" s="59">
        <v>1</v>
      </c>
      <c r="D41" s="59">
        <v>1</v>
      </c>
      <c r="E41" s="59">
        <f>COUNTIFS(Apr!$B:$B,2131,Apr!$J:$J,10)</f>
        <v>0</v>
      </c>
      <c r="F41" s="59">
        <v>3</v>
      </c>
      <c r="G41" s="59">
        <v>2</v>
      </c>
      <c r="H41" s="59">
        <v>3</v>
      </c>
      <c r="I41" s="59">
        <v>2</v>
      </c>
      <c r="J41" s="59">
        <v>2</v>
      </c>
      <c r="K41" s="59">
        <f>COUNTIFS(Oct!$B:$B,2131,Oct!$J:$J,10)</f>
        <v>0</v>
      </c>
      <c r="L41" s="59">
        <v>3</v>
      </c>
      <c r="M41" s="59">
        <v>1</v>
      </c>
    </row>
    <row r="42" spans="1:13" s="8" customFormat="1" ht="11.25" customHeight="1">
      <c r="A42" s="10" t="s">
        <v>144</v>
      </c>
      <c r="B42" s="59">
        <f>COUNTIFS(Jan!$B:$B,2131,Jan!$F:$F,462)</f>
        <v>0</v>
      </c>
      <c r="C42" s="59">
        <f>COUNTIFS(Feb!$B:$B,2131,Feb!$F:$F,462)</f>
        <v>0</v>
      </c>
      <c r="D42" s="59">
        <f>COUNTIFS(Mar!$B:$B,2131,Mar!$F:$F,462)</f>
        <v>0</v>
      </c>
      <c r="E42" s="59">
        <f>COUNTIFS(Apr!$B:$B,2131,Apr!$F:$F,462)</f>
        <v>0</v>
      </c>
      <c r="F42" s="59">
        <f>COUNTIFS(May!$B:$B,2131,May!$F:$F,462)</f>
        <v>0</v>
      </c>
      <c r="G42" s="59">
        <f>COUNTIFS(Jun!$B:$B,2131,Jun!$F:$F,462)</f>
        <v>0</v>
      </c>
      <c r="H42" s="59">
        <f>COUNTIFS(Jul!$B:$B,2131,Jul!$F:$F,462)</f>
        <v>0</v>
      </c>
      <c r="I42" s="59">
        <f>COUNTIFS(Aug!$B:$B,2131,Aug!$F:$F,462)</f>
        <v>0</v>
      </c>
      <c r="J42" s="59">
        <f>COUNTIFS(Sep!$B:$B,2131,Sep!$F:$F,462)</f>
        <v>0</v>
      </c>
      <c r="K42" s="59">
        <f>COUNTIFS(Oct!$B:$B,2131,Oct!$F:$F,462)</f>
        <v>0</v>
      </c>
      <c r="L42" s="59">
        <f>COUNTIFS(Nov!$B:$B,2131,Nov!$F:$F,462)</f>
        <v>0</v>
      </c>
      <c r="M42" s="59">
        <v>0</v>
      </c>
    </row>
    <row r="43" spans="1:13" s="8" customFormat="1" ht="11.25" customHeight="1">
      <c r="A43" s="10" t="s">
        <v>1</v>
      </c>
      <c r="B43" s="59">
        <f>COUNTIFS(Jan!$B:$B,2131,Jan!$J:$J,11)</f>
        <v>0</v>
      </c>
      <c r="C43" s="59">
        <f>COUNTIFS(Feb!$B:$B,2131,Feb!$J:$J,11)</f>
        <v>0</v>
      </c>
      <c r="D43" s="59">
        <v>1</v>
      </c>
      <c r="E43" s="59">
        <f>COUNTIFS(Apr!$B:$B,2131,Apr!$J:$J,11)</f>
        <v>0</v>
      </c>
      <c r="F43" s="59">
        <f>COUNTIFS(May!$B:$B,2131,May!$J:$J,11)</f>
        <v>0</v>
      </c>
      <c r="G43" s="59">
        <f>COUNTIFS(Jun!$B:$B,2131,Jun!$J:$J,11)</f>
        <v>0</v>
      </c>
      <c r="H43" s="59">
        <f>COUNTIFS(Jul!$B:$B,2131,Jul!$J:$J,11)</f>
        <v>0</v>
      </c>
      <c r="I43" s="59">
        <f>COUNTIFS(Aug!$B:$B,2131,Aug!$J:$J,11)</f>
        <v>0</v>
      </c>
      <c r="J43" s="59">
        <v>1</v>
      </c>
      <c r="K43" s="59">
        <f>COUNTIFS(Oct!$B:$B,2131,Oct!$J:$J,11)</f>
        <v>0</v>
      </c>
      <c r="L43" s="59">
        <f>COUNTIFS(Nov!$B:$B,2131,Nov!$J:$J,11)</f>
        <v>0</v>
      </c>
      <c r="M43" s="59">
        <v>1</v>
      </c>
    </row>
    <row r="44" spans="1:13" s="8" customFormat="1" ht="11.25" customHeight="1">
      <c r="A44" s="10" t="s">
        <v>26</v>
      </c>
      <c r="B44" s="59">
        <f>COUNTIFS(Jan!$B:$B,2131,Jan!$J:$J,20)</f>
        <v>0</v>
      </c>
      <c r="C44" s="59">
        <f>COUNTIFS(Feb!$B:$B,2131,Feb!$J:$J,20)</f>
        <v>0</v>
      </c>
      <c r="D44" s="59">
        <f>COUNTIFS(Mar!$B:$B,2131,Mar!$J:$J,20)</f>
        <v>0</v>
      </c>
      <c r="E44" s="59">
        <f>COUNTIFS(Apr!$B:$B,2131,Apr!$J:$J,20)</f>
        <v>0</v>
      </c>
      <c r="F44" s="59">
        <f>COUNTIFS(May!$B:$B,2131,May!$J:$J,20)</f>
        <v>0</v>
      </c>
      <c r="G44" s="59">
        <f>COUNTIFS(Jun!$B:$B,2131,Jun!$J:$J,20)</f>
        <v>0</v>
      </c>
      <c r="H44" s="59">
        <f>COUNTIFS(Jul!$B:$B,2131,Jul!$J:$J,20)</f>
        <v>0</v>
      </c>
      <c r="I44" s="59">
        <f>COUNTIFS(Aug!$B:$B,2131,Aug!$J:$J,20)</f>
        <v>0</v>
      </c>
      <c r="J44" s="59">
        <f>COUNTIFS(Sep!$B:$B,2131,Sep!$J:$J,20)</f>
        <v>0</v>
      </c>
      <c r="K44" s="59">
        <f>COUNTIFS(Oct!$B:$B,2131,Oct!$J:$J,20)</f>
        <v>0</v>
      </c>
      <c r="L44" s="59">
        <f>COUNTIFS(Nov!$B:$B,2131,Nov!$J:$J,20)</f>
        <v>0</v>
      </c>
      <c r="M44" s="59">
        <v>0</v>
      </c>
    </row>
    <row r="45" spans="1:13" s="8" customFormat="1" ht="11.25" customHeight="1">
      <c r="A45" s="10" t="s">
        <v>32</v>
      </c>
      <c r="B45" s="59">
        <f>COUNTIFS(Jan!$B:$B,2131,Jan!$J:$J,2)</f>
        <v>3</v>
      </c>
      <c r="C45" s="59">
        <v>1</v>
      </c>
      <c r="D45" s="59">
        <v>3</v>
      </c>
      <c r="E45" s="59">
        <f>COUNTIFS(Apr!$B:$B,2131,Apr!$J:$J,2)</f>
        <v>0</v>
      </c>
      <c r="F45" s="59">
        <v>6</v>
      </c>
      <c r="G45" s="59">
        <v>3</v>
      </c>
      <c r="H45" s="59">
        <v>7</v>
      </c>
      <c r="I45" s="59">
        <v>4</v>
      </c>
      <c r="J45" s="59">
        <v>2</v>
      </c>
      <c r="K45" s="59">
        <v>2</v>
      </c>
      <c r="L45" s="59">
        <v>4</v>
      </c>
      <c r="M45" s="59">
        <v>5</v>
      </c>
    </row>
    <row r="46" spans="1:13" s="8" customFormat="1" ht="11.25" customHeight="1">
      <c r="A46" s="10" t="s">
        <v>28</v>
      </c>
      <c r="B46" s="59">
        <f>COUNTIFS(Jan!$B:$B,2131,Jan!$J:$J,1700)+COUNTIFS(Jan!$B:$B,2131,Jan!$F:$F,1700)+COUNTIFS(Jan!$B:$B,2131,Jan!$J:$J,19)</f>
        <v>0</v>
      </c>
      <c r="C46" s="59">
        <f>COUNTIFS(Feb!$B:$B,2131,Feb!$J:$J,1700)+COUNTIFS(Feb!$B:$B,2131,Feb!$F:$F,1700)+COUNTIFS(Feb!$B:$B,2131,Feb!$J:$J,19)</f>
        <v>0</v>
      </c>
      <c r="D46" s="59">
        <f>COUNTIFS(Mar!$B:$B,2131,Mar!$J:$J,1700)+COUNTIFS(Mar!$B:$B,2131,Mar!$F:$F,1700)+COUNTIFS(Mar!$B:$B,2131,Mar!$J:$J,19)</f>
        <v>0</v>
      </c>
      <c r="E46" s="59">
        <f>COUNTIFS(Apr!$B:$B,2131,Apr!$J:$J,1700)+COUNTIFS(Apr!$B:$B,2131,Apr!$F:$F,1700)+COUNTIFS(Apr!$B:$B,2131,Apr!$J:$J,19)</f>
        <v>0</v>
      </c>
      <c r="F46" s="59">
        <f>COUNTIFS(May!$B:$B,2131,May!$J:$J,1700)+COUNTIFS(May!$B:$B,2131,May!$F:$F,1700)+COUNTIFS(May!$B:$B,2131,May!$J:$J,19)</f>
        <v>0</v>
      </c>
      <c r="G46" s="59">
        <f>COUNTIFS(Jun!$B:$B,2131,Jun!$J:$J,1700)+COUNTIFS(Jun!$B:$B,2131,Jun!$F:$F,1700)+COUNTIFS(Jun!$B:$B,2131,Jun!$J:$J,19)</f>
        <v>0</v>
      </c>
      <c r="H46" s="59">
        <f>COUNTIFS(Jul!$B:$B,2131,Jul!$J:$J,1700)+COUNTIFS(Jul!$B:$B,2131,Jul!$F:$F,1700)+COUNTIFS(Jul!$B:$B,2131,Jul!$J:$J,19)</f>
        <v>0</v>
      </c>
      <c r="I46" s="59">
        <f>COUNTIFS(Aug!$B:$B,2131,Aug!$J:$J,1700)+COUNTIFS(Aug!$B:$B,2131,Aug!$F:$F,1700)+COUNTIFS(Aug!$B:$B,2131,Aug!$J:$J,19)</f>
        <v>0</v>
      </c>
      <c r="J46" s="59">
        <f>COUNTIFS(Sep!$B:$B,2131,Sep!$J:$J,1700)+COUNTIFS(Sep!$B:$B,2131,Sep!$F:$F,1700)+COUNTIFS(Sep!$B:$B,2131,Sep!$J:$J,19)</f>
        <v>0</v>
      </c>
      <c r="K46" s="59">
        <f>COUNTIFS(Oct!$B:$B,2131,Oct!$J:$J,1700)+COUNTIFS(Oct!$B:$B,2131,Oct!$F:$F,1700)+COUNTIFS(Oct!$B:$B,2131,Oct!$J:$J,19)</f>
        <v>0</v>
      </c>
      <c r="L46" s="59">
        <f>COUNTIFS(Nov!$B:$B,2131,Nov!$J:$J,1700)+COUNTIFS(Nov!$B:$B,2131,Nov!$F:$F,1700)+COUNTIFS(Nov!$B:$B,2131,Nov!$J:$J,19)</f>
        <v>0</v>
      </c>
      <c r="M46" s="59">
        <v>0</v>
      </c>
    </row>
    <row r="47" spans="1:13" s="8" customFormat="1" ht="11.25" customHeight="1">
      <c r="A47" s="10" t="s">
        <v>0</v>
      </c>
      <c r="B47" s="59">
        <f>COUNTIFS(Jan!$B:$B,2131,Jan!$J:$J,3)</f>
        <v>1</v>
      </c>
      <c r="C47" s="59">
        <v>3</v>
      </c>
      <c r="D47" s="59">
        <v>1</v>
      </c>
      <c r="E47" s="59">
        <f>COUNTIFS(Apr!$B:$B,2131,Apr!$J:$J,3)</f>
        <v>0</v>
      </c>
      <c r="F47" s="59">
        <f>COUNTIFS(May!$B:$B,2131,May!$J:$J,3)</f>
        <v>0</v>
      </c>
      <c r="G47" s="59">
        <f>COUNTIFS(Jun!$B:$B,2131,Jun!$J:$J,3)</f>
        <v>0</v>
      </c>
      <c r="H47" s="59">
        <v>1</v>
      </c>
      <c r="I47" s="59">
        <v>2</v>
      </c>
      <c r="J47" s="59">
        <f>COUNTIFS(Sep!$B:$B,2131,Sep!$J:$J,3)</f>
        <v>0</v>
      </c>
      <c r="K47" s="59">
        <v>1</v>
      </c>
      <c r="L47" s="59">
        <v>1</v>
      </c>
      <c r="M47" s="59">
        <v>0</v>
      </c>
    </row>
    <row r="48" spans="1:13" s="8" customFormat="1" ht="11.25" customHeight="1">
      <c r="A48" s="10" t="s">
        <v>35</v>
      </c>
      <c r="B48" s="59">
        <f>COUNTIFS(Jan!$B:$B,2131,Jan!$J:$J,7400)</f>
        <v>0</v>
      </c>
      <c r="C48" s="59">
        <v>1</v>
      </c>
      <c r="D48" s="59">
        <f>COUNTIFS(Mar!$B:$B,2131,Mar!$J:$J,7400)</f>
        <v>0</v>
      </c>
      <c r="E48" s="59">
        <f>COUNTIFS(Apr!$B:$B,2131,Apr!$J:$J,7400)</f>
        <v>0</v>
      </c>
      <c r="F48" s="59">
        <f>COUNTIFS(May!$B:$B,2131,May!$J:$J,7400)</f>
        <v>0</v>
      </c>
      <c r="G48" s="59">
        <f>COUNTIFS(Jun!$B:$B,2131,Jun!$J:$J,7400)</f>
        <v>0</v>
      </c>
      <c r="H48" s="59">
        <f>COUNTIFS(Jul!$B:$B,2131,Jul!$J:$J,7400)</f>
        <v>0</v>
      </c>
      <c r="I48" s="59">
        <f>COUNTIFS(Aug!$B:$B,2131,Aug!$J:$J,7400)</f>
        <v>0</v>
      </c>
      <c r="J48" s="59">
        <f>COUNTIFS(Sep!$B:$B,2131,Sep!$J:$J,7400)</f>
        <v>0</v>
      </c>
      <c r="K48" s="59">
        <f>COUNTIFS(Oct!$B:$B,2131,Oct!$J:$J,7400)</f>
        <v>0</v>
      </c>
      <c r="L48" s="59">
        <f>COUNTIFS(Nov!$B:$B,2131,Nov!$J:$J,7400)</f>
        <v>0</v>
      </c>
      <c r="M48" s="59">
        <v>0</v>
      </c>
    </row>
    <row r="49" spans="1:13" s="8" customFormat="1" ht="11.25" customHeight="1">
      <c r="A49" s="10" t="s">
        <v>2</v>
      </c>
      <c r="B49" s="59">
        <f>COUNTIFS(Jan!$B:$B,2131,Jan!$J:$J,14)</f>
        <v>0</v>
      </c>
      <c r="C49" s="59">
        <f>COUNTIFS(Feb!$B:$B,2131,Feb!$J:$J,14)</f>
        <v>0</v>
      </c>
      <c r="D49" s="59">
        <f>COUNTIFS(Mar!$B:$B,2131,Mar!$J:$J,14)</f>
        <v>0</v>
      </c>
      <c r="E49" s="59">
        <f>COUNTIFS(Apr!$B:$B,2131,Apr!$J:$J,14)</f>
        <v>0</v>
      </c>
      <c r="F49" s="59">
        <f>COUNTIFS(May!$B:$B,2131,May!$J:$J,14)</f>
        <v>0</v>
      </c>
      <c r="G49" s="59">
        <v>2</v>
      </c>
      <c r="H49" s="59">
        <f>COUNTIFS(Jul!$B:$B,2131,Jul!$J:$J,14)</f>
        <v>0</v>
      </c>
      <c r="I49" s="59">
        <f>COUNTIFS(Aug!$B:$B,2131,Aug!$J:$J,14)</f>
        <v>0</v>
      </c>
      <c r="J49" s="59">
        <f>COUNTIFS(Sep!$B:$B,2131,Sep!$J:$J,14)</f>
        <v>0</v>
      </c>
      <c r="K49" s="59">
        <f>COUNTIFS(Oct!$B:$B,2131,Oct!$J:$J,14)</f>
        <v>0</v>
      </c>
      <c r="L49" s="59">
        <f>COUNTIFS(Nov!$B:$B,2131,Nov!$J:$J,14)</f>
        <v>0</v>
      </c>
      <c r="M49" s="59">
        <v>0</v>
      </c>
    </row>
    <row r="50" spans="1:13" s="8" customFormat="1" ht="11.25" customHeight="1">
      <c r="A50" s="10" t="s">
        <v>142</v>
      </c>
      <c r="B50" s="59">
        <f>COUNTIFS(Jan!$B:$B,2131,Jan!$F:$F,466)</f>
        <v>0</v>
      </c>
      <c r="C50" s="59">
        <f>COUNTIFS(Feb!$B:$B,2131,Feb!$F:$F,466)</f>
        <v>0</v>
      </c>
      <c r="D50" s="59">
        <f>COUNTIFS(Mar!$B:$B,2131,Mar!$F:$F,466)</f>
        <v>0</v>
      </c>
      <c r="E50" s="59">
        <f>COUNTIFS(Apr!$B:$B,2131,Apr!$F:$F,466)</f>
        <v>0</v>
      </c>
      <c r="F50" s="59">
        <f>COUNTIFS(May!$B:$B,2131,May!$F:$F,466)</f>
        <v>0</v>
      </c>
      <c r="G50" s="59">
        <f>COUNTIFS(Jun!$B:$B,2131,Jun!$F:$F,466)</f>
        <v>0</v>
      </c>
      <c r="H50" s="59">
        <f>COUNTIFS(Jul!$B:$B,2131,Jul!$F:$F,466)</f>
        <v>0</v>
      </c>
      <c r="I50" s="59">
        <f>COUNTIFS(Aug!$B:$B,2131,Aug!$F:$F,466)</f>
        <v>0</v>
      </c>
      <c r="J50" s="59">
        <f>COUNTIFS(Sep!$B:$B,2131,Sep!$F:$F,466)</f>
        <v>0</v>
      </c>
      <c r="K50" s="59">
        <f>COUNTIFS(Oct!$B:$B,2131,Oct!$F:$F,466)</f>
        <v>0</v>
      </c>
      <c r="L50" s="59">
        <f>COUNTIFS(Nov!$B:$B,2131,Nov!$F:$F,466)</f>
        <v>0</v>
      </c>
      <c r="M50" s="59">
        <v>0</v>
      </c>
    </row>
    <row r="51" spans="1:13" s="8" customFormat="1" ht="11.25" customHeight="1">
      <c r="A51" s="10" t="s">
        <v>27</v>
      </c>
      <c r="B51" s="59">
        <f>COUNTIFS(Jan!$B:$B,2131,Jan!$J:$J,25)</f>
        <v>0</v>
      </c>
      <c r="C51" s="59">
        <f>COUNTIFS(Feb!$B:$B,2131,Feb!$J:$J,25)</f>
        <v>0</v>
      </c>
      <c r="D51" s="59">
        <f>COUNTIFS(Mar!$B:$B,2131,Mar!$J:$J,25)</f>
        <v>0</v>
      </c>
      <c r="E51" s="59">
        <f>COUNTIFS(Apr!$B:$B,2131,Apr!$J:$J,25)</f>
        <v>0</v>
      </c>
      <c r="F51" s="59">
        <f>COUNTIFS(May!$B:$B,2131,May!$J:$J,25)</f>
        <v>0</v>
      </c>
      <c r="G51" s="59">
        <f>COUNTIFS(Jun!$B:$B,2131,Jun!$J:$J,25)</f>
        <v>0</v>
      </c>
      <c r="H51" s="59">
        <f>COUNTIFS(Jul!$B:$B,2131,Jul!$J:$J,25)</f>
        <v>0</v>
      </c>
      <c r="I51" s="59">
        <f>COUNTIFS(Aug!$B:$B,2131,Aug!$J:$J,25)</f>
        <v>0</v>
      </c>
      <c r="J51" s="59">
        <f>COUNTIFS(Sep!$B:$B,2131,Sep!$J:$J,25)</f>
        <v>0</v>
      </c>
      <c r="K51" s="59">
        <f>COUNTIFS(Oct!$B:$B,2131,Oct!$J:$J,25)</f>
        <v>0</v>
      </c>
      <c r="L51" s="59">
        <f>COUNTIFS(Nov!$B:$B,2131,Nov!$J:$J,25)</f>
        <v>0</v>
      </c>
      <c r="M51" s="59">
        <v>0</v>
      </c>
    </row>
    <row r="52" spans="1:13" s="8" customFormat="1" ht="11.25" customHeight="1" thickBot="1">
      <c r="A52" s="11" t="s">
        <v>16</v>
      </c>
      <c r="B52" s="60">
        <f t="shared" ref="B52:G52" si="11">SUM(B34:B51)</f>
        <v>7</v>
      </c>
      <c r="C52" s="60">
        <f t="shared" si="11"/>
        <v>9</v>
      </c>
      <c r="D52" s="60">
        <f t="shared" si="11"/>
        <v>14</v>
      </c>
      <c r="E52" s="60">
        <f t="shared" si="11"/>
        <v>2</v>
      </c>
      <c r="F52" s="60">
        <f t="shared" si="11"/>
        <v>11</v>
      </c>
      <c r="G52" s="60">
        <f t="shared" si="11"/>
        <v>13</v>
      </c>
      <c r="H52" s="60">
        <f t="shared" ref="H52:M52" si="12">SUM(H34:H51)</f>
        <v>17</v>
      </c>
      <c r="I52" s="60">
        <f t="shared" si="12"/>
        <v>10</v>
      </c>
      <c r="J52" s="60">
        <f t="shared" si="12"/>
        <v>6</v>
      </c>
      <c r="K52" s="60">
        <f t="shared" si="12"/>
        <v>6</v>
      </c>
      <c r="L52" s="159">
        <f t="shared" si="12"/>
        <v>11</v>
      </c>
      <c r="M52" s="170">
        <f t="shared" si="12"/>
        <v>20</v>
      </c>
    </row>
    <row r="53" spans="1:13" ht="12" customHeight="1" thickBot="1">
      <c r="A53" s="55" t="s">
        <v>137</v>
      </c>
      <c r="B53" s="50">
        <v>41275</v>
      </c>
      <c r="C53" s="47">
        <v>41306</v>
      </c>
      <c r="D53" s="47">
        <v>41334</v>
      </c>
      <c r="E53" s="47">
        <v>41365</v>
      </c>
      <c r="F53" s="47">
        <v>41395</v>
      </c>
      <c r="G53" s="47">
        <v>41426</v>
      </c>
      <c r="H53" s="47">
        <v>41456</v>
      </c>
      <c r="I53" s="47">
        <v>41487</v>
      </c>
      <c r="J53" s="47">
        <v>41518</v>
      </c>
      <c r="K53" s="47">
        <v>41548</v>
      </c>
      <c r="L53" s="47">
        <v>41579</v>
      </c>
      <c r="M53" s="51">
        <v>41609</v>
      </c>
    </row>
    <row r="54" spans="1:13" s="8" customFormat="1" ht="11.25" customHeight="1">
      <c r="A54" s="10" t="s">
        <v>30</v>
      </c>
      <c r="B54" s="57">
        <f>COUNTIFS(Jan!$B:$B,2131,Jan!$J:$J,7)</f>
        <v>0</v>
      </c>
      <c r="C54" s="57">
        <v>1</v>
      </c>
      <c r="D54" s="57">
        <v>1</v>
      </c>
      <c r="E54" s="57">
        <f>COUNTIFS(Apr!$B:$B,2131,Apr!$J:$J,7)</f>
        <v>0</v>
      </c>
      <c r="F54" s="57">
        <f>COUNTIFS(May!$B:$B,2131,May!$J:$J,7)</f>
        <v>0</v>
      </c>
      <c r="G54" s="57">
        <f>COUNTIFS(Jun!$B:$B,2131,Jun!$J:$J,7)</f>
        <v>0</v>
      </c>
      <c r="H54" s="57">
        <f>COUNTIFS(Jul!$B:$B,2131,Jul!$J:$J,7)</f>
        <v>0</v>
      </c>
      <c r="I54" s="57">
        <f>COUNTIFS(Aug!$B:$B,2131,Aug!$J:$J,7)</f>
        <v>0</v>
      </c>
      <c r="J54" s="57">
        <f>COUNTIFS(Sep!$B:$B,2131,Sep!$J:$J,7)</f>
        <v>0</v>
      </c>
      <c r="K54" s="57">
        <f>COUNTIFS(Oct!$B:$B,2131,Oct!$J:$J,7)</f>
        <v>0</v>
      </c>
      <c r="L54" s="57">
        <f>COUNTIFS(Nov!$B:$B,2131,Nov!$J:$J,7)</f>
        <v>0</v>
      </c>
      <c r="M54" s="57">
        <v>3</v>
      </c>
    </row>
    <row r="55" spans="1:13" s="8" customFormat="1" ht="11.25" customHeight="1">
      <c r="A55" s="10" t="s">
        <v>29</v>
      </c>
      <c r="B55" s="59">
        <f>COUNTIFS(Jan!$B:$B,2131,Jan!$J:$J,8)</f>
        <v>0</v>
      </c>
      <c r="C55" s="59">
        <f>COUNTIFS(Feb!$B:$B,2131,Feb!$J:$J,8)</f>
        <v>0</v>
      </c>
      <c r="D55" s="59">
        <f>COUNTIFS(Mar!$B:$B,2131,Mar!$J:$J,8)</f>
        <v>0</v>
      </c>
      <c r="E55" s="59">
        <f>COUNTIFS(Apr!$B:$B,2131,Apr!$J:$J,8)</f>
        <v>0</v>
      </c>
      <c r="F55" s="59">
        <f>COUNTIFS(May!$B:$B,2131,May!$J:$J,8)</f>
        <v>0</v>
      </c>
      <c r="G55" s="59">
        <f>COUNTIFS(Jun!$B:$B,2131,Jun!$J:$J,8)</f>
        <v>0</v>
      </c>
      <c r="H55" s="59">
        <f>COUNTIFS(Jul!$B:$B,2131,Jul!$J:$J,8)</f>
        <v>0</v>
      </c>
      <c r="I55" s="59">
        <f>COUNTIFS(Aug!$B:$B,2131,Aug!$J:$J,8)</f>
        <v>0</v>
      </c>
      <c r="J55" s="59">
        <f>COUNTIFS(Sep!$B:$B,2131,Sep!$J:$J,8)</f>
        <v>0</v>
      </c>
      <c r="K55" s="59">
        <f>COUNTIFS(Oct!$B:$B,2131,Oct!$J:$J,8)</f>
        <v>0</v>
      </c>
      <c r="L55" s="59">
        <f>COUNTIFS(Nov!$B:$B,2131,Nov!$J:$J,8)</f>
        <v>0</v>
      </c>
      <c r="M55" s="59">
        <v>0</v>
      </c>
    </row>
    <row r="56" spans="1:13" s="8" customFormat="1" ht="11.25" customHeight="1">
      <c r="A56" s="10" t="s">
        <v>7</v>
      </c>
      <c r="B56" s="59">
        <f>COUNTIFS(Jan!$B:$B,2131,Jan!$J:$J,12)</f>
        <v>1</v>
      </c>
      <c r="C56" s="59">
        <v>1</v>
      </c>
      <c r="D56" s="59">
        <v>1</v>
      </c>
      <c r="E56" s="59">
        <f>COUNTIFS(Apr!$B:$B,2131,Apr!$J:$J,12)</f>
        <v>0</v>
      </c>
      <c r="F56" s="59">
        <v>1</v>
      </c>
      <c r="G56" s="59">
        <f>COUNTIFS(Jun!$B:$B,2131,Jun!$J:$J,12)</f>
        <v>0</v>
      </c>
      <c r="H56" s="59">
        <f>COUNTIFS(Jul!$B:$B,2131,Jul!$J:$J,12)</f>
        <v>0</v>
      </c>
      <c r="I56" s="59">
        <v>1</v>
      </c>
      <c r="J56" s="59">
        <v>2</v>
      </c>
      <c r="K56" s="59">
        <f>COUNTIFS(Oct!$B:$B,2131,Oct!$J:$J,12)</f>
        <v>0</v>
      </c>
      <c r="L56" s="59">
        <v>2</v>
      </c>
      <c r="M56" s="59">
        <v>2</v>
      </c>
    </row>
    <row r="57" spans="1:13" s="8" customFormat="1" ht="11.25" customHeight="1">
      <c r="A57" s="10" t="s">
        <v>10</v>
      </c>
      <c r="B57" s="59">
        <f>COUNTIFS(Jan!$B:$B,2131,Jan!$J:$J,5100)</f>
        <v>0</v>
      </c>
      <c r="C57" s="59">
        <f>COUNTIFS(Feb!$B:$B,2131,Feb!$J:$J,5100)</f>
        <v>0</v>
      </c>
      <c r="D57" s="59">
        <f>COUNTIFS(Mar!$B:$B,2131,Mar!$J:$J,5100)</f>
        <v>0</v>
      </c>
      <c r="E57" s="59">
        <f>COUNTIFS(Apr!$B:$B,2131,Apr!$J:$J,5100)</f>
        <v>0</v>
      </c>
      <c r="F57" s="59">
        <f>COUNTIFS(May!$B:$B,2131,May!$J:$J,5100)</f>
        <v>0</v>
      </c>
      <c r="G57" s="59">
        <f>COUNTIFS(Jun!$B:$B,2131,Jun!$J:$J,5100)</f>
        <v>0</v>
      </c>
      <c r="H57" s="59">
        <f>COUNTIFS(Jul!$B:$B,2131,Jul!$J:$J,5100)</f>
        <v>0</v>
      </c>
      <c r="I57" s="59">
        <f>COUNTIFS(Aug!$B:$B,2131,Aug!$J:$J,5100)</f>
        <v>0</v>
      </c>
      <c r="J57" s="59">
        <f>COUNTIFS(Sep!$B:$B,2131,Sep!$J:$J,5100)</f>
        <v>0</v>
      </c>
      <c r="K57" s="59">
        <f>COUNTIFS(Oct!$B:$B,2131,Oct!$J:$J,5100)</f>
        <v>0</v>
      </c>
      <c r="L57" s="59">
        <f>COUNTIFS(Nov!$B:$B,2131,Nov!$J:$J,5100)</f>
        <v>0</v>
      </c>
      <c r="M57" s="59">
        <v>0</v>
      </c>
    </row>
    <row r="58" spans="1:13" s="8" customFormat="1" ht="11.25" customHeight="1">
      <c r="A58" s="10" t="s">
        <v>36</v>
      </c>
      <c r="B58" s="59">
        <f>COUNTIFS(Jan!$B:$B,2131,Jan!$J:$J,6200)</f>
        <v>0</v>
      </c>
      <c r="C58" s="59">
        <f>COUNTIFS(Feb!$B:$B,2131,Feb!$J:$J,6200)</f>
        <v>0</v>
      </c>
      <c r="D58" s="59">
        <f>COUNTIFS(Mar!$B:$B,2131,Mar!$J:$J,6200)</f>
        <v>0</v>
      </c>
      <c r="E58" s="59">
        <f>COUNTIFS(Apr!$B:$B,2131,Apr!$J:$J,6200)</f>
        <v>0</v>
      </c>
      <c r="F58" s="59">
        <f>COUNTIFS(May!$B:$B,2131,May!$J:$J,6200)</f>
        <v>0</v>
      </c>
      <c r="G58" s="59">
        <f>COUNTIFS(Jun!$B:$B,2131,Jun!$J:$J,6200)</f>
        <v>0</v>
      </c>
      <c r="H58" s="59">
        <f>COUNTIFS(Jul!$B:$B,2131,Jul!$J:$J,6200)</f>
        <v>0</v>
      </c>
      <c r="I58" s="59">
        <f>COUNTIFS(Aug!$B:$B,2131,Aug!$J:$J,6200)</f>
        <v>0</v>
      </c>
      <c r="J58" s="59">
        <f>COUNTIFS(Sep!$B:$B,2131,Sep!$J:$J,6200)</f>
        <v>0</v>
      </c>
      <c r="K58" s="59">
        <f>COUNTIFS(Oct!$B:$B,2131,Oct!$J:$J,6200)</f>
        <v>0</v>
      </c>
      <c r="L58" s="59">
        <f>COUNTIFS(Nov!$B:$B,2131,Nov!$J:$J,6200)</f>
        <v>0</v>
      </c>
      <c r="M58" s="59">
        <v>0</v>
      </c>
    </row>
    <row r="59" spans="1:13" s="8" customFormat="1" ht="11.25" customHeight="1">
      <c r="A59" s="10" t="s">
        <v>145</v>
      </c>
      <c r="B59" s="59">
        <f>COUNTIFS(Jan!$B:$B,2131,Jan!$J:$J,28)</f>
        <v>0</v>
      </c>
      <c r="C59" s="59">
        <f>COUNTIFS(Feb!$B:$B,2131,Feb!$J:$J,28)</f>
        <v>0</v>
      </c>
      <c r="D59" s="59">
        <f>COUNTIFS(Mar!$B:$B,2131,Mar!$J:$J,28)</f>
        <v>0</v>
      </c>
      <c r="E59" s="59">
        <f>COUNTIFS(Apr!$B:$B,2131,Apr!$J:$J,28)</f>
        <v>0</v>
      </c>
      <c r="F59" s="59">
        <f>COUNTIFS(May!$B:$B,2131,May!$J:$J,28)</f>
        <v>0</v>
      </c>
      <c r="G59" s="59">
        <f>COUNTIFS(Jun!$B:$B,2131,Jun!$J:$J,28)</f>
        <v>0</v>
      </c>
      <c r="H59" s="59">
        <f>COUNTIFS(Jul!$B:$B,2131,Jul!$J:$J,28)</f>
        <v>0</v>
      </c>
      <c r="I59" s="59">
        <f>COUNTIFS(Aug!$B:$B,2131,Aug!$J:$J,28)</f>
        <v>0</v>
      </c>
      <c r="J59" s="59">
        <f>COUNTIFS(Sep!$B:$B,2131,Sep!$J:$J,28)</f>
        <v>0</v>
      </c>
      <c r="K59" s="59">
        <f>COUNTIFS(Oct!$B:$B,2131,Oct!$J:$J,28)</f>
        <v>0</v>
      </c>
      <c r="L59" s="59">
        <f>COUNTIFS(Nov!$B:$B,2131,Nov!$J:$J,28)</f>
        <v>0</v>
      </c>
      <c r="M59" s="59">
        <v>0</v>
      </c>
    </row>
    <row r="60" spans="1:13" s="8" customFormat="1" ht="11.25" customHeight="1">
      <c r="A60" s="10" t="s">
        <v>38</v>
      </c>
      <c r="B60" s="59">
        <f>COUNTIFS(Jan!$B:$B,2131,Jan!$J:$J,6100)</f>
        <v>0</v>
      </c>
      <c r="C60" s="59">
        <v>2</v>
      </c>
      <c r="D60" s="59">
        <f>COUNTIFS(Mar!$B:$B,2131,Mar!$J:$J,6100)</f>
        <v>0</v>
      </c>
      <c r="E60" s="59">
        <v>1</v>
      </c>
      <c r="F60" s="59">
        <v>1</v>
      </c>
      <c r="G60" s="59">
        <v>3</v>
      </c>
      <c r="H60" s="59">
        <v>2</v>
      </c>
      <c r="I60" s="59">
        <f>COUNTIFS(Aug!$B:$B,2131,Aug!$J:$J,6100)</f>
        <v>0</v>
      </c>
      <c r="J60" s="59">
        <f>COUNTIFS(Sep!$B:$B,2131,Sep!$J:$J,6100)</f>
        <v>0</v>
      </c>
      <c r="K60" s="59">
        <f>COUNTIFS(Oct!$B:$B,2131,Oct!$J:$J,6100)</f>
        <v>0</v>
      </c>
      <c r="L60" s="59">
        <v>2</v>
      </c>
      <c r="M60" s="59">
        <v>0</v>
      </c>
    </row>
    <row r="61" spans="1:13" s="8" customFormat="1" ht="11.25" customHeight="1">
      <c r="A61" s="10" t="s">
        <v>9</v>
      </c>
      <c r="B61" s="59">
        <f>COUNTIFS(Jan!$B:$B,2131,Jan!$J:$J,6)</f>
        <v>0</v>
      </c>
      <c r="C61" s="59">
        <f>COUNTIFS(Feb!$B:$B,2131,Feb!$J:$J,6)</f>
        <v>0</v>
      </c>
      <c r="D61" s="59">
        <f>COUNTIFS(Mar!$B:$B,2131,Mar!$J:$J,6)</f>
        <v>0</v>
      </c>
      <c r="E61" s="59">
        <f>COUNTIFS(Apr!$B:$B,2131,Apr!$J:$J,6)</f>
        <v>0</v>
      </c>
      <c r="F61" s="59">
        <f>COUNTIFS(May!$B:$B,2131,May!$J:$J,6)</f>
        <v>0</v>
      </c>
      <c r="G61" s="59">
        <f>COUNTIFS(Jun!$B:$B,2131,Jun!$J:$J,6)</f>
        <v>0</v>
      </c>
      <c r="H61" s="59">
        <f>COUNTIFS(Jul!$B:$B,2131,Jul!$J:$J,6)</f>
        <v>0</v>
      </c>
      <c r="I61" s="59">
        <f>COUNTIFS(Aug!$B:$B,2131,Aug!$J:$J,6)</f>
        <v>0</v>
      </c>
      <c r="J61" s="59">
        <f>COUNTIFS(Sep!$B:$B,2131,Sep!$J:$J,6)</f>
        <v>0</v>
      </c>
      <c r="K61" s="59">
        <f>COUNTIFS(Oct!$B:$B,2131,Oct!$J:$J,6)</f>
        <v>0</v>
      </c>
      <c r="L61" s="59">
        <f>COUNTIFS(Nov!$B:$B,2131,Nov!$J:$J,6)</f>
        <v>0</v>
      </c>
      <c r="M61" s="59">
        <v>0</v>
      </c>
    </row>
    <row r="62" spans="1:13" s="8" customFormat="1" ht="11.25" customHeight="1">
      <c r="A62" s="10" t="s">
        <v>8</v>
      </c>
      <c r="B62" s="59">
        <f>COUNTIFS(Jan!$B:$B,2131,Jan!$J:$J,4)</f>
        <v>0</v>
      </c>
      <c r="C62" s="59">
        <f>COUNTIFS(Feb!$B:$B,2131,Feb!$J:$J,4)</f>
        <v>0</v>
      </c>
      <c r="D62" s="59">
        <f>COUNTIFS(Mar!$B:$B,2131,Mar!$J:$J,4)</f>
        <v>0</v>
      </c>
      <c r="E62" s="59">
        <f>COUNTIFS(Apr!$B:$B,2131,Apr!$J:$J,4)</f>
        <v>0</v>
      </c>
      <c r="F62" s="59">
        <f>COUNTIFS(May!$B:$B,2131,May!$J:$J,4)</f>
        <v>0</v>
      </c>
      <c r="G62" s="59">
        <f>COUNTIFS(Jun!$B:$B,2131,Jun!$J:$J,4)</f>
        <v>0</v>
      </c>
      <c r="H62" s="59">
        <f>COUNTIFS(Jul!$B:$B,2131,Jul!$J:$J,4)</f>
        <v>0</v>
      </c>
      <c r="I62" s="59">
        <f>COUNTIFS(Aug!$B:$B,2131,Aug!$J:$J,4)</f>
        <v>0</v>
      </c>
      <c r="J62" s="59">
        <f>COUNTIFS(Sep!$B:$B,2131,Sep!$J:$J,4)</f>
        <v>0</v>
      </c>
      <c r="K62" s="59">
        <f>COUNTIFS(Oct!$B:$B,2131,Oct!$J:$J,4)</f>
        <v>0</v>
      </c>
      <c r="L62" s="59">
        <f>COUNTIFS(Nov!$B:$B,2131,Nov!$J:$J,4)</f>
        <v>0</v>
      </c>
      <c r="M62" s="59">
        <v>0</v>
      </c>
    </row>
    <row r="63" spans="1:13" s="8" customFormat="1" ht="11.25" customHeight="1">
      <c r="A63" s="10" t="s">
        <v>6</v>
      </c>
      <c r="B63" s="59">
        <f>COUNTIFS(Jan!$B:$B,2131,Jan!$J:$J,5)</f>
        <v>0</v>
      </c>
      <c r="C63" s="59">
        <f>COUNTIFS(Feb!$B:$B,2131,Feb!$J:$J,5)</f>
        <v>0</v>
      </c>
      <c r="D63" s="59">
        <f>COUNTIFS(Mar!$B:$B,2131,Mar!$J:$J,5)</f>
        <v>0</v>
      </c>
      <c r="E63" s="59">
        <f>COUNTIFS(Apr!$B:$B,2131,Apr!$J:$J,5)</f>
        <v>0</v>
      </c>
      <c r="F63" s="59">
        <f>COUNTIFS(May!$B:$B,2131,May!$J:$J,5)</f>
        <v>0</v>
      </c>
      <c r="G63" s="59">
        <f>COUNTIFS(Jun!$B:$B,2131,Jun!$J:$J,5)</f>
        <v>0</v>
      </c>
      <c r="H63" s="59">
        <f>COUNTIFS(Jul!$B:$B,2131,Jul!$J:$J,5)</f>
        <v>0</v>
      </c>
      <c r="I63" s="59">
        <f>COUNTIFS(Aug!$B:$B,2131,Aug!$J:$J,5)</f>
        <v>0</v>
      </c>
      <c r="J63" s="59">
        <f>COUNTIFS(Sep!$B:$B,2131,Sep!$J:$J,5)</f>
        <v>0</v>
      </c>
      <c r="K63" s="59">
        <f>COUNTIFS(Oct!$B:$B,2131,Oct!$J:$J,5)</f>
        <v>0</v>
      </c>
      <c r="L63" s="59">
        <f>COUNTIFS(Nov!$B:$B,2131,Nov!$J:$J,5)</f>
        <v>0</v>
      </c>
      <c r="M63" s="59">
        <v>0</v>
      </c>
    </row>
    <row r="64" spans="1:13" s="8" customFormat="1" ht="11.25" customHeight="1">
      <c r="A64" s="52" t="s">
        <v>141</v>
      </c>
      <c r="B64" s="69">
        <f>COUNTIFS(Jan!$B:$B,2131,Jan!$F:$F,456)</f>
        <v>0</v>
      </c>
      <c r="C64" s="69">
        <f>COUNTIFS(Feb!$B:$B,2131,Feb!$F:$F,456)</f>
        <v>0</v>
      </c>
      <c r="D64" s="69">
        <v>1</v>
      </c>
      <c r="E64" s="69">
        <f>COUNTIFS(Apr!$B:$B,2131,Apr!$F:$F,456)</f>
        <v>0</v>
      </c>
      <c r="F64" s="69">
        <f>COUNTIFS(May!$B:$B,2131,May!$F:$F,456)</f>
        <v>0</v>
      </c>
      <c r="G64" s="69">
        <f>COUNTIFS(Jun!$B:$B,2131,Jun!$F:$F,456)</f>
        <v>0</v>
      </c>
      <c r="H64" s="69">
        <f>COUNTIFS(Jul!$B:$B,2131,Jul!$F:$F,456)</f>
        <v>0</v>
      </c>
      <c r="I64" s="69">
        <f>COUNTIFS(Aug!$B:$B,2131,Aug!$F:$F,456)</f>
        <v>0</v>
      </c>
      <c r="J64" s="69">
        <f>COUNTIFS(Sep!$B:$B,2131,Sep!$F:$F,456)</f>
        <v>0</v>
      </c>
      <c r="K64" s="69">
        <f>COUNTIFS(Oct!$B:$B,2131,Oct!$F:$F,456)</f>
        <v>0</v>
      </c>
      <c r="L64" s="69">
        <f>COUNTIFS(Nov!$B:$B,2131,Nov!$F:$F,456)</f>
        <v>0</v>
      </c>
      <c r="M64" s="69">
        <v>2</v>
      </c>
    </row>
    <row r="65" spans="1:13" s="8" customFormat="1" ht="11.25" customHeight="1" thickBot="1">
      <c r="A65" s="12" t="s">
        <v>16</v>
      </c>
      <c r="B65" s="70">
        <f>SUM(B54:B64)</f>
        <v>1</v>
      </c>
      <c r="C65" s="70">
        <f t="shared" ref="C65:M65" si="13">SUM(C54:C64)</f>
        <v>4</v>
      </c>
      <c r="D65" s="70">
        <f t="shared" si="13"/>
        <v>3</v>
      </c>
      <c r="E65" s="70">
        <f t="shared" si="13"/>
        <v>1</v>
      </c>
      <c r="F65" s="70">
        <f t="shared" si="13"/>
        <v>2</v>
      </c>
      <c r="G65" s="70">
        <f t="shared" si="13"/>
        <v>3</v>
      </c>
      <c r="H65" s="70">
        <f t="shared" si="13"/>
        <v>2</v>
      </c>
      <c r="I65" s="70">
        <f t="shared" si="13"/>
        <v>1</v>
      </c>
      <c r="J65" s="70">
        <f t="shared" si="13"/>
        <v>2</v>
      </c>
      <c r="K65" s="70">
        <f t="shared" si="13"/>
        <v>0</v>
      </c>
      <c r="L65" s="165">
        <f t="shared" si="13"/>
        <v>4</v>
      </c>
      <c r="M65" s="170">
        <f t="shared" si="13"/>
        <v>7</v>
      </c>
    </row>
    <row r="66" spans="1:13" s="8" customFormat="1" ht="15.75" customHeight="1">
      <c r="A66" s="6"/>
      <c r="B66" s="7"/>
      <c r="C66" s="7"/>
      <c r="D66" s="7"/>
      <c r="E66" s="7"/>
      <c r="F66" s="7"/>
      <c r="G66" s="7"/>
      <c r="H66" s="7"/>
      <c r="I66" s="7"/>
      <c r="J66" s="7"/>
      <c r="K66" s="7"/>
      <c r="L66" s="7"/>
      <c r="M66" s="7"/>
    </row>
    <row r="67" spans="1:13" ht="12" customHeight="1">
      <c r="A67" s="6"/>
      <c r="B67" s="7"/>
      <c r="C67" s="7"/>
      <c r="D67" s="7"/>
      <c r="E67" s="7"/>
      <c r="F67" s="7"/>
      <c r="G67" s="7"/>
      <c r="H67" s="7"/>
      <c r="I67" s="7"/>
      <c r="J67" s="7"/>
      <c r="K67" s="7"/>
      <c r="L67" s="7"/>
      <c r="M67" s="7"/>
    </row>
  </sheetData>
  <phoneticPr fontId="0" type="noConversion"/>
  <printOptions horizontalCentered="1" verticalCentered="1"/>
  <pageMargins left="0.14000000000000001" right="0.16" top="0.25" bottom="0.5" header="0.5" footer="0.25"/>
  <pageSetup scale="95" firstPageNumber="3" orientation="portrait" useFirstPageNumber="1" r:id="rId1"/>
  <headerFooter alignWithMargins="0">
    <oddFooter>&amp;R27 of 51</oddFooter>
  </headerFooter>
  <ignoredErrors>
    <ignoredError sqref="M32 M52 M65" formulaRange="1"/>
  </ignoredErrors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67"/>
  <sheetViews>
    <sheetView view="pageBreakPreview" topLeftCell="A19" zoomScale="90" zoomScaleNormal="100" zoomScaleSheetLayoutView="90" workbookViewId="0">
      <selection activeCell="M47" sqref="M47"/>
    </sheetView>
  </sheetViews>
  <sheetFormatPr defaultRowHeight="12.75"/>
  <cols>
    <col min="1" max="1" width="22.85546875" style="1" customWidth="1"/>
    <col min="2" max="13" width="7.140625" style="1" customWidth="1"/>
    <col min="14" max="14" width="4.42578125" style="1" customWidth="1"/>
    <col min="15" max="16384" width="9.140625" style="1"/>
  </cols>
  <sheetData>
    <row r="1" spans="1:21" ht="18" customHeight="1">
      <c r="A1" s="130"/>
      <c r="B1" s="131"/>
      <c r="C1" s="131"/>
      <c r="D1" s="131"/>
      <c r="E1" s="131"/>
      <c r="F1" s="131"/>
      <c r="G1" s="131"/>
      <c r="H1" s="130"/>
      <c r="I1" s="131"/>
      <c r="J1" s="131"/>
      <c r="K1" s="131"/>
      <c r="L1" s="130"/>
      <c r="M1" s="143" t="s">
        <v>22</v>
      </c>
    </row>
    <row r="2" spans="1:21" ht="18" customHeight="1">
      <c r="A2" s="130"/>
      <c r="B2" s="135"/>
      <c r="C2" s="135"/>
      <c r="D2" s="135"/>
      <c r="E2" s="135"/>
      <c r="F2" s="135"/>
      <c r="G2" s="135"/>
      <c r="H2" s="130"/>
      <c r="I2" s="135"/>
      <c r="J2" s="135"/>
      <c r="K2" s="135"/>
      <c r="L2" s="130"/>
      <c r="M2" s="155" t="s">
        <v>13</v>
      </c>
    </row>
    <row r="3" spans="1:21" s="5" customFormat="1" ht="18" customHeight="1">
      <c r="A3" s="133"/>
      <c r="B3" s="133"/>
      <c r="C3" s="133"/>
      <c r="D3" s="133"/>
      <c r="E3" s="133"/>
      <c r="F3" s="133"/>
      <c r="G3" s="133"/>
      <c r="H3" s="133"/>
      <c r="I3" s="133"/>
      <c r="J3" s="136"/>
      <c r="K3" s="136"/>
      <c r="L3" s="133"/>
      <c r="M3" s="155" t="s">
        <v>68</v>
      </c>
      <c r="N3" s="134"/>
      <c r="O3" s="134"/>
      <c r="P3" s="134"/>
      <c r="Q3" s="134"/>
      <c r="R3" s="134"/>
      <c r="S3" s="134"/>
      <c r="T3" s="134"/>
      <c r="U3" s="134"/>
    </row>
    <row r="4" spans="1:21" s="8" customFormat="1" ht="6.75" customHeight="1" thickBot="1">
      <c r="A4" s="38"/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</row>
    <row r="5" spans="1:21" s="8" customFormat="1" ht="11.25" customHeight="1" thickBot="1">
      <c r="A5" s="53" t="s">
        <v>19</v>
      </c>
      <c r="B5" s="50">
        <v>41275</v>
      </c>
      <c r="C5" s="47">
        <v>41306</v>
      </c>
      <c r="D5" s="47">
        <v>41334</v>
      </c>
      <c r="E5" s="47">
        <v>41365</v>
      </c>
      <c r="F5" s="47">
        <v>41395</v>
      </c>
      <c r="G5" s="47">
        <v>41426</v>
      </c>
      <c r="H5" s="47">
        <v>41456</v>
      </c>
      <c r="I5" s="47">
        <v>41487</v>
      </c>
      <c r="J5" s="47">
        <v>41518</v>
      </c>
      <c r="K5" s="47">
        <v>41548</v>
      </c>
      <c r="L5" s="47">
        <v>41579</v>
      </c>
      <c r="M5" s="51">
        <v>41609</v>
      </c>
    </row>
    <row r="6" spans="1:21" s="8" customFormat="1" ht="11.25" customHeight="1">
      <c r="A6" s="41" t="s">
        <v>129</v>
      </c>
      <c r="B6" s="57">
        <f t="shared" ref="B6:M6" si="0">B32</f>
        <v>39</v>
      </c>
      <c r="C6" s="57">
        <f t="shared" si="0"/>
        <v>24</v>
      </c>
      <c r="D6" s="57">
        <f t="shared" si="0"/>
        <v>12</v>
      </c>
      <c r="E6" s="57">
        <f t="shared" si="0"/>
        <v>36</v>
      </c>
      <c r="F6" s="57">
        <f t="shared" si="0"/>
        <v>41</v>
      </c>
      <c r="G6" s="57">
        <f t="shared" si="0"/>
        <v>29</v>
      </c>
      <c r="H6" s="57">
        <f t="shared" si="0"/>
        <v>29</v>
      </c>
      <c r="I6" s="57">
        <f t="shared" si="0"/>
        <v>30</v>
      </c>
      <c r="J6" s="57">
        <f t="shared" si="0"/>
        <v>27</v>
      </c>
      <c r="K6" s="57">
        <f t="shared" si="0"/>
        <v>12</v>
      </c>
      <c r="L6" s="156">
        <f t="shared" si="0"/>
        <v>17</v>
      </c>
      <c r="M6" s="168">
        <f t="shared" si="0"/>
        <v>34</v>
      </c>
    </row>
    <row r="7" spans="1:21" s="8" customFormat="1" ht="11.25" customHeight="1">
      <c r="A7" s="42" t="s">
        <v>18</v>
      </c>
      <c r="B7" s="57">
        <f t="shared" ref="B7:M7" si="1">SUM(B10:B12)</f>
        <v>69</v>
      </c>
      <c r="C7" s="57">
        <f t="shared" si="1"/>
        <v>63</v>
      </c>
      <c r="D7" s="57">
        <f t="shared" si="1"/>
        <v>95</v>
      </c>
      <c r="E7" s="57">
        <f t="shared" si="1"/>
        <v>105</v>
      </c>
      <c r="F7" s="57">
        <f t="shared" si="1"/>
        <v>141</v>
      </c>
      <c r="G7" s="57">
        <f t="shared" si="1"/>
        <v>147</v>
      </c>
      <c r="H7" s="57">
        <f t="shared" si="1"/>
        <v>112</v>
      </c>
      <c r="I7" s="57">
        <f t="shared" si="1"/>
        <v>149</v>
      </c>
      <c r="J7" s="57">
        <f t="shared" si="1"/>
        <v>116</v>
      </c>
      <c r="K7" s="57">
        <f t="shared" si="1"/>
        <v>95</v>
      </c>
      <c r="L7" s="156">
        <f t="shared" si="1"/>
        <v>93</v>
      </c>
      <c r="M7" s="171">
        <f t="shared" si="1"/>
        <v>127</v>
      </c>
    </row>
    <row r="8" spans="1:21" s="8" customFormat="1" ht="11.25" customHeight="1" thickBot="1">
      <c r="A8" s="43" t="s">
        <v>14</v>
      </c>
      <c r="B8" s="58">
        <f t="shared" ref="B8:M8" si="2">SUM(B6:B7)</f>
        <v>108</v>
      </c>
      <c r="C8" s="58">
        <f t="shared" si="2"/>
        <v>87</v>
      </c>
      <c r="D8" s="58">
        <f t="shared" si="2"/>
        <v>107</v>
      </c>
      <c r="E8" s="58">
        <f t="shared" si="2"/>
        <v>141</v>
      </c>
      <c r="F8" s="58">
        <f t="shared" si="2"/>
        <v>182</v>
      </c>
      <c r="G8" s="58">
        <f t="shared" si="2"/>
        <v>176</v>
      </c>
      <c r="H8" s="58">
        <f t="shared" si="2"/>
        <v>141</v>
      </c>
      <c r="I8" s="58">
        <f t="shared" si="2"/>
        <v>179</v>
      </c>
      <c r="J8" s="58">
        <f t="shared" si="2"/>
        <v>143</v>
      </c>
      <c r="K8" s="58">
        <f t="shared" si="2"/>
        <v>107</v>
      </c>
      <c r="L8" s="157">
        <f t="shared" si="2"/>
        <v>110</v>
      </c>
      <c r="M8" s="172">
        <f t="shared" si="2"/>
        <v>161</v>
      </c>
    </row>
    <row r="9" spans="1:21" s="8" customFormat="1" ht="11.25" customHeight="1" thickBot="1">
      <c r="A9" s="54" t="s">
        <v>18</v>
      </c>
      <c r="B9" s="50">
        <v>41275</v>
      </c>
      <c r="C9" s="47">
        <v>41306</v>
      </c>
      <c r="D9" s="47">
        <v>41334</v>
      </c>
      <c r="E9" s="47">
        <v>41365</v>
      </c>
      <c r="F9" s="47">
        <v>41395</v>
      </c>
      <c r="G9" s="47">
        <v>41426</v>
      </c>
      <c r="H9" s="47">
        <v>41456</v>
      </c>
      <c r="I9" s="47">
        <v>41487</v>
      </c>
      <c r="J9" s="47">
        <v>41518</v>
      </c>
      <c r="K9" s="47">
        <v>41548</v>
      </c>
      <c r="L9" s="47">
        <v>41579</v>
      </c>
      <c r="M9" s="51">
        <v>41609</v>
      </c>
    </row>
    <row r="10" spans="1:21" s="8" customFormat="1" ht="11.25" customHeight="1">
      <c r="A10" s="9" t="s">
        <v>128</v>
      </c>
      <c r="B10" s="57">
        <f t="shared" ref="B10:M10" si="3">B52</f>
        <v>41</v>
      </c>
      <c r="C10" s="57">
        <f t="shared" si="3"/>
        <v>31</v>
      </c>
      <c r="D10" s="57">
        <f t="shared" si="3"/>
        <v>43</v>
      </c>
      <c r="E10" s="57">
        <f t="shared" si="3"/>
        <v>51</v>
      </c>
      <c r="F10" s="57">
        <f t="shared" si="3"/>
        <v>62</v>
      </c>
      <c r="G10" s="59">
        <f t="shared" si="3"/>
        <v>82</v>
      </c>
      <c r="H10" s="59">
        <f t="shared" si="3"/>
        <v>67</v>
      </c>
      <c r="I10" s="59">
        <f t="shared" si="3"/>
        <v>79</v>
      </c>
      <c r="J10" s="59">
        <f t="shared" si="3"/>
        <v>61</v>
      </c>
      <c r="K10" s="59">
        <f t="shared" si="3"/>
        <v>44</v>
      </c>
      <c r="L10" s="158">
        <f t="shared" si="3"/>
        <v>50</v>
      </c>
      <c r="M10" s="168">
        <f t="shared" si="3"/>
        <v>57</v>
      </c>
    </row>
    <row r="11" spans="1:21" s="8" customFormat="1" ht="11.25" customHeight="1">
      <c r="A11" s="9" t="s">
        <v>127</v>
      </c>
      <c r="B11" s="59">
        <f t="shared" ref="B11:M11" si="4">B65</f>
        <v>20</v>
      </c>
      <c r="C11" s="59">
        <f t="shared" si="4"/>
        <v>18</v>
      </c>
      <c r="D11" s="59">
        <f t="shared" si="4"/>
        <v>24</v>
      </c>
      <c r="E11" s="59">
        <f t="shared" si="4"/>
        <v>19</v>
      </c>
      <c r="F11" s="59">
        <f t="shared" si="4"/>
        <v>29</v>
      </c>
      <c r="G11" s="59">
        <f t="shared" si="4"/>
        <v>19</v>
      </c>
      <c r="H11" s="59">
        <f t="shared" si="4"/>
        <v>16</v>
      </c>
      <c r="I11" s="59">
        <f t="shared" si="4"/>
        <v>17</v>
      </c>
      <c r="J11" s="59">
        <f t="shared" si="4"/>
        <v>12</v>
      </c>
      <c r="K11" s="59">
        <f t="shared" si="4"/>
        <v>5</v>
      </c>
      <c r="L11" s="158">
        <f t="shared" si="4"/>
        <v>12</v>
      </c>
      <c r="M11" s="169">
        <f t="shared" si="4"/>
        <v>26</v>
      </c>
    </row>
    <row r="12" spans="1:21" s="8" customFormat="1" ht="11.25" customHeight="1" thickBot="1">
      <c r="A12" s="2" t="s">
        <v>12</v>
      </c>
      <c r="B12" s="60">
        <f>COUNTIFS(Jan!$B:$B,2132,Jan!$F:$F,800)</f>
        <v>8</v>
      </c>
      <c r="C12" s="60">
        <v>14</v>
      </c>
      <c r="D12" s="60">
        <v>28</v>
      </c>
      <c r="E12" s="60">
        <v>35</v>
      </c>
      <c r="F12" s="60">
        <v>50</v>
      </c>
      <c r="G12" s="60">
        <v>46</v>
      </c>
      <c r="H12" s="60">
        <v>29</v>
      </c>
      <c r="I12" s="60">
        <v>53</v>
      </c>
      <c r="J12" s="60">
        <v>43</v>
      </c>
      <c r="K12" s="60">
        <v>46</v>
      </c>
      <c r="L12" s="60">
        <v>31</v>
      </c>
      <c r="M12" s="60">
        <v>44</v>
      </c>
    </row>
    <row r="13" spans="1:21" s="8" customFormat="1" ht="5.0999999999999996" customHeight="1" thickBot="1">
      <c r="A13" s="3"/>
      <c r="B13" s="17"/>
      <c r="C13" s="17"/>
      <c r="D13" s="17"/>
      <c r="E13" s="17"/>
      <c r="F13" s="17"/>
      <c r="G13" s="17"/>
      <c r="H13" s="17"/>
      <c r="I13" s="17"/>
      <c r="J13" s="17"/>
      <c r="K13" s="17"/>
      <c r="L13" s="17"/>
      <c r="M13" s="147"/>
    </row>
    <row r="14" spans="1:21" s="16" customFormat="1" ht="11.25" customHeight="1">
      <c r="A14" s="44" t="s">
        <v>131</v>
      </c>
      <c r="B14" s="120">
        <v>9672</v>
      </c>
      <c r="C14" s="120">
        <v>8326</v>
      </c>
      <c r="D14" s="120">
        <v>10688</v>
      </c>
      <c r="E14" s="120">
        <v>9786</v>
      </c>
      <c r="F14" s="120">
        <v>10722</v>
      </c>
      <c r="G14" s="120">
        <v>9731</v>
      </c>
      <c r="H14" s="119">
        <v>8311</v>
      </c>
      <c r="I14" s="61">
        <v>9873</v>
      </c>
      <c r="J14" s="61">
        <v>9314</v>
      </c>
      <c r="K14" s="118">
        <v>10633</v>
      </c>
      <c r="L14" s="160">
        <v>9483</v>
      </c>
      <c r="M14" s="173">
        <v>10324</v>
      </c>
      <c r="O14" s="22"/>
      <c r="P14" s="22"/>
      <c r="Q14" s="22"/>
    </row>
    <row r="15" spans="1:21" s="8" customFormat="1" ht="11.25" customHeight="1">
      <c r="A15" s="45" t="s">
        <v>132</v>
      </c>
      <c r="B15" s="62">
        <f>IFERROR((SUMIFS(Jan!$N:$N,Jan!$J:$J,1,Jan!$B:$B,2132)+SUMIFS(Jan!$N:$N,Jan!$D:$D,"&gt;1",Jan!$B:$B,2132))/(COUNTIFS(Jan!$J:$J,1,Jan!$B:$B,2132)+COUNTIFS(Jan!$D:$D,"&gt;1",Jan!$B:$B,2132)),"")</f>
        <v>23.944444444444443</v>
      </c>
      <c r="C15" s="62">
        <v>22.31</v>
      </c>
      <c r="D15" s="62">
        <v>22.25</v>
      </c>
      <c r="E15" s="62">
        <v>22.56</v>
      </c>
      <c r="F15" s="62">
        <v>21.72</v>
      </c>
      <c r="G15" s="62">
        <v>21.22</v>
      </c>
      <c r="H15" s="62">
        <v>22.21</v>
      </c>
      <c r="I15" s="62">
        <v>21.61</v>
      </c>
      <c r="J15" s="62">
        <v>21.75</v>
      </c>
      <c r="K15" s="62">
        <v>23.02</v>
      </c>
      <c r="L15" s="62">
        <v>21.44</v>
      </c>
      <c r="M15" s="62">
        <v>20.92</v>
      </c>
      <c r="N15" s="15"/>
      <c r="O15" s="1"/>
      <c r="P15" s="1"/>
      <c r="Q15" s="1"/>
    </row>
    <row r="16" spans="1:21" s="8" customFormat="1" ht="11.25" customHeight="1">
      <c r="A16" s="45" t="s">
        <v>133</v>
      </c>
      <c r="B16" s="62">
        <f>IFERROR(AVERAGEIFS(Jan!$N:$N,Jan!$F:$F,800,Jan!$B:$B,2132),"")</f>
        <v>22.75</v>
      </c>
      <c r="C16" s="62">
        <v>25.18</v>
      </c>
      <c r="D16" s="62">
        <v>23.67</v>
      </c>
      <c r="E16" s="62">
        <v>23.56</v>
      </c>
      <c r="F16" s="62">
        <v>22.93</v>
      </c>
      <c r="G16" s="62">
        <v>22.27</v>
      </c>
      <c r="H16" s="62">
        <v>23.5</v>
      </c>
      <c r="I16" s="62">
        <v>22.41</v>
      </c>
      <c r="J16" s="62">
        <v>22.64</v>
      </c>
      <c r="K16" s="62">
        <v>23.85</v>
      </c>
      <c r="L16" s="62">
        <v>22.03</v>
      </c>
      <c r="M16" s="62">
        <v>22.54</v>
      </c>
      <c r="O16" s="1"/>
      <c r="P16" s="1"/>
      <c r="Q16" s="1"/>
    </row>
    <row r="17" spans="1:17" s="8" customFormat="1" ht="11.25" customHeight="1">
      <c r="A17" s="45" t="s">
        <v>134</v>
      </c>
      <c r="B17" s="63">
        <f>IFERROR((SUMIFS(Jan!$M:$M,Jan!$J:$J,1,Jan!$B:$B,2132)+SUMIFS(Jan!$M:$M,Jan!$D:$D,"&gt;1",Jan!$B:$B,2132))/(COUNTIFS(Jan!$J:$J,1,Jan!$B:$B,2132)+COUNTIFS(Jan!$D:$D,"&gt;1",Jan!$B:$B,2132)),"")</f>
        <v>0.75555555555555554</v>
      </c>
      <c r="C17" s="63">
        <v>2.0099999999999998</v>
      </c>
      <c r="D17" s="63">
        <v>0.92</v>
      </c>
      <c r="E17" s="63">
        <v>2.2799999999999998</v>
      </c>
      <c r="F17" s="63">
        <v>1.85</v>
      </c>
      <c r="G17" s="63">
        <v>1.32</v>
      </c>
      <c r="H17" s="63">
        <v>2.12</v>
      </c>
      <c r="I17" s="63">
        <v>1.7</v>
      </c>
      <c r="J17" s="63">
        <v>1.8</v>
      </c>
      <c r="K17" s="63">
        <v>1.24</v>
      </c>
      <c r="L17" s="63">
        <v>1.92</v>
      </c>
      <c r="M17" s="63">
        <v>2.46</v>
      </c>
      <c r="O17" s="1"/>
      <c r="P17" s="1"/>
      <c r="Q17" s="1"/>
    </row>
    <row r="18" spans="1:17" s="8" customFormat="1" ht="11.25" customHeight="1" thickBot="1">
      <c r="A18" s="43" t="s">
        <v>135</v>
      </c>
      <c r="B18" s="64">
        <f>IFERROR(AVERAGEIFS(Jan!$M:$M,Jan!$F:$F,800,Jan!$B:$B,2132),"")</f>
        <v>0.96249999999999991</v>
      </c>
      <c r="C18" s="64">
        <v>1.4</v>
      </c>
      <c r="D18" s="64">
        <v>0.8</v>
      </c>
      <c r="E18" s="64">
        <v>0.87</v>
      </c>
      <c r="F18" s="64">
        <v>0.71</v>
      </c>
      <c r="G18" s="64">
        <v>0.86</v>
      </c>
      <c r="H18" s="64">
        <v>0.49</v>
      </c>
      <c r="I18" s="64">
        <v>0.66</v>
      </c>
      <c r="J18" s="64">
        <v>0.6</v>
      </c>
      <c r="K18" s="64">
        <v>0.75</v>
      </c>
      <c r="L18" s="64">
        <v>0.68</v>
      </c>
      <c r="M18" s="64">
        <v>1.1100000000000001</v>
      </c>
    </row>
    <row r="19" spans="1:17" s="8" customFormat="1" ht="5.0999999999999996" customHeight="1" thickBot="1">
      <c r="A19" s="3"/>
      <c r="B19" s="17"/>
      <c r="C19" s="17"/>
      <c r="D19" s="17"/>
      <c r="E19" s="17"/>
      <c r="F19" s="17"/>
      <c r="G19" s="17"/>
      <c r="H19" s="17"/>
      <c r="I19" s="17"/>
      <c r="J19" s="17"/>
      <c r="K19" s="17"/>
      <c r="L19" s="17"/>
      <c r="M19" s="147"/>
    </row>
    <row r="20" spans="1:17" s="8" customFormat="1" ht="11.25" customHeight="1">
      <c r="A20" s="42" t="s">
        <v>52</v>
      </c>
      <c r="B20" s="65">
        <v>31</v>
      </c>
      <c r="C20" s="65">
        <v>28</v>
      </c>
      <c r="D20" s="65">
        <v>31</v>
      </c>
      <c r="E20" s="65">
        <v>30</v>
      </c>
      <c r="F20" s="65">
        <v>31</v>
      </c>
      <c r="G20" s="65">
        <v>30</v>
      </c>
      <c r="H20" s="65">
        <v>31</v>
      </c>
      <c r="I20" s="65">
        <v>31</v>
      </c>
      <c r="J20" s="65">
        <v>30</v>
      </c>
      <c r="K20" s="65">
        <v>31</v>
      </c>
      <c r="L20" s="161">
        <v>30</v>
      </c>
      <c r="M20" s="174">
        <v>31</v>
      </c>
    </row>
    <row r="21" spans="1:17" s="8" customFormat="1" ht="11.25" customHeight="1">
      <c r="A21" s="9" t="s">
        <v>15</v>
      </c>
      <c r="B21" s="66">
        <f>B12/B20</f>
        <v>0.25806451612903225</v>
      </c>
      <c r="C21" s="66">
        <f t="shared" ref="C21:M21" si="5">C12/C20</f>
        <v>0.5</v>
      </c>
      <c r="D21" s="66">
        <f>D12/D20</f>
        <v>0.90322580645161288</v>
      </c>
      <c r="E21" s="66">
        <f>E12/E20</f>
        <v>1.1666666666666667</v>
      </c>
      <c r="F21" s="66">
        <f>F12/F20</f>
        <v>1.6129032258064515</v>
      </c>
      <c r="G21" s="66">
        <f>G12/G20</f>
        <v>1.5333333333333334</v>
      </c>
      <c r="H21" s="66">
        <f t="shared" si="5"/>
        <v>0.93548387096774188</v>
      </c>
      <c r="I21" s="66">
        <f t="shared" si="5"/>
        <v>1.7096774193548387</v>
      </c>
      <c r="J21" s="66">
        <f t="shared" si="5"/>
        <v>1.4333333333333333</v>
      </c>
      <c r="K21" s="66">
        <f t="shared" si="5"/>
        <v>1.4838709677419355</v>
      </c>
      <c r="L21" s="162">
        <f t="shared" si="5"/>
        <v>1.0333333333333334</v>
      </c>
      <c r="M21" s="175">
        <f t="shared" si="5"/>
        <v>1.4193548387096775</v>
      </c>
    </row>
    <row r="22" spans="1:17" s="8" customFormat="1" ht="11.25" customHeight="1">
      <c r="A22" s="9" t="s">
        <v>130</v>
      </c>
      <c r="B22" s="67">
        <f t="shared" ref="B22:G22" si="6">IFERROR(B12/B7,0)</f>
        <v>0.11594202898550725</v>
      </c>
      <c r="C22" s="67">
        <f t="shared" si="6"/>
        <v>0.22222222222222221</v>
      </c>
      <c r="D22" s="67">
        <f t="shared" si="6"/>
        <v>0.29473684210526313</v>
      </c>
      <c r="E22" s="67">
        <f t="shared" si="6"/>
        <v>0.33333333333333331</v>
      </c>
      <c r="F22" s="67">
        <f t="shared" si="6"/>
        <v>0.3546099290780142</v>
      </c>
      <c r="G22" s="67">
        <f t="shared" si="6"/>
        <v>0.31292517006802723</v>
      </c>
      <c r="H22" s="67">
        <f t="shared" ref="H22:M22" si="7">IFERROR(H12/H7,0)</f>
        <v>0.25892857142857145</v>
      </c>
      <c r="I22" s="67">
        <f t="shared" si="7"/>
        <v>0.35570469798657717</v>
      </c>
      <c r="J22" s="67">
        <f t="shared" si="7"/>
        <v>0.37068965517241381</v>
      </c>
      <c r="K22" s="116">
        <f t="shared" si="7"/>
        <v>0.48421052631578948</v>
      </c>
      <c r="L22" s="67">
        <f t="shared" si="7"/>
        <v>0.33333333333333331</v>
      </c>
      <c r="M22" s="176">
        <f t="shared" si="7"/>
        <v>0.34645669291338582</v>
      </c>
      <c r="N22" s="1"/>
    </row>
    <row r="23" spans="1:17" s="8" customFormat="1" ht="11.25" customHeight="1" thickBot="1">
      <c r="A23" s="9" t="s">
        <v>53</v>
      </c>
      <c r="B23" s="67">
        <f t="shared" ref="B23:G23" si="8">IFERROR(B12/(B11+B12),0)</f>
        <v>0.2857142857142857</v>
      </c>
      <c r="C23" s="67">
        <f t="shared" si="8"/>
        <v>0.4375</v>
      </c>
      <c r="D23" s="67">
        <f t="shared" si="8"/>
        <v>0.53846153846153844</v>
      </c>
      <c r="E23" s="67">
        <f t="shared" si="8"/>
        <v>0.64814814814814814</v>
      </c>
      <c r="F23" s="67">
        <f t="shared" si="8"/>
        <v>0.63291139240506333</v>
      </c>
      <c r="G23" s="67">
        <f t="shared" si="8"/>
        <v>0.70769230769230773</v>
      </c>
      <c r="H23" s="67">
        <f t="shared" ref="H23:M23" si="9">IFERROR(H12/(H11+H12),0)</f>
        <v>0.64444444444444449</v>
      </c>
      <c r="I23" s="67">
        <f t="shared" si="9"/>
        <v>0.75714285714285712</v>
      </c>
      <c r="J23" s="67">
        <f t="shared" si="9"/>
        <v>0.78181818181818186</v>
      </c>
      <c r="K23" s="117">
        <f t="shared" si="9"/>
        <v>0.90196078431372551</v>
      </c>
      <c r="L23" s="163">
        <f t="shared" si="9"/>
        <v>0.72093023255813948</v>
      </c>
      <c r="M23" s="177">
        <f t="shared" si="9"/>
        <v>0.62857142857142856</v>
      </c>
      <c r="N23" s="4"/>
    </row>
    <row r="24" spans="1:17" s="8" customFormat="1" ht="11.25" customHeight="1" thickBot="1">
      <c r="A24" s="56" t="s">
        <v>21</v>
      </c>
      <c r="B24" s="50">
        <v>41275</v>
      </c>
      <c r="C24" s="47">
        <v>41306</v>
      </c>
      <c r="D24" s="47">
        <v>41334</v>
      </c>
      <c r="E24" s="47">
        <v>41365</v>
      </c>
      <c r="F24" s="47">
        <v>41395</v>
      </c>
      <c r="G24" s="47">
        <v>41426</v>
      </c>
      <c r="H24" s="47">
        <v>41456</v>
      </c>
      <c r="I24" s="47">
        <v>41487</v>
      </c>
      <c r="J24" s="47">
        <v>41518</v>
      </c>
      <c r="K24" s="47">
        <v>41548</v>
      </c>
      <c r="L24" s="47">
        <v>41579</v>
      </c>
      <c r="M24" s="51">
        <v>41609</v>
      </c>
    </row>
    <row r="25" spans="1:17" s="8" customFormat="1" ht="11.25" customHeight="1">
      <c r="A25" s="18" t="s">
        <v>5</v>
      </c>
      <c r="B25" s="68">
        <f>COUNTIFS(Jan!$B:$B,2132,Jan!$J:$J,18)</f>
        <v>19</v>
      </c>
      <c r="C25" s="68">
        <v>6</v>
      </c>
      <c r="D25" s="68">
        <v>1</v>
      </c>
      <c r="E25" s="68">
        <v>13</v>
      </c>
      <c r="F25" s="68">
        <v>10</v>
      </c>
      <c r="G25" s="68">
        <v>6</v>
      </c>
      <c r="H25" s="68">
        <v>11</v>
      </c>
      <c r="I25" s="68">
        <v>8</v>
      </c>
      <c r="J25" s="68">
        <v>8</v>
      </c>
      <c r="K25" s="68">
        <v>3</v>
      </c>
      <c r="L25" s="68">
        <v>6</v>
      </c>
      <c r="M25" s="68">
        <v>10</v>
      </c>
    </row>
    <row r="26" spans="1:17" s="8" customFormat="1" ht="11.25" customHeight="1">
      <c r="A26" s="46" t="s">
        <v>40</v>
      </c>
      <c r="B26" s="57">
        <f>COUNTIFS(Jan!$B:$B,2132,Jan!$J:$J,41)</f>
        <v>0</v>
      </c>
      <c r="C26" s="57">
        <f>COUNTIFS(Feb!$B:$B,2132,Feb!$J:$J,41)</f>
        <v>0</v>
      </c>
      <c r="D26" s="57">
        <f>COUNTIFS(Mar!$B:$B,2132,Mar!$J:$J,41)</f>
        <v>0</v>
      </c>
      <c r="E26" s="57">
        <v>9</v>
      </c>
      <c r="F26" s="57">
        <f>COUNTIFS(May!$B:$B,2132,May!$J:$J,41)</f>
        <v>0</v>
      </c>
      <c r="G26" s="57">
        <v>4</v>
      </c>
      <c r="H26" s="57">
        <f>COUNTIFS(Jul!$B:$B,2132,Jul!$J:$J,41)</f>
        <v>0</v>
      </c>
      <c r="I26" s="57">
        <f>COUNTIFS(Aug!$B:$B,2132,Aug!$J:$J,41)</f>
        <v>0</v>
      </c>
      <c r="J26" s="57">
        <f>COUNTIFS(Sep!$B:$B,2132,Sep!$J:$J,41)</f>
        <v>0</v>
      </c>
      <c r="K26" s="57">
        <f>COUNTIFS(Oct!$B:$B,2132,Oct!$J:$J,41)</f>
        <v>0</v>
      </c>
      <c r="L26" s="57">
        <f>COUNTIFS(Nov!$B:$B,2132,Nov!$J:$J,41)</f>
        <v>0</v>
      </c>
      <c r="M26" s="57">
        <v>0</v>
      </c>
    </row>
    <row r="27" spans="1:17" s="8" customFormat="1" ht="11.25" customHeight="1">
      <c r="A27" s="9" t="s">
        <v>11</v>
      </c>
      <c r="B27" s="179">
        <f>COUNTIFS(Jan!$B:$B,2132,Jan!$J:$J,17)</f>
        <v>20</v>
      </c>
      <c r="C27" s="206">
        <v>17</v>
      </c>
      <c r="D27" s="206">
        <v>11</v>
      </c>
      <c r="E27" s="206">
        <v>14</v>
      </c>
      <c r="F27" s="206">
        <v>27</v>
      </c>
      <c r="G27" s="206">
        <v>18</v>
      </c>
      <c r="H27" s="206">
        <v>18</v>
      </c>
      <c r="I27" s="206">
        <v>21</v>
      </c>
      <c r="J27" s="206">
        <v>19</v>
      </c>
      <c r="K27" s="206">
        <v>9</v>
      </c>
      <c r="L27" s="206">
        <v>11</v>
      </c>
      <c r="M27" s="206">
        <v>24</v>
      </c>
    </row>
    <row r="28" spans="1:17" s="8" customFormat="1" ht="11.25" customHeight="1">
      <c r="A28" s="9" t="s">
        <v>143</v>
      </c>
      <c r="B28" s="59">
        <f>COUNTIFS(Jan!$B:$B,2132,Jan!$F:$F,455)</f>
        <v>0</v>
      </c>
      <c r="C28" s="59">
        <f>COUNTIFS(Feb!$B:$B,2132,Feb!$F:$F,455)</f>
        <v>0</v>
      </c>
      <c r="D28" s="59">
        <f>COUNTIFS(Mar!$B:$B,2132,Mar!$F:$F,455)</f>
        <v>0</v>
      </c>
      <c r="E28" s="59">
        <f>COUNTIFS(Apr!$B:$B,2132,Apr!$F:$F,455)</f>
        <v>0</v>
      </c>
      <c r="F28" s="59">
        <f>COUNTIFS(May!$B:$B,2132,May!$F:$F,455)</f>
        <v>0</v>
      </c>
      <c r="G28" s="59">
        <f>COUNTIFS(Jun!$B:$B,2132,Jun!$F:$F,455)</f>
        <v>0</v>
      </c>
      <c r="H28" s="59">
        <f>COUNTIFS(Jul!$B:$B,2132,Jul!$F:$F,455)</f>
        <v>0</v>
      </c>
      <c r="I28" s="59">
        <f>COUNTIFS(Aug!$B:$B,2132,Aug!$F:$F,455)</f>
        <v>0</v>
      </c>
      <c r="J28" s="59">
        <f>COUNTIFS(Sep!$B:$B,2132,Sep!$F:$F,455)</f>
        <v>0</v>
      </c>
      <c r="K28" s="59">
        <f>COUNTIFS(Oct!$B:$B,2132,Oct!$F:$F,455)</f>
        <v>0</v>
      </c>
      <c r="L28" s="59">
        <f>COUNTIFS(Nov!$B:$B,2132,Nov!$F:$F,455)</f>
        <v>0</v>
      </c>
      <c r="M28" s="59">
        <v>0</v>
      </c>
    </row>
    <row r="29" spans="1:17" s="8" customFormat="1" ht="11.25" customHeight="1">
      <c r="A29" s="9" t="s">
        <v>23</v>
      </c>
      <c r="B29" s="59">
        <f>COUNTIFS(Jan!$B:$B,2132,Jan!$J:$J,31)</f>
        <v>0</v>
      </c>
      <c r="C29" s="59">
        <f>COUNTIFS(Feb!$B:$B,2132,Feb!$J:$J,31)</f>
        <v>0</v>
      </c>
      <c r="D29" s="59">
        <f>COUNTIFS(Mar!$B:$B,2132,Mar!$J:$J,31)</f>
        <v>0</v>
      </c>
      <c r="E29" s="59">
        <f>COUNTIFS(Apr!$B:$B,2132,Apr!$J:$J,31)</f>
        <v>0</v>
      </c>
      <c r="F29" s="59">
        <f>COUNTIFS(May!$B:$B,2132,May!$J:$J,31)</f>
        <v>0</v>
      </c>
      <c r="G29" s="59">
        <f>COUNTIFS(Jun!$B:$B,2132,Jun!$J:$J,31)</f>
        <v>0</v>
      </c>
      <c r="H29" s="59">
        <f>COUNTIFS(Jul!$B:$B,2132,Jul!$J:$J,31)</f>
        <v>0</v>
      </c>
      <c r="I29" s="59">
        <v>0</v>
      </c>
      <c r="J29" s="59">
        <f>COUNTIFS(Sep!$B:$B,2132,Sep!$J:$J,31)</f>
        <v>0</v>
      </c>
      <c r="K29" s="59">
        <f>COUNTIFS(Oct!$B:$B,2132,Oct!$J:$J,31)</f>
        <v>0</v>
      </c>
      <c r="L29" s="59">
        <f>COUNTIFS(Nov!$B:$B,2132,Nov!$J:$J,31)</f>
        <v>0</v>
      </c>
      <c r="M29" s="59">
        <v>0</v>
      </c>
    </row>
    <row r="30" spans="1:17" s="8" customFormat="1" ht="11.25" customHeight="1">
      <c r="A30" s="9" t="s">
        <v>37</v>
      </c>
      <c r="B30" s="59">
        <f>COUNTIFS(Jan!$B:$B,2132,Jan!$J:$J,4400)</f>
        <v>0</v>
      </c>
      <c r="C30" s="59">
        <v>1</v>
      </c>
      <c r="D30" s="59">
        <f>COUNTIFS(Mar!$B:$B,2132,Mar!$J:$J,4400)</f>
        <v>0</v>
      </c>
      <c r="E30" s="59">
        <f>COUNTIFS(Apr!$B:$B,2132,Apr!$J:$J,4400)</f>
        <v>0</v>
      </c>
      <c r="F30" s="59">
        <v>4</v>
      </c>
      <c r="G30" s="59">
        <v>1</v>
      </c>
      <c r="H30" s="59">
        <f>COUNTIFS(Jul!$B:$B,2132,Jul!$J:$J,4400)</f>
        <v>0</v>
      </c>
      <c r="I30" s="59">
        <v>1</v>
      </c>
      <c r="J30" s="59">
        <f>COUNTIFS(Sep!$B:$B,2132,Sep!$J:$J,4400)</f>
        <v>0</v>
      </c>
      <c r="K30" s="59">
        <f>COUNTIFS(Oct!$B:$B,2132,Oct!$J:$J,4400)</f>
        <v>0</v>
      </c>
      <c r="L30" s="59">
        <f>COUNTIFS(Nov!$B:$B,2132,Nov!$J:$J,4400)</f>
        <v>0</v>
      </c>
      <c r="M30" s="59">
        <v>0</v>
      </c>
    </row>
    <row r="31" spans="1:17" s="8" customFormat="1" ht="11.25" customHeight="1">
      <c r="A31" s="10" t="s">
        <v>24</v>
      </c>
      <c r="B31" s="59">
        <f>COUNTIFS(Jan!$B:$B,2132,Jan!$J:$J,30)</f>
        <v>0</v>
      </c>
      <c r="C31" s="59">
        <f>COUNTIFS(Feb!$B:$B,2132,Feb!$J:$J,30)</f>
        <v>0</v>
      </c>
      <c r="D31" s="59">
        <f>COUNTIFS(Mar!$B:$B,2132,Mar!$J:$J,30)</f>
        <v>0</v>
      </c>
      <c r="E31" s="59">
        <f>COUNTIFS(Apr!$B:$B,2132,Apr!$J:$J,30)</f>
        <v>0</v>
      </c>
      <c r="F31" s="59">
        <f>COUNTIFS(May!$B:$B,2132,May!$J:$J,30)</f>
        <v>0</v>
      </c>
      <c r="G31" s="59">
        <v>0</v>
      </c>
      <c r="H31" s="59">
        <f>COUNTIFS(Jul!$B:$B,2132,Jul!$J:$J,30)</f>
        <v>0</v>
      </c>
      <c r="I31" s="59">
        <f>COUNTIFS(Aug!$B:$B,2132,Aug!$J:$J,30)</f>
        <v>0</v>
      </c>
      <c r="J31" s="59">
        <f>COUNTIFS(Sep!$B:$B,2132,Sep!$J:$J,30)</f>
        <v>0</v>
      </c>
      <c r="K31" s="59">
        <f>COUNTIFS(Oct!$B:$B,2132,Oct!$J:$J,30)</f>
        <v>0</v>
      </c>
      <c r="L31" s="59">
        <f>COUNTIFS(Nov!$B:$B,2132,Nov!$J:$J,30)</f>
        <v>0</v>
      </c>
      <c r="M31" s="59">
        <v>0</v>
      </c>
    </row>
    <row r="32" spans="1:17" s="14" customFormat="1" ht="11.25" customHeight="1" thickBot="1">
      <c r="A32" s="2" t="s">
        <v>140</v>
      </c>
      <c r="B32" s="60">
        <f>SUM(B25:B31)</f>
        <v>39</v>
      </c>
      <c r="C32" s="60">
        <f t="shared" ref="C32:M32" si="10">SUM(C25:C31)</f>
        <v>24</v>
      </c>
      <c r="D32" s="60">
        <f>SUM(D25:D31)</f>
        <v>12</v>
      </c>
      <c r="E32" s="60">
        <f>SUM(E25:E31)</f>
        <v>36</v>
      </c>
      <c r="F32" s="60">
        <f>SUM(F25:F31)</f>
        <v>41</v>
      </c>
      <c r="G32" s="60">
        <f>SUM(G25:G31)</f>
        <v>29</v>
      </c>
      <c r="H32" s="60">
        <f t="shared" si="10"/>
        <v>29</v>
      </c>
      <c r="I32" s="60">
        <f t="shared" si="10"/>
        <v>30</v>
      </c>
      <c r="J32" s="60">
        <f t="shared" si="10"/>
        <v>27</v>
      </c>
      <c r="K32" s="60">
        <f t="shared" si="10"/>
        <v>12</v>
      </c>
      <c r="L32" s="159">
        <f t="shared" si="10"/>
        <v>17</v>
      </c>
      <c r="M32" s="170">
        <f t="shared" si="10"/>
        <v>34</v>
      </c>
    </row>
    <row r="33" spans="1:13" ht="12" customHeight="1" thickBot="1">
      <c r="A33" s="55" t="s">
        <v>136</v>
      </c>
      <c r="B33" s="50">
        <v>41275</v>
      </c>
      <c r="C33" s="47">
        <v>41306</v>
      </c>
      <c r="D33" s="47">
        <v>41334</v>
      </c>
      <c r="E33" s="47">
        <v>41365</v>
      </c>
      <c r="F33" s="47">
        <v>41395</v>
      </c>
      <c r="G33" s="47">
        <v>41426</v>
      </c>
      <c r="H33" s="47">
        <v>41456</v>
      </c>
      <c r="I33" s="47">
        <v>41487</v>
      </c>
      <c r="J33" s="47">
        <v>41518</v>
      </c>
      <c r="K33" s="47">
        <v>41548</v>
      </c>
      <c r="L33" s="47">
        <v>41579</v>
      </c>
      <c r="M33" s="51">
        <v>41609</v>
      </c>
    </row>
    <row r="34" spans="1:13" s="8" customFormat="1" ht="11.25" customHeight="1">
      <c r="A34" s="46" t="s">
        <v>33</v>
      </c>
      <c r="B34" s="57">
        <f>COUNTIFS(Jan!$B:$B,2132,Jan!$J:$J,40)</f>
        <v>0</v>
      </c>
      <c r="C34" s="57">
        <f>COUNTIFS(Feb!$B:$B,2132,Feb!$J:$J,40)</f>
        <v>0</v>
      </c>
      <c r="D34" s="57">
        <v>2</v>
      </c>
      <c r="E34" s="57">
        <f>COUNTIFS(Apr!$B:$B,2132,Apr!$J:$J,40)</f>
        <v>0</v>
      </c>
      <c r="F34" s="57">
        <f>COUNTIFS(May!$B:$B,2132,May!$J:$J,40)</f>
        <v>0</v>
      </c>
      <c r="G34" s="57">
        <v>1</v>
      </c>
      <c r="H34" s="57">
        <f>COUNTIFS(Jul!$B:$B,2132,Jul!$J:$J,40)</f>
        <v>0</v>
      </c>
      <c r="I34" s="57">
        <v>1</v>
      </c>
      <c r="J34" s="57">
        <f>COUNTIFS(Sep!$B:$B,2132,Sep!$J:$J,40)</f>
        <v>0</v>
      </c>
      <c r="K34" s="57">
        <f>COUNTIFS(Oct!$B:$B,2132,Oct!$J:$J,40)</f>
        <v>0</v>
      </c>
      <c r="L34" s="57">
        <f>COUNTIFS(Nov!$B:$B,2132,Nov!$J:$J,40)</f>
        <v>0</v>
      </c>
      <c r="M34" s="57">
        <v>0</v>
      </c>
    </row>
    <row r="35" spans="1:13" s="8" customFormat="1" ht="11.25" customHeight="1">
      <c r="A35" s="10" t="s">
        <v>4</v>
      </c>
      <c r="B35" s="59">
        <f>COUNTIFS(Jan!$B:$B,2132,Jan!$J:$J,15)</f>
        <v>7</v>
      </c>
      <c r="C35" s="59">
        <v>5</v>
      </c>
      <c r="D35" s="59">
        <v>5</v>
      </c>
      <c r="E35" s="59">
        <v>9</v>
      </c>
      <c r="F35" s="59">
        <v>7</v>
      </c>
      <c r="G35" s="59">
        <v>13</v>
      </c>
      <c r="H35" s="59">
        <v>7</v>
      </c>
      <c r="I35" s="59">
        <v>13</v>
      </c>
      <c r="J35" s="59">
        <v>13</v>
      </c>
      <c r="K35" s="59">
        <v>5</v>
      </c>
      <c r="L35" s="59">
        <v>10</v>
      </c>
      <c r="M35" s="59">
        <v>13</v>
      </c>
    </row>
    <row r="36" spans="1:13" s="8" customFormat="1" ht="11.25" customHeight="1">
      <c r="A36" s="10" t="s">
        <v>39</v>
      </c>
      <c r="B36" s="59">
        <f>COUNTIFS(Jan!$B:$B,2132,Jan!$J:$J,29)</f>
        <v>3</v>
      </c>
      <c r="C36" s="59">
        <v>3</v>
      </c>
      <c r="D36" s="59">
        <v>2</v>
      </c>
      <c r="E36" s="59">
        <v>4</v>
      </c>
      <c r="F36" s="59">
        <v>9</v>
      </c>
      <c r="G36" s="59">
        <v>6</v>
      </c>
      <c r="H36" s="59">
        <v>3</v>
      </c>
      <c r="I36" s="59">
        <v>4</v>
      </c>
      <c r="J36" s="59">
        <v>4</v>
      </c>
      <c r="K36" s="59">
        <v>5</v>
      </c>
      <c r="L36" s="59">
        <v>3</v>
      </c>
      <c r="M36" s="59">
        <v>4</v>
      </c>
    </row>
    <row r="37" spans="1:13" s="8" customFormat="1" ht="11.25" customHeight="1">
      <c r="A37" s="10" t="s">
        <v>3</v>
      </c>
      <c r="B37" s="59">
        <f>COUNTIFS(Jan!$B:$B,2132,Jan!$J:$J,13)</f>
        <v>0</v>
      </c>
      <c r="C37" s="59">
        <f>COUNTIFS(Feb!$B:$B,2132,Feb!$J:$J,13)</f>
        <v>0</v>
      </c>
      <c r="D37" s="59">
        <v>0</v>
      </c>
      <c r="E37" s="59">
        <f>COUNTIFS(Apr!$B:$B,2132,Apr!$J:$J,13)</f>
        <v>0</v>
      </c>
      <c r="F37" s="59">
        <f>COUNTIFS(May!$B:$B,2132,May!$J:$J,13)</f>
        <v>0</v>
      </c>
      <c r="G37" s="59">
        <f>COUNTIFS(Jun!$B:$B,2132,Jun!$J:$J,13)</f>
        <v>0</v>
      </c>
      <c r="H37" s="59">
        <f>COUNTIFS(Jul!$B:$B,2132,Jul!$J:$J,13)</f>
        <v>0</v>
      </c>
      <c r="I37" s="59">
        <v>1</v>
      </c>
      <c r="J37" s="59">
        <v>1</v>
      </c>
      <c r="K37" s="59">
        <f>COUNTIFS(Oct!$B:$B,2132,Oct!$J:$J,13)</f>
        <v>0</v>
      </c>
      <c r="L37" s="59">
        <f>COUNTIFS(Nov!$B:$B,2132,Nov!$J:$J,13)</f>
        <v>0</v>
      </c>
      <c r="M37" s="59">
        <v>0</v>
      </c>
    </row>
    <row r="38" spans="1:13" s="8" customFormat="1" ht="11.25" customHeight="1">
      <c r="A38" s="9" t="s">
        <v>218</v>
      </c>
      <c r="B38" s="59">
        <f>COUNTIFS(Jan!$B:$B,2232,Jan!$J:$J,43)</f>
        <v>0</v>
      </c>
      <c r="C38" s="59">
        <v>3</v>
      </c>
      <c r="D38" s="59">
        <v>7</v>
      </c>
      <c r="E38" s="59">
        <v>4</v>
      </c>
      <c r="F38" s="59">
        <v>9</v>
      </c>
      <c r="G38" s="59">
        <v>10</v>
      </c>
      <c r="H38" s="59">
        <v>6</v>
      </c>
      <c r="I38" s="59">
        <v>11</v>
      </c>
      <c r="J38" s="59">
        <v>10</v>
      </c>
      <c r="K38" s="59">
        <v>5</v>
      </c>
      <c r="L38" s="59">
        <v>8</v>
      </c>
      <c r="M38" s="59">
        <v>10</v>
      </c>
    </row>
    <row r="39" spans="1:13" s="8" customFormat="1" ht="11.25" customHeight="1">
      <c r="A39" s="10" t="s">
        <v>25</v>
      </c>
      <c r="B39" s="59">
        <f>COUNTIFS(Jan!$B:$B,2132,Jan!$J:$J,24)</f>
        <v>6</v>
      </c>
      <c r="C39" s="59">
        <v>1</v>
      </c>
      <c r="D39" s="59">
        <v>8</v>
      </c>
      <c r="E39" s="59">
        <v>11</v>
      </c>
      <c r="F39" s="59">
        <v>6</v>
      </c>
      <c r="G39" s="59">
        <v>11</v>
      </c>
      <c r="H39" s="59">
        <v>5</v>
      </c>
      <c r="I39" s="59">
        <v>2</v>
      </c>
      <c r="J39" s="59">
        <v>10</v>
      </c>
      <c r="K39" s="59">
        <v>6</v>
      </c>
      <c r="L39" s="59">
        <v>8</v>
      </c>
      <c r="M39" s="59">
        <v>2</v>
      </c>
    </row>
    <row r="40" spans="1:13" s="8" customFormat="1" ht="11.25" customHeight="1">
      <c r="A40" s="10" t="s">
        <v>34</v>
      </c>
      <c r="B40" s="59">
        <f>COUNTIFS(Jan!$B:$B,2132,Jan!$J:$J,9)</f>
        <v>0</v>
      </c>
      <c r="C40" s="59">
        <f>COUNTIFS(Feb!$B:$B,2132,Feb!$J:$J,9)</f>
        <v>0</v>
      </c>
      <c r="D40" s="59">
        <f>COUNTIFS(Mar!$B:$B,2132,Mar!$J:$J,9)</f>
        <v>0</v>
      </c>
      <c r="E40" s="59">
        <v>1</v>
      </c>
      <c r="F40" s="59">
        <f>COUNTIFS(May!$B:$B,2132,May!$J:$J,9)</f>
        <v>0</v>
      </c>
      <c r="G40" s="59">
        <f>COUNTIFS(Jun!$B:$B,2132,Jun!$J:$J,9)</f>
        <v>0</v>
      </c>
      <c r="H40" s="59">
        <v>1</v>
      </c>
      <c r="I40" s="59">
        <f>COUNTIFS(Aug!$B:$B,2132,Aug!$J:$J,9)</f>
        <v>0</v>
      </c>
      <c r="J40" s="59">
        <v>1</v>
      </c>
      <c r="K40" s="59">
        <f>COUNTIFS(Oct!$B:$B,2132,Oct!$J:$J,9)</f>
        <v>0</v>
      </c>
      <c r="L40" s="59">
        <f>COUNTIFS(Nov!$B:$B,2132,Nov!$J:$J,9)</f>
        <v>0</v>
      </c>
      <c r="M40" s="59">
        <v>0</v>
      </c>
    </row>
    <row r="41" spans="1:13" s="8" customFormat="1" ht="11.25" customHeight="1">
      <c r="A41" s="10" t="s">
        <v>31</v>
      </c>
      <c r="B41" s="59">
        <f>COUNTIFS(Jan!$B:$B,2132,Jan!$J:$J,10)</f>
        <v>5</v>
      </c>
      <c r="C41" s="59">
        <v>9</v>
      </c>
      <c r="D41" s="59">
        <v>11</v>
      </c>
      <c r="E41" s="59">
        <v>8</v>
      </c>
      <c r="F41" s="59">
        <v>11</v>
      </c>
      <c r="G41" s="59">
        <v>14</v>
      </c>
      <c r="H41" s="59">
        <v>26</v>
      </c>
      <c r="I41" s="59">
        <v>27</v>
      </c>
      <c r="J41" s="59">
        <v>5</v>
      </c>
      <c r="K41" s="59">
        <v>8</v>
      </c>
      <c r="L41" s="59">
        <v>7</v>
      </c>
      <c r="M41" s="59">
        <v>9</v>
      </c>
    </row>
    <row r="42" spans="1:13" s="8" customFormat="1" ht="11.25" customHeight="1">
      <c r="A42" s="10" t="s">
        <v>144</v>
      </c>
      <c r="B42" s="59">
        <f>COUNTIFS(Jan!$B:$B,2132,Jan!$F:$F,462)</f>
        <v>0</v>
      </c>
      <c r="C42" s="59">
        <f>COUNTIFS(Feb!$B:$B,2132,Feb!$F:$F,462)</f>
        <v>0</v>
      </c>
      <c r="D42" s="59">
        <f>COUNTIFS(Mar!$B:$B,2132,Mar!$F:$F,462)</f>
        <v>0</v>
      </c>
      <c r="E42" s="59">
        <f>COUNTIFS(Apr!$B:$B,2132,Apr!$F:$F,462)</f>
        <v>0</v>
      </c>
      <c r="F42" s="59">
        <f>COUNTIFS(May!$B:$B,2132,May!$F:$F,462)</f>
        <v>0</v>
      </c>
      <c r="G42" s="59">
        <f>COUNTIFS(Jun!$B:$B,2132,Jun!$F:$F,462)</f>
        <v>0</v>
      </c>
      <c r="H42" s="59">
        <f>COUNTIFS(Jul!$B:$B,2132,Jul!$F:$F,462)</f>
        <v>0</v>
      </c>
      <c r="I42" s="59">
        <f>COUNTIFS(Aug!$B:$B,2132,Aug!$F:$F,462)</f>
        <v>0</v>
      </c>
      <c r="J42" s="59">
        <f>COUNTIFS(Sep!$B:$B,2132,Sep!$F:$F,462)</f>
        <v>0</v>
      </c>
      <c r="K42" s="59">
        <f>COUNTIFS(Oct!$B:$B,2132,Oct!$F:$F,462)</f>
        <v>0</v>
      </c>
      <c r="L42" s="59">
        <f>COUNTIFS(Nov!$B:$B,2132,Nov!$F:$F,462)</f>
        <v>0</v>
      </c>
      <c r="M42" s="59">
        <v>0</v>
      </c>
    </row>
    <row r="43" spans="1:13" s="8" customFormat="1" ht="11.25" customHeight="1">
      <c r="A43" s="10" t="s">
        <v>1</v>
      </c>
      <c r="B43" s="59">
        <f>COUNTIFS(Jan!$B:$B,2132,Jan!$J:$J,11)</f>
        <v>1</v>
      </c>
      <c r="C43" s="59">
        <f>COUNTIFS(Feb!$B:$B,2132,Feb!$J:$J,11)</f>
        <v>0</v>
      </c>
      <c r="D43" s="59">
        <f>COUNTIFS(Mar!$B:$B,2132,Mar!$J:$J,11)</f>
        <v>0</v>
      </c>
      <c r="E43" s="59">
        <f>COUNTIFS(Apr!$B:$B,2132,Apr!$J:$J,11)</f>
        <v>0</v>
      </c>
      <c r="F43" s="59">
        <f>COUNTIFS(May!$B:$B,2132,May!$J:$J,11)</f>
        <v>0</v>
      </c>
      <c r="G43" s="59">
        <f>COUNTIFS(Jun!$B:$B,2132,Jun!$J:$J,11)</f>
        <v>0</v>
      </c>
      <c r="H43" s="59">
        <v>1</v>
      </c>
      <c r="I43" s="59">
        <f>COUNTIFS(Aug!$B:$B,2132,Aug!$J:$J,11)</f>
        <v>0</v>
      </c>
      <c r="J43" s="59">
        <f>COUNTIFS(Sep!$B:$B,2132,Sep!$J:$J,11)</f>
        <v>0</v>
      </c>
      <c r="K43" s="59">
        <f>COUNTIFS(Oct!$B:$B,2132,Oct!$J:$J,11)</f>
        <v>0</v>
      </c>
      <c r="L43" s="59">
        <f>COUNTIFS(Nov!$B:$B,2132,Nov!$J:$J,11)</f>
        <v>0</v>
      </c>
      <c r="M43" s="59">
        <v>1</v>
      </c>
    </row>
    <row r="44" spans="1:13" s="8" customFormat="1" ht="11.25" customHeight="1">
      <c r="A44" s="10" t="s">
        <v>26</v>
      </c>
      <c r="B44" s="59">
        <f>COUNTIFS(Jan!$B:$B,2132,Jan!$J:$J,20)</f>
        <v>0</v>
      </c>
      <c r="C44" s="59">
        <f>COUNTIFS(Feb!$B:$B,2132,Feb!$J:$J,20)</f>
        <v>0</v>
      </c>
      <c r="D44" s="59">
        <f>COUNTIFS(Mar!$B:$B,2132,Mar!$J:$J,20)</f>
        <v>0</v>
      </c>
      <c r="E44" s="59">
        <f>COUNTIFS(Apr!$B:$B,2132,Apr!$J:$J,20)</f>
        <v>0</v>
      </c>
      <c r="F44" s="59">
        <f>COUNTIFS(May!$B:$B,2132,May!$J:$J,20)</f>
        <v>0</v>
      </c>
      <c r="G44" s="59">
        <v>1</v>
      </c>
      <c r="H44" s="59">
        <f>COUNTIFS(Jul!$B:$B,2132,Jul!$J:$J,20)</f>
        <v>0</v>
      </c>
      <c r="I44" s="59">
        <v>1</v>
      </c>
      <c r="J44" s="59">
        <f>COUNTIFS(Sep!$B:$B,2132,Sep!$J:$J,20)</f>
        <v>0</v>
      </c>
      <c r="K44" s="59">
        <f>COUNTIFS(Oct!$B:$B,2132,Oct!$J:$J,20)</f>
        <v>0</v>
      </c>
      <c r="L44" s="59">
        <f>COUNTIFS(Nov!$B:$B,2132,Nov!$J:$J,20)</f>
        <v>0</v>
      </c>
      <c r="M44" s="59">
        <v>0</v>
      </c>
    </row>
    <row r="45" spans="1:13" s="8" customFormat="1" ht="11.25" customHeight="1">
      <c r="A45" s="10" t="s">
        <v>32</v>
      </c>
      <c r="B45" s="59">
        <f>COUNTIFS(Jan!$B:$B,2132,Jan!$J:$J,2)</f>
        <v>11</v>
      </c>
      <c r="C45" s="59">
        <v>7</v>
      </c>
      <c r="D45" s="59">
        <v>8</v>
      </c>
      <c r="E45" s="59">
        <v>13</v>
      </c>
      <c r="F45" s="59">
        <v>14</v>
      </c>
      <c r="G45" s="59">
        <v>16</v>
      </c>
      <c r="H45" s="59">
        <v>12</v>
      </c>
      <c r="I45" s="59">
        <v>14</v>
      </c>
      <c r="J45" s="59">
        <v>13</v>
      </c>
      <c r="K45" s="59">
        <v>9</v>
      </c>
      <c r="L45" s="59">
        <v>10</v>
      </c>
      <c r="M45" s="59">
        <v>9</v>
      </c>
    </row>
    <row r="46" spans="1:13" s="8" customFormat="1" ht="11.25" customHeight="1">
      <c r="A46" s="10" t="s">
        <v>28</v>
      </c>
      <c r="B46" s="59">
        <f>COUNTIFS(Jan!$B:$B,2132,Jan!$J:$J,1700)+COUNTIFS(Jan!$B:$B,2132,Jan!$F:$F,1700)+COUNTIFS(Jan!$B:$B,2132,Jan!$J:$J,19)</f>
        <v>0</v>
      </c>
      <c r="C46" s="59">
        <f>COUNTIFS(Feb!$B:$B,2132,Feb!$J:$J,1700)+COUNTIFS(Feb!$B:$B,2132,Feb!$F:$F,1700)+COUNTIFS(Feb!$B:$B,2132,Feb!$J:$J,19)</f>
        <v>0</v>
      </c>
      <c r="D46" s="59">
        <f>COUNTIFS(Mar!$B:$B,2132,Mar!$J:$J,1700)+COUNTIFS(Mar!$B:$B,2132,Mar!$F:$F,1700)+COUNTIFS(Mar!$B:$B,2132,Mar!$J:$J,19)</f>
        <v>0</v>
      </c>
      <c r="E46" s="59">
        <f>COUNTIFS(Apr!$B:$B,2132,Apr!$J:$J,1700)+COUNTIFS(Apr!$B:$B,2132,Apr!$F:$F,1700)+COUNTIFS(Apr!$B:$B,2132,Apr!$J:$J,19)</f>
        <v>0</v>
      </c>
      <c r="F46" s="59">
        <f>COUNTIFS(May!$B:$B,2132,May!$J:$J,1700)+COUNTIFS(May!$B:$B,2132,May!$F:$F,1700)+COUNTIFS(May!$B:$B,2132,May!$J:$J,19)</f>
        <v>0</v>
      </c>
      <c r="G46" s="59">
        <v>0</v>
      </c>
      <c r="H46" s="59">
        <f>COUNTIFS(Jul!$B:$B,2132,Jul!$J:$J,1700)+COUNTIFS(Jul!$B:$B,2132,Jul!$F:$F,1700)+COUNTIFS(Jul!$B:$B,2132,Jul!$J:$J,19)</f>
        <v>0</v>
      </c>
      <c r="I46" s="59">
        <f>COUNTIFS(Aug!$B:$B,2132,Aug!$J:$J,1700)+COUNTIFS(Aug!$B:$B,2132,Aug!$F:$F,1700)+COUNTIFS(Aug!$B:$B,2132,Aug!$J:$J,19)</f>
        <v>0</v>
      </c>
      <c r="J46" s="59">
        <f>COUNTIFS(Sep!$B:$B,2132,Sep!$J:$J,1700)+COUNTIFS(Sep!$B:$B,2132,Sep!$F:$F,1700)+COUNTIFS(Sep!$B:$B,2132,Sep!$J:$J,19)</f>
        <v>0</v>
      </c>
      <c r="K46" s="59">
        <f>COUNTIFS(Oct!$B:$B,2132,Oct!$J:$J,1700)+COUNTIFS(Oct!$B:$B,2132,Oct!$F:$F,1700)+COUNTIFS(Oct!$B:$B,2132,Oct!$J:$J,19)</f>
        <v>0</v>
      </c>
      <c r="L46" s="59">
        <f>COUNTIFS(Nov!$B:$B,2132,Nov!$J:$J,1700)+COUNTIFS(Nov!$B:$B,2132,Nov!$F:$F,1700)+COUNTIFS(Nov!$B:$B,2132,Nov!$J:$J,19)</f>
        <v>0</v>
      </c>
      <c r="M46" s="59">
        <v>3</v>
      </c>
    </row>
    <row r="47" spans="1:13" s="8" customFormat="1" ht="11.25" customHeight="1">
      <c r="A47" s="10" t="s">
        <v>0</v>
      </c>
      <c r="B47" s="59">
        <f>COUNTIFS(Jan!$B:$B,2132,Jan!$J:$J,3)</f>
        <v>6</v>
      </c>
      <c r="C47" s="59">
        <v>2</v>
      </c>
      <c r="D47" s="59">
        <f>COUNTIFS(Mar!$B:$B,2132,Mar!$J:$J,3)</f>
        <v>0</v>
      </c>
      <c r="E47" s="59">
        <f>COUNTIFS(Apr!$B:$B,2132,Apr!$J:$J,3)</f>
        <v>0</v>
      </c>
      <c r="F47" s="59">
        <v>3</v>
      </c>
      <c r="G47" s="59">
        <v>5</v>
      </c>
      <c r="H47" s="59">
        <v>2</v>
      </c>
      <c r="I47" s="59">
        <v>3</v>
      </c>
      <c r="J47" s="59">
        <v>3</v>
      </c>
      <c r="K47" s="59">
        <v>2</v>
      </c>
      <c r="L47" s="59">
        <v>2</v>
      </c>
      <c r="M47" s="59">
        <v>5</v>
      </c>
    </row>
    <row r="48" spans="1:13" s="8" customFormat="1" ht="11.25" customHeight="1">
      <c r="A48" s="10" t="s">
        <v>35</v>
      </c>
      <c r="B48" s="59">
        <f>COUNTIFS(Jan!$B:$B,2132,Jan!$J:$J,7400)</f>
        <v>0</v>
      </c>
      <c r="C48" s="59">
        <f>COUNTIFS(Feb!$B:$B,2132,Feb!$J:$J,7400)</f>
        <v>0</v>
      </c>
      <c r="D48" s="59">
        <f>COUNTIFS(Mar!$B:$B,2132,Mar!$J:$J,7400)</f>
        <v>0</v>
      </c>
      <c r="E48" s="59">
        <f>COUNTIFS(Apr!$B:$B,2132,Apr!$J:$J,7400)</f>
        <v>0</v>
      </c>
      <c r="F48" s="59">
        <f>COUNTIFS(May!$B:$B,2132,May!$J:$J,7400)</f>
        <v>0</v>
      </c>
      <c r="G48" s="59">
        <v>1</v>
      </c>
      <c r="H48" s="59">
        <f>COUNTIFS(Jul!$B:$B,2132,Jul!$J:$J,7400)</f>
        <v>0</v>
      </c>
      <c r="I48" s="59">
        <f>COUNTIFS(Aug!$B:$B,2132,Aug!$J:$J,7400)</f>
        <v>0</v>
      </c>
      <c r="J48" s="59">
        <f>COUNTIFS(Sep!$B:$B,2132,Sep!$J:$J,7400)</f>
        <v>0</v>
      </c>
      <c r="K48" s="59">
        <v>1</v>
      </c>
      <c r="L48" s="59">
        <f>COUNTIFS(Nov!$B:$B,2132,Nov!$J:$J,7400)</f>
        <v>0</v>
      </c>
      <c r="M48" s="59">
        <v>0</v>
      </c>
    </row>
    <row r="49" spans="1:13" s="8" customFormat="1" ht="11.25" customHeight="1">
      <c r="A49" s="10" t="s">
        <v>2</v>
      </c>
      <c r="B49" s="59">
        <f>COUNTIFS(Jan!$B:$B,2132,Jan!$J:$J,14)</f>
        <v>2</v>
      </c>
      <c r="C49" s="59">
        <v>1</v>
      </c>
      <c r="D49" s="59">
        <f>COUNTIFS(Mar!$B:$B,2132,Mar!$J:$J,14)</f>
        <v>0</v>
      </c>
      <c r="E49" s="59">
        <v>1</v>
      </c>
      <c r="F49" s="59">
        <v>3</v>
      </c>
      <c r="G49" s="59">
        <v>4</v>
      </c>
      <c r="H49" s="59">
        <v>4</v>
      </c>
      <c r="I49" s="59">
        <v>2</v>
      </c>
      <c r="J49" s="59">
        <v>1</v>
      </c>
      <c r="K49" s="59">
        <v>3</v>
      </c>
      <c r="L49" s="59">
        <v>1</v>
      </c>
      <c r="M49" s="59">
        <v>1</v>
      </c>
    </row>
    <row r="50" spans="1:13" s="8" customFormat="1" ht="11.25" customHeight="1">
      <c r="A50" s="10" t="s">
        <v>142</v>
      </c>
      <c r="B50" s="59">
        <f>COUNTIFS(Jan!$B:$B,2132,Jan!$F:$F,466)</f>
        <v>0</v>
      </c>
      <c r="C50" s="59">
        <f>COUNTIFS(Feb!$B:$B,2132,Feb!$F:$F,466)</f>
        <v>0</v>
      </c>
      <c r="D50" s="59">
        <f>COUNTIFS(Mar!$B:$B,2132,Mar!$F:$F,466)</f>
        <v>0</v>
      </c>
      <c r="E50" s="59">
        <f>COUNTIFS(Apr!$B:$B,2132,Apr!$F:$F,466)</f>
        <v>0</v>
      </c>
      <c r="F50" s="59">
        <f>COUNTIFS(May!$B:$B,2132,May!$F:$F,466)</f>
        <v>0</v>
      </c>
      <c r="G50" s="59">
        <f>COUNTIFS(Jun!$B:$B,2132,Jun!$F:$F,466)</f>
        <v>0</v>
      </c>
      <c r="H50" s="59">
        <f>COUNTIFS(Jul!$B:$B,2132,Jul!$F:$F,466)</f>
        <v>0</v>
      </c>
      <c r="I50" s="59">
        <f>COUNTIFS(Aug!$B:$B,2132,Aug!$F:$F,466)</f>
        <v>0</v>
      </c>
      <c r="J50" s="59">
        <f>COUNTIFS(Sep!$B:$B,2132,Sep!$F:$F,466)</f>
        <v>0</v>
      </c>
      <c r="K50" s="59">
        <f>COUNTIFS(Oct!$B:$B,2132,Oct!$F:$F,466)</f>
        <v>0</v>
      </c>
      <c r="L50" s="59">
        <v>1</v>
      </c>
      <c r="M50" s="59">
        <v>0</v>
      </c>
    </row>
    <row r="51" spans="1:13" s="8" customFormat="1" ht="11.25" customHeight="1">
      <c r="A51" s="10" t="s">
        <v>27</v>
      </c>
      <c r="B51" s="59">
        <f>COUNTIFS(Jan!$B:$B,2132,Jan!$J:$J,25)</f>
        <v>0</v>
      </c>
      <c r="C51" s="59">
        <f>COUNTIFS(Feb!$B:$B,2132,Feb!$J:$J,25)</f>
        <v>0</v>
      </c>
      <c r="D51" s="59">
        <f>COUNTIFS(Mar!$B:$B,2132,Mar!$J:$J,25)</f>
        <v>0</v>
      </c>
      <c r="E51" s="59">
        <f>COUNTIFS(Apr!$B:$B,2132,Apr!$J:$J,25)</f>
        <v>0</v>
      </c>
      <c r="F51" s="59">
        <f>COUNTIFS(May!$B:$B,2132,May!$J:$J,25)</f>
        <v>0</v>
      </c>
      <c r="G51" s="59">
        <f>COUNTIFS(Jun!$B:$B,2132,Jun!$J:$J,25)</f>
        <v>0</v>
      </c>
      <c r="H51" s="59">
        <f>COUNTIFS(Jul!$B:$B,2132,Jul!$J:$J,25)</f>
        <v>0</v>
      </c>
      <c r="I51" s="59">
        <f>COUNTIFS(Aug!$B:$B,2132,Aug!$J:$J,25)</f>
        <v>0</v>
      </c>
      <c r="J51" s="59">
        <f>COUNTIFS(Sep!$B:$B,2132,Sep!$J:$J,25)</f>
        <v>0</v>
      </c>
      <c r="K51" s="59">
        <f>COUNTIFS(Oct!$B:$B,2132,Oct!$J:$J,25)</f>
        <v>0</v>
      </c>
      <c r="L51" s="59">
        <f>COUNTIFS(Nov!$B:$B,2132,Nov!$J:$J,25)</f>
        <v>0</v>
      </c>
      <c r="M51" s="59">
        <v>0</v>
      </c>
    </row>
    <row r="52" spans="1:13" s="8" customFormat="1" ht="11.25" customHeight="1" thickBot="1">
      <c r="A52" s="11" t="s">
        <v>16</v>
      </c>
      <c r="B52" s="60">
        <f t="shared" ref="B52:G52" si="11">SUM(B34:B51)</f>
        <v>41</v>
      </c>
      <c r="C52" s="60">
        <f t="shared" si="11"/>
        <v>31</v>
      </c>
      <c r="D52" s="60">
        <f t="shared" si="11"/>
        <v>43</v>
      </c>
      <c r="E52" s="60">
        <f t="shared" si="11"/>
        <v>51</v>
      </c>
      <c r="F52" s="60">
        <f t="shared" si="11"/>
        <v>62</v>
      </c>
      <c r="G52" s="60">
        <f t="shared" si="11"/>
        <v>82</v>
      </c>
      <c r="H52" s="60">
        <f t="shared" ref="H52:M52" si="12">SUM(H34:H51)</f>
        <v>67</v>
      </c>
      <c r="I52" s="60">
        <f t="shared" si="12"/>
        <v>79</v>
      </c>
      <c r="J52" s="60">
        <f t="shared" si="12"/>
        <v>61</v>
      </c>
      <c r="K52" s="60">
        <f t="shared" si="12"/>
        <v>44</v>
      </c>
      <c r="L52" s="159">
        <f t="shared" si="12"/>
        <v>50</v>
      </c>
      <c r="M52" s="170">
        <f t="shared" si="12"/>
        <v>57</v>
      </c>
    </row>
    <row r="53" spans="1:13" ht="12" customHeight="1" thickBot="1">
      <c r="A53" s="55" t="s">
        <v>137</v>
      </c>
      <c r="B53" s="50">
        <v>41275</v>
      </c>
      <c r="C53" s="47">
        <v>41306</v>
      </c>
      <c r="D53" s="47">
        <v>41334</v>
      </c>
      <c r="E53" s="47">
        <v>41365</v>
      </c>
      <c r="F53" s="47">
        <v>41395</v>
      </c>
      <c r="G53" s="47">
        <v>41426</v>
      </c>
      <c r="H53" s="47">
        <v>41456</v>
      </c>
      <c r="I53" s="47">
        <v>41487</v>
      </c>
      <c r="J53" s="47">
        <v>41518</v>
      </c>
      <c r="K53" s="47">
        <v>41548</v>
      </c>
      <c r="L53" s="47">
        <v>41579</v>
      </c>
      <c r="M53" s="51">
        <v>41609</v>
      </c>
    </row>
    <row r="54" spans="1:13" s="8" customFormat="1" ht="11.25" customHeight="1">
      <c r="A54" s="10" t="s">
        <v>30</v>
      </c>
      <c r="B54" s="57">
        <f>COUNTIFS(Jan!$B:$B,2132,Jan!$J:$J,7)</f>
        <v>2</v>
      </c>
      <c r="C54" s="57">
        <v>2</v>
      </c>
      <c r="D54" s="57">
        <v>1</v>
      </c>
      <c r="E54" s="57">
        <v>5</v>
      </c>
      <c r="F54" s="57">
        <v>3</v>
      </c>
      <c r="G54" s="57">
        <v>6</v>
      </c>
      <c r="H54" s="57">
        <v>1</v>
      </c>
      <c r="I54" s="57">
        <v>4</v>
      </c>
      <c r="J54" s="57">
        <v>1</v>
      </c>
      <c r="K54" s="57">
        <v>2</v>
      </c>
      <c r="L54" s="57">
        <v>1</v>
      </c>
      <c r="M54" s="57">
        <v>2</v>
      </c>
    </row>
    <row r="55" spans="1:13" s="8" customFormat="1" ht="11.25" customHeight="1">
      <c r="A55" s="10" t="s">
        <v>29</v>
      </c>
      <c r="B55" s="59">
        <f>COUNTIFS(Jan!$B:$B,2132,Jan!$J:$J,8)</f>
        <v>0</v>
      </c>
      <c r="C55" s="59">
        <f>COUNTIFS(Feb!$B:$B,2132,Feb!$J:$J,8)</f>
        <v>0</v>
      </c>
      <c r="D55" s="59">
        <f>COUNTIFS(Mar!$B:$B,2132,Mar!$J:$J,8)</f>
        <v>0</v>
      </c>
      <c r="E55" s="59">
        <f>COUNTIFS(Apr!$B:$B,2132,Apr!$J:$J,8)</f>
        <v>0</v>
      </c>
      <c r="F55" s="59">
        <f>COUNTIFS(May!$B:$B,2132,May!$J:$J,8)</f>
        <v>0</v>
      </c>
      <c r="G55" s="59">
        <f>COUNTIFS(Jun!$B:$B,2132,Jun!$J:$J,8)</f>
        <v>0</v>
      </c>
      <c r="H55" s="59">
        <f>COUNTIFS(Jul!$B:$B,2132,Jul!$J:$J,8)</f>
        <v>0</v>
      </c>
      <c r="I55" s="59">
        <v>1</v>
      </c>
      <c r="J55" s="59">
        <f>COUNTIFS(Sep!$B:$B,2132,Sep!$J:$J,8)</f>
        <v>0</v>
      </c>
      <c r="K55" s="59">
        <f>COUNTIFS(Oct!$B:$B,2132,Oct!$J:$J,8)</f>
        <v>0</v>
      </c>
      <c r="L55" s="59">
        <f>COUNTIFS(Nov!$B:$B,2132,Nov!$J:$J,8)</f>
        <v>0</v>
      </c>
      <c r="M55" s="59">
        <v>0</v>
      </c>
    </row>
    <row r="56" spans="1:13" s="8" customFormat="1" ht="11.25" customHeight="1">
      <c r="A56" s="10" t="s">
        <v>7</v>
      </c>
      <c r="B56" s="59">
        <f>COUNTIFS(Jan!$B:$B,2132,Jan!$J:$J,12)</f>
        <v>7</v>
      </c>
      <c r="C56" s="59">
        <v>9</v>
      </c>
      <c r="D56" s="59">
        <v>18</v>
      </c>
      <c r="E56" s="59">
        <v>6</v>
      </c>
      <c r="F56" s="59">
        <v>16</v>
      </c>
      <c r="G56" s="59">
        <v>8</v>
      </c>
      <c r="H56" s="59">
        <v>13</v>
      </c>
      <c r="I56" s="59">
        <v>8</v>
      </c>
      <c r="J56" s="59">
        <v>6</v>
      </c>
      <c r="K56" s="59">
        <v>3</v>
      </c>
      <c r="L56" s="59">
        <v>9</v>
      </c>
      <c r="M56" s="59">
        <v>20</v>
      </c>
    </row>
    <row r="57" spans="1:13" s="8" customFormat="1" ht="11.25" customHeight="1">
      <c r="A57" s="10" t="s">
        <v>10</v>
      </c>
      <c r="B57" s="59">
        <f>COUNTIFS(Jan!$B:$B,2132,Jan!$J:$J,5100)</f>
        <v>0</v>
      </c>
      <c r="C57" s="59">
        <f>COUNTIFS(Feb!$B:$B,2132,Feb!$J:$J,5100)</f>
        <v>0</v>
      </c>
      <c r="D57" s="59">
        <f>COUNTIFS(Mar!$B:$B,2132,Mar!$J:$J,5100)</f>
        <v>0</v>
      </c>
      <c r="E57" s="59">
        <f>COUNTIFS(Apr!$B:$B,2132,Apr!$J:$J,5100)</f>
        <v>0</v>
      </c>
      <c r="F57" s="59">
        <v>2</v>
      </c>
      <c r="G57" s="59">
        <v>1</v>
      </c>
      <c r="H57" s="59">
        <f>COUNTIFS(Jul!$B:$B,2132,Jul!$J:$J,5100)</f>
        <v>0</v>
      </c>
      <c r="I57" s="59">
        <v>3</v>
      </c>
      <c r="J57" s="59">
        <v>5</v>
      </c>
      <c r="K57" s="59">
        <f>COUNTIFS(Oct!$B:$B,2132,Oct!$J:$J,5100)</f>
        <v>0</v>
      </c>
      <c r="L57" s="59">
        <f>COUNTIFS(Nov!$B:$B,2132,Nov!$J:$J,5100)</f>
        <v>0</v>
      </c>
      <c r="M57" s="59">
        <v>0</v>
      </c>
    </row>
    <row r="58" spans="1:13" s="8" customFormat="1" ht="11.25" customHeight="1">
      <c r="A58" s="10" t="s">
        <v>36</v>
      </c>
      <c r="B58" s="59">
        <f>COUNTIFS(Jan!$B:$B,2132,Jan!$J:$J,6200)</f>
        <v>1</v>
      </c>
      <c r="C58" s="59">
        <f>COUNTIFS(Feb!$B:$B,2132,Feb!$J:$J,6200)</f>
        <v>0</v>
      </c>
      <c r="D58" s="59">
        <f>COUNTIFS(Mar!$B:$B,2132,Mar!$J:$J,6200)</f>
        <v>0</v>
      </c>
      <c r="E58" s="59">
        <f>COUNTIFS(Apr!$B:$B,2132,Apr!$J:$J,6200)</f>
        <v>0</v>
      </c>
      <c r="F58" s="59">
        <f>COUNTIFS(May!$B:$B,2132,May!$J:$J,6200)</f>
        <v>0</v>
      </c>
      <c r="G58" s="59">
        <f>COUNTIFS(Jun!$B:$B,2132,Jun!$J:$J,6200)</f>
        <v>0</v>
      </c>
      <c r="H58" s="59">
        <f>COUNTIFS(Jul!$B:$B,2132,Jul!$J:$J,6200)</f>
        <v>0</v>
      </c>
      <c r="I58" s="59">
        <f>COUNTIFS(Aug!$B:$B,2132,Aug!$J:$J,6200)</f>
        <v>0</v>
      </c>
      <c r="J58" s="59">
        <f>COUNTIFS(Sep!$B:$B,2132,Sep!$J:$J,6200)</f>
        <v>0</v>
      </c>
      <c r="K58" s="59">
        <f>COUNTIFS(Oct!$B:$B,2132,Oct!$J:$J,6200)</f>
        <v>0</v>
      </c>
      <c r="L58" s="59">
        <f>COUNTIFS(Nov!$B:$B,2132,Nov!$J:$J,6200)</f>
        <v>0</v>
      </c>
      <c r="M58" s="59">
        <v>0</v>
      </c>
    </row>
    <row r="59" spans="1:13" s="8" customFormat="1" ht="11.25" customHeight="1">
      <c r="A59" s="10" t="s">
        <v>145</v>
      </c>
      <c r="B59" s="59">
        <f>COUNTIFS(Jan!$B:$B,2132,Jan!$J:$J,28)</f>
        <v>0</v>
      </c>
      <c r="C59" s="59">
        <f>COUNTIFS(Feb!$B:$B,2132,Feb!$J:$J,28)</f>
        <v>0</v>
      </c>
      <c r="D59" s="59">
        <f>COUNTIFS(Mar!$B:$B,2132,Mar!$J:$J,28)</f>
        <v>0</v>
      </c>
      <c r="E59" s="59">
        <f>COUNTIFS(Apr!$B:$B,2132,Apr!$J:$J,28)</f>
        <v>0</v>
      </c>
      <c r="F59" s="59">
        <f>COUNTIFS(May!$B:$B,2132,May!$J:$J,28)</f>
        <v>0</v>
      </c>
      <c r="G59" s="59">
        <f>COUNTIFS(Jun!$B:$B,2132,Jun!$J:$J,28)</f>
        <v>0</v>
      </c>
      <c r="H59" s="59">
        <f>COUNTIFS(Jul!$B:$B,2132,Jul!$J:$J,28)</f>
        <v>0</v>
      </c>
      <c r="I59" s="59">
        <f>COUNTIFS(Aug!$B:$B,2132,Aug!$J:$J,28)</f>
        <v>0</v>
      </c>
      <c r="J59" s="59">
        <f>COUNTIFS(Sep!$B:$B,2132,Sep!$J:$J,28)</f>
        <v>0</v>
      </c>
      <c r="K59" s="59">
        <f>COUNTIFS(Oct!$B:$B,2132,Oct!$J:$J,28)</f>
        <v>0</v>
      </c>
      <c r="L59" s="59">
        <f>COUNTIFS(Nov!$B:$B,2132,Nov!$J:$J,28)</f>
        <v>0</v>
      </c>
      <c r="M59" s="59">
        <v>0</v>
      </c>
    </row>
    <row r="60" spans="1:13" s="8" customFormat="1" ht="11.25" customHeight="1">
      <c r="A60" s="10" t="s">
        <v>38</v>
      </c>
      <c r="B60" s="59">
        <f>COUNTIFS(Jan!$B:$B,2132,Jan!$J:$J,6100)</f>
        <v>0</v>
      </c>
      <c r="C60" s="59">
        <f>COUNTIFS(Feb!$B:$B,2132,Feb!$J:$J,6100)</f>
        <v>0</v>
      </c>
      <c r="D60" s="59">
        <f>COUNTIFS(Mar!$B:$B,2132,Mar!$J:$J,6100)</f>
        <v>0</v>
      </c>
      <c r="E60" s="59">
        <f>COUNTIFS(Apr!$B:$B,2132,Apr!$J:$J,6100)</f>
        <v>0</v>
      </c>
      <c r="F60" s="59">
        <f>COUNTIFS(May!$B:$B,2132,May!$J:$J,6100)</f>
        <v>0</v>
      </c>
      <c r="G60" s="59">
        <v>1</v>
      </c>
      <c r="H60" s="59">
        <v>1</v>
      </c>
      <c r="I60" s="59">
        <f>COUNTIFS(Aug!$B:$B,2132,Aug!$J:$J,6100)</f>
        <v>0</v>
      </c>
      <c r="J60" s="59">
        <f>COUNTIFS(Sep!$B:$B,2132,Sep!$J:$J,6100)</f>
        <v>0</v>
      </c>
      <c r="K60" s="59">
        <f>COUNTIFS(Oct!$B:$B,2132,Oct!$J:$J,6100)</f>
        <v>0</v>
      </c>
      <c r="L60" s="59">
        <f>COUNTIFS(Nov!$B:$B,2132,Nov!$J:$J,6100)</f>
        <v>0</v>
      </c>
      <c r="M60" s="59">
        <v>2</v>
      </c>
    </row>
    <row r="61" spans="1:13" s="8" customFormat="1" ht="11.25" customHeight="1">
      <c r="A61" s="10" t="s">
        <v>9</v>
      </c>
      <c r="B61" s="59">
        <f>COUNTIFS(Jan!$B:$B,2132,Jan!$J:$J,6)</f>
        <v>0</v>
      </c>
      <c r="C61" s="59">
        <f>COUNTIFS(Feb!$B:$B,2132,Feb!$J:$J,6)</f>
        <v>0</v>
      </c>
      <c r="D61" s="59">
        <f>COUNTIFS(Mar!$B:$B,2132,Mar!$J:$J,6)</f>
        <v>0</v>
      </c>
      <c r="E61" s="59">
        <f>COUNTIFS(Apr!$B:$B,2132,Apr!$J:$J,6)</f>
        <v>0</v>
      </c>
      <c r="F61" s="59">
        <f>COUNTIFS(May!$B:$B,2132,May!$J:$J,6)</f>
        <v>0</v>
      </c>
      <c r="G61" s="59">
        <f>COUNTIFS(Jun!$B:$B,2132,Jun!$J:$J,6)</f>
        <v>0</v>
      </c>
      <c r="H61" s="59">
        <f>COUNTIFS(Jul!$B:$B,2132,Jul!$J:$J,6)</f>
        <v>0</v>
      </c>
      <c r="I61" s="59">
        <f>COUNTIFS(Aug!$B:$B,2132,Aug!$J:$J,6)</f>
        <v>0</v>
      </c>
      <c r="J61" s="59">
        <f>COUNTIFS(Sep!$B:$B,2132,Sep!$J:$J,6)</f>
        <v>0</v>
      </c>
      <c r="K61" s="59">
        <f>COUNTIFS(Oct!$B:$B,2132,Oct!$J:$J,6)</f>
        <v>0</v>
      </c>
      <c r="L61" s="59">
        <f>COUNTIFS(Nov!$B:$B,2132,Nov!$J:$J,6)</f>
        <v>0</v>
      </c>
      <c r="M61" s="59">
        <v>0</v>
      </c>
    </row>
    <row r="62" spans="1:13" s="8" customFormat="1" ht="11.25" customHeight="1">
      <c r="A62" s="10" t="s">
        <v>8</v>
      </c>
      <c r="B62" s="59">
        <f>COUNTIFS(Jan!$B:$B,2132,Jan!$J:$J,4)</f>
        <v>0</v>
      </c>
      <c r="C62" s="59">
        <f>COUNTIFS(Feb!$B:$B,2132,Feb!$J:$J,4)</f>
        <v>0</v>
      </c>
      <c r="D62" s="59">
        <f>COUNTIFS(Mar!$B:$B,2132,Mar!$J:$J,4)</f>
        <v>0</v>
      </c>
      <c r="E62" s="59">
        <f>COUNTIFS(Apr!$B:$B,2132,Apr!$J:$J,4)</f>
        <v>0</v>
      </c>
      <c r="F62" s="59">
        <f>COUNTIFS(May!$B:$B,2132,May!$J:$J,4)</f>
        <v>0</v>
      </c>
      <c r="G62" s="59">
        <f>COUNTIFS(Jun!$B:$B,2132,Jun!$J:$J,4)</f>
        <v>0</v>
      </c>
      <c r="H62" s="59">
        <f>COUNTIFS(Jul!$B:$B,2132,Jul!$J:$J,4)</f>
        <v>0</v>
      </c>
      <c r="I62" s="59">
        <f>COUNTIFS(Aug!$B:$B,2132,Aug!$J:$J,4)</f>
        <v>0</v>
      </c>
      <c r="J62" s="59">
        <f>COUNTIFS(Sep!$B:$B,2132,Sep!$J:$J,4)</f>
        <v>0</v>
      </c>
      <c r="K62" s="59">
        <f>COUNTIFS(Oct!$B:$B,2132,Oct!$J:$J,4)</f>
        <v>0</v>
      </c>
      <c r="L62" s="59">
        <f>COUNTIFS(Nov!$B:$B,2132,Nov!$J:$J,4)</f>
        <v>0</v>
      </c>
      <c r="M62" s="59">
        <v>0</v>
      </c>
    </row>
    <row r="63" spans="1:13" s="8" customFormat="1" ht="11.25" customHeight="1">
      <c r="A63" s="10" t="s">
        <v>6</v>
      </c>
      <c r="B63" s="59">
        <f>COUNTIFS(Jan!$B:$B,2132,Jan!$J:$J,5)</f>
        <v>0</v>
      </c>
      <c r="C63" s="59">
        <f>COUNTIFS(Feb!$B:$B,2132,Feb!$J:$J,5)</f>
        <v>0</v>
      </c>
      <c r="D63" s="59">
        <f>COUNTIFS(Mar!$B:$B,2132,Mar!$J:$J,5)</f>
        <v>0</v>
      </c>
      <c r="E63" s="59">
        <f>COUNTIFS(Apr!$B:$B,2132,Apr!$J:$J,5)</f>
        <v>0</v>
      </c>
      <c r="F63" s="59">
        <f>COUNTIFS(May!$B:$B,2132,May!$J:$J,5)</f>
        <v>0</v>
      </c>
      <c r="G63" s="59">
        <f>COUNTIFS(Jun!$B:$B,2132,Jun!$J:$J,5)</f>
        <v>0</v>
      </c>
      <c r="H63" s="59">
        <f>COUNTIFS(Jul!$B:$B,2132,Jul!$J:$J,5)</f>
        <v>0</v>
      </c>
      <c r="I63" s="59">
        <f>COUNTIFS(Aug!$B:$B,2132,Aug!$J:$J,5)</f>
        <v>0</v>
      </c>
      <c r="J63" s="59">
        <f>COUNTIFS(Sep!$B:$B,2132,Sep!$J:$J,5)</f>
        <v>0</v>
      </c>
      <c r="K63" s="59">
        <f>COUNTIFS(Oct!$B:$B,2132,Oct!$J:$J,5)</f>
        <v>0</v>
      </c>
      <c r="L63" s="59">
        <f>COUNTIFS(Nov!$B:$B,2132,Nov!$J:$J,5)</f>
        <v>0</v>
      </c>
      <c r="M63" s="59">
        <v>0</v>
      </c>
    </row>
    <row r="64" spans="1:13" s="8" customFormat="1" ht="11.25" customHeight="1">
      <c r="A64" s="52" t="s">
        <v>141</v>
      </c>
      <c r="B64" s="69">
        <f>COUNTIFS(Jan!$B:$B,2132,Jan!$F:$F,456)</f>
        <v>10</v>
      </c>
      <c r="C64" s="69">
        <v>7</v>
      </c>
      <c r="D64" s="69">
        <v>5</v>
      </c>
      <c r="E64" s="69">
        <v>8</v>
      </c>
      <c r="F64" s="69">
        <v>8</v>
      </c>
      <c r="G64" s="69">
        <v>3</v>
      </c>
      <c r="H64" s="69">
        <v>1</v>
      </c>
      <c r="I64" s="69">
        <v>1</v>
      </c>
      <c r="J64" s="69">
        <f>COUNTIFS(Sep!$B:$B,2132,Sep!$F:$F,456)</f>
        <v>0</v>
      </c>
      <c r="K64" s="69">
        <f>COUNTIFS(Oct!$B:$B,2132,Oct!$F:$F,456)</f>
        <v>0</v>
      </c>
      <c r="L64" s="69">
        <v>2</v>
      </c>
      <c r="M64" s="69">
        <v>2</v>
      </c>
    </row>
    <row r="65" spans="1:13" s="8" customFormat="1" ht="11.25" customHeight="1" thickBot="1">
      <c r="A65" s="12" t="s">
        <v>16</v>
      </c>
      <c r="B65" s="70">
        <f>SUM(B54:B64)</f>
        <v>20</v>
      </c>
      <c r="C65" s="70">
        <f t="shared" ref="C65:M65" si="13">SUM(C54:C64)</f>
        <v>18</v>
      </c>
      <c r="D65" s="70">
        <f t="shared" si="13"/>
        <v>24</v>
      </c>
      <c r="E65" s="70">
        <f t="shared" si="13"/>
        <v>19</v>
      </c>
      <c r="F65" s="70">
        <f t="shared" si="13"/>
        <v>29</v>
      </c>
      <c r="G65" s="70">
        <f t="shared" si="13"/>
        <v>19</v>
      </c>
      <c r="H65" s="70">
        <f t="shared" si="13"/>
        <v>16</v>
      </c>
      <c r="I65" s="70">
        <f t="shared" si="13"/>
        <v>17</v>
      </c>
      <c r="J65" s="70">
        <f t="shared" si="13"/>
        <v>12</v>
      </c>
      <c r="K65" s="70">
        <f t="shared" si="13"/>
        <v>5</v>
      </c>
      <c r="L65" s="165">
        <f t="shared" si="13"/>
        <v>12</v>
      </c>
      <c r="M65" s="170">
        <f t="shared" si="13"/>
        <v>26</v>
      </c>
    </row>
    <row r="66" spans="1:13" s="8" customFormat="1" ht="15.75" customHeight="1">
      <c r="A66" s="6"/>
      <c r="B66" s="7"/>
      <c r="C66" s="7"/>
      <c r="D66" s="7"/>
      <c r="E66" s="7"/>
      <c r="F66" s="7"/>
      <c r="G66" s="7"/>
      <c r="H66" s="7"/>
      <c r="I66" s="7"/>
      <c r="J66" s="7"/>
      <c r="K66" s="7"/>
      <c r="L66" s="7"/>
      <c r="M66" s="7"/>
    </row>
    <row r="67" spans="1:13" ht="12" customHeight="1">
      <c r="A67" s="6"/>
      <c r="B67" s="7"/>
      <c r="C67" s="7"/>
      <c r="D67" s="7"/>
      <c r="E67" s="7"/>
      <c r="F67" s="7"/>
      <c r="G67" s="7"/>
      <c r="H67" s="7"/>
      <c r="I67" s="7"/>
      <c r="J67" s="7"/>
      <c r="K67" s="7"/>
      <c r="L67" s="7"/>
      <c r="M67" s="7"/>
    </row>
  </sheetData>
  <phoneticPr fontId="0" type="noConversion"/>
  <printOptions horizontalCentered="1" verticalCentered="1"/>
  <pageMargins left="0.14000000000000001" right="0.16" top="0.25" bottom="0.5" header="0.5" footer="0.25"/>
  <pageSetup scale="95" firstPageNumber="3" orientation="portrait" useFirstPageNumber="1" r:id="rId1"/>
  <headerFooter alignWithMargins="0">
    <oddFooter>&amp;R28 of 51</oddFooter>
  </headerFooter>
  <ignoredErrors>
    <ignoredError sqref="M32 M52 M65" formulaRange="1"/>
  </ignoredError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67"/>
  <sheetViews>
    <sheetView view="pageBreakPreview" topLeftCell="A19" zoomScale="90" zoomScaleNormal="100" zoomScaleSheetLayoutView="90" workbookViewId="0">
      <selection activeCell="M47" sqref="M47"/>
    </sheetView>
  </sheetViews>
  <sheetFormatPr defaultRowHeight="12.75"/>
  <cols>
    <col min="1" max="1" width="22.85546875" style="1" customWidth="1"/>
    <col min="2" max="13" width="7.140625" style="1" customWidth="1"/>
    <col min="14" max="14" width="4.42578125" style="1" customWidth="1"/>
    <col min="15" max="16384" width="9.140625" style="1"/>
  </cols>
  <sheetData>
    <row r="1" spans="1:21" ht="18" customHeight="1">
      <c r="A1" s="130"/>
      <c r="B1" s="131"/>
      <c r="C1" s="131"/>
      <c r="D1" s="131"/>
      <c r="E1" s="131"/>
      <c r="F1" s="131"/>
      <c r="G1" s="131"/>
      <c r="H1" s="130"/>
      <c r="I1" s="131"/>
      <c r="J1" s="131"/>
      <c r="K1" s="131"/>
      <c r="L1" s="130"/>
      <c r="M1" s="143" t="s">
        <v>22</v>
      </c>
    </row>
    <row r="2" spans="1:21" ht="18" customHeight="1">
      <c r="A2" s="130"/>
      <c r="B2" s="135"/>
      <c r="C2" s="135"/>
      <c r="D2" s="135"/>
      <c r="E2" s="135"/>
      <c r="F2" s="135"/>
      <c r="G2" s="135"/>
      <c r="H2" s="130"/>
      <c r="I2" s="135"/>
      <c r="J2" s="135"/>
      <c r="K2" s="135"/>
      <c r="L2" s="130"/>
      <c r="M2" s="155" t="s">
        <v>13</v>
      </c>
    </row>
    <row r="3" spans="1:21" s="5" customFormat="1" ht="18" customHeight="1">
      <c r="A3" s="133"/>
      <c r="B3" s="133"/>
      <c r="C3" s="133"/>
      <c r="D3" s="133"/>
      <c r="E3" s="133"/>
      <c r="F3" s="133"/>
      <c r="G3" s="133"/>
      <c r="H3" s="133"/>
      <c r="I3" s="133"/>
      <c r="J3" s="136"/>
      <c r="K3" s="136"/>
      <c r="L3" s="133"/>
      <c r="M3" s="155" t="s">
        <v>69</v>
      </c>
      <c r="N3" s="134"/>
      <c r="O3" s="134"/>
      <c r="P3" s="134"/>
      <c r="Q3" s="134"/>
      <c r="R3" s="134"/>
      <c r="S3" s="134"/>
      <c r="T3" s="134"/>
      <c r="U3" s="134"/>
    </row>
    <row r="4" spans="1:21" s="8" customFormat="1" ht="6.75" customHeight="1" thickBot="1">
      <c r="A4" s="38"/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</row>
    <row r="5" spans="1:21" s="8" customFormat="1" ht="11.25" customHeight="1" thickBot="1">
      <c r="A5" s="53" t="s">
        <v>19</v>
      </c>
      <c r="B5" s="50">
        <v>41275</v>
      </c>
      <c r="C5" s="47">
        <v>41306</v>
      </c>
      <c r="D5" s="47">
        <v>41334</v>
      </c>
      <c r="E5" s="47">
        <v>41365</v>
      </c>
      <c r="F5" s="47">
        <v>41395</v>
      </c>
      <c r="G5" s="47">
        <v>41426</v>
      </c>
      <c r="H5" s="47">
        <v>41456</v>
      </c>
      <c r="I5" s="47">
        <v>41487</v>
      </c>
      <c r="J5" s="47">
        <v>41518</v>
      </c>
      <c r="K5" s="47">
        <v>41548</v>
      </c>
      <c r="L5" s="47">
        <v>41579</v>
      </c>
      <c r="M5" s="51">
        <v>41609</v>
      </c>
    </row>
    <row r="6" spans="1:21" s="8" customFormat="1" ht="11.25" customHeight="1">
      <c r="A6" s="41" t="s">
        <v>129</v>
      </c>
      <c r="B6" s="57">
        <f t="shared" ref="B6:M6" si="0">B32</f>
        <v>18</v>
      </c>
      <c r="C6" s="57">
        <f t="shared" si="0"/>
        <v>14</v>
      </c>
      <c r="D6" s="57">
        <f t="shared" si="0"/>
        <v>16</v>
      </c>
      <c r="E6" s="57">
        <f t="shared" si="0"/>
        <v>11</v>
      </c>
      <c r="F6" s="57">
        <f t="shared" si="0"/>
        <v>10</v>
      </c>
      <c r="G6" s="57">
        <f t="shared" si="0"/>
        <v>18</v>
      </c>
      <c r="H6" s="57">
        <f t="shared" si="0"/>
        <v>12</v>
      </c>
      <c r="I6" s="57">
        <f t="shared" si="0"/>
        <v>17</v>
      </c>
      <c r="J6" s="57">
        <f t="shared" si="0"/>
        <v>20</v>
      </c>
      <c r="K6" s="57">
        <f t="shared" si="0"/>
        <v>9</v>
      </c>
      <c r="L6" s="156">
        <f t="shared" si="0"/>
        <v>13</v>
      </c>
      <c r="M6" s="168">
        <f t="shared" si="0"/>
        <v>19</v>
      </c>
    </row>
    <row r="7" spans="1:21" s="8" customFormat="1" ht="11.25" customHeight="1">
      <c r="A7" s="42" t="s">
        <v>18</v>
      </c>
      <c r="B7" s="57">
        <f t="shared" ref="B7:M7" si="1">SUM(B10:B12)</f>
        <v>39</v>
      </c>
      <c r="C7" s="57">
        <f t="shared" si="1"/>
        <v>53</v>
      </c>
      <c r="D7" s="57">
        <f t="shared" si="1"/>
        <v>66</v>
      </c>
      <c r="E7" s="57">
        <f t="shared" si="1"/>
        <v>84</v>
      </c>
      <c r="F7" s="57">
        <f t="shared" si="1"/>
        <v>72</v>
      </c>
      <c r="G7" s="57">
        <f t="shared" si="1"/>
        <v>90</v>
      </c>
      <c r="H7" s="57">
        <f t="shared" si="1"/>
        <v>99</v>
      </c>
      <c r="I7" s="57">
        <f t="shared" si="1"/>
        <v>98</v>
      </c>
      <c r="J7" s="57">
        <f t="shared" si="1"/>
        <v>113</v>
      </c>
      <c r="K7" s="57">
        <f t="shared" si="1"/>
        <v>58</v>
      </c>
      <c r="L7" s="156">
        <f t="shared" si="1"/>
        <v>88</v>
      </c>
      <c r="M7" s="171">
        <f t="shared" si="1"/>
        <v>103</v>
      </c>
    </row>
    <row r="8" spans="1:21" s="8" customFormat="1" ht="11.25" customHeight="1" thickBot="1">
      <c r="A8" s="43" t="s">
        <v>14</v>
      </c>
      <c r="B8" s="58">
        <f t="shared" ref="B8:M8" si="2">SUM(B6:B7)</f>
        <v>57</v>
      </c>
      <c r="C8" s="58">
        <f t="shared" si="2"/>
        <v>67</v>
      </c>
      <c r="D8" s="58">
        <f t="shared" si="2"/>
        <v>82</v>
      </c>
      <c r="E8" s="58">
        <f t="shared" si="2"/>
        <v>95</v>
      </c>
      <c r="F8" s="58">
        <f t="shared" si="2"/>
        <v>82</v>
      </c>
      <c r="G8" s="58">
        <f t="shared" si="2"/>
        <v>108</v>
      </c>
      <c r="H8" s="58">
        <f t="shared" si="2"/>
        <v>111</v>
      </c>
      <c r="I8" s="58">
        <f t="shared" si="2"/>
        <v>115</v>
      </c>
      <c r="J8" s="58">
        <f t="shared" si="2"/>
        <v>133</v>
      </c>
      <c r="K8" s="58">
        <f t="shared" si="2"/>
        <v>67</v>
      </c>
      <c r="L8" s="157">
        <f t="shared" si="2"/>
        <v>101</v>
      </c>
      <c r="M8" s="172">
        <f t="shared" si="2"/>
        <v>122</v>
      </c>
    </row>
    <row r="9" spans="1:21" s="8" customFormat="1" ht="11.25" customHeight="1" thickBot="1">
      <c r="A9" s="54" t="s">
        <v>18</v>
      </c>
      <c r="B9" s="50">
        <v>41275</v>
      </c>
      <c r="C9" s="47">
        <v>41306</v>
      </c>
      <c r="D9" s="47">
        <v>41334</v>
      </c>
      <c r="E9" s="47">
        <v>41365</v>
      </c>
      <c r="F9" s="47">
        <v>41395</v>
      </c>
      <c r="G9" s="47">
        <v>41426</v>
      </c>
      <c r="H9" s="47">
        <v>41456</v>
      </c>
      <c r="I9" s="47">
        <v>41487</v>
      </c>
      <c r="J9" s="47">
        <v>41518</v>
      </c>
      <c r="K9" s="47">
        <v>41548</v>
      </c>
      <c r="L9" s="47">
        <v>41579</v>
      </c>
      <c r="M9" s="51">
        <v>41609</v>
      </c>
    </row>
    <row r="10" spans="1:21" s="8" customFormat="1" ht="11.25" customHeight="1">
      <c r="A10" s="9" t="s">
        <v>128</v>
      </c>
      <c r="B10" s="57">
        <f t="shared" ref="B10:M10" si="3">B52</f>
        <v>20</v>
      </c>
      <c r="C10" s="57">
        <f t="shared" si="3"/>
        <v>33</v>
      </c>
      <c r="D10" s="57">
        <f t="shared" si="3"/>
        <v>38</v>
      </c>
      <c r="E10" s="57">
        <f t="shared" si="3"/>
        <v>46</v>
      </c>
      <c r="F10" s="57">
        <f t="shared" si="3"/>
        <v>44</v>
      </c>
      <c r="G10" s="59">
        <f t="shared" si="3"/>
        <v>52</v>
      </c>
      <c r="H10" s="59">
        <f t="shared" si="3"/>
        <v>57</v>
      </c>
      <c r="I10" s="59">
        <f t="shared" si="3"/>
        <v>69</v>
      </c>
      <c r="J10" s="59">
        <f t="shared" si="3"/>
        <v>59</v>
      </c>
      <c r="K10" s="59">
        <f t="shared" si="3"/>
        <v>31</v>
      </c>
      <c r="L10" s="158">
        <f t="shared" si="3"/>
        <v>54</v>
      </c>
      <c r="M10" s="168">
        <f t="shared" si="3"/>
        <v>60</v>
      </c>
    </row>
    <row r="11" spans="1:21" s="8" customFormat="1" ht="11.25" customHeight="1">
      <c r="A11" s="9" t="s">
        <v>127</v>
      </c>
      <c r="B11" s="59">
        <f t="shared" ref="B11:M11" si="4">B65</f>
        <v>2</v>
      </c>
      <c r="C11" s="59">
        <f t="shared" si="4"/>
        <v>4</v>
      </c>
      <c r="D11" s="59">
        <f t="shared" si="4"/>
        <v>5</v>
      </c>
      <c r="E11" s="59">
        <f t="shared" si="4"/>
        <v>6</v>
      </c>
      <c r="F11" s="59">
        <f t="shared" si="4"/>
        <v>7</v>
      </c>
      <c r="G11" s="59">
        <f t="shared" si="4"/>
        <v>4</v>
      </c>
      <c r="H11" s="59">
        <f t="shared" si="4"/>
        <v>6</v>
      </c>
      <c r="I11" s="59">
        <f t="shared" si="4"/>
        <v>2</v>
      </c>
      <c r="J11" s="59">
        <f t="shared" si="4"/>
        <v>5</v>
      </c>
      <c r="K11" s="59">
        <f t="shared" si="4"/>
        <v>2</v>
      </c>
      <c r="L11" s="158">
        <f t="shared" si="4"/>
        <v>5</v>
      </c>
      <c r="M11" s="169">
        <f t="shared" si="4"/>
        <v>5</v>
      </c>
    </row>
    <row r="12" spans="1:21" s="8" customFormat="1" ht="11.25" customHeight="1" thickBot="1">
      <c r="A12" s="2" t="s">
        <v>12</v>
      </c>
      <c r="B12" s="60">
        <f>COUNTIFS(Jan!$B:$B,2134,Jan!$F:$F,800)</f>
        <v>17</v>
      </c>
      <c r="C12" s="60">
        <v>16</v>
      </c>
      <c r="D12" s="60">
        <v>23</v>
      </c>
      <c r="E12" s="60">
        <v>32</v>
      </c>
      <c r="F12" s="60">
        <v>21</v>
      </c>
      <c r="G12" s="60">
        <v>34</v>
      </c>
      <c r="H12" s="60">
        <v>36</v>
      </c>
      <c r="I12" s="60">
        <v>27</v>
      </c>
      <c r="J12" s="60">
        <v>49</v>
      </c>
      <c r="K12" s="60">
        <v>25</v>
      </c>
      <c r="L12" s="60">
        <v>29</v>
      </c>
      <c r="M12" s="60">
        <v>38</v>
      </c>
    </row>
    <row r="13" spans="1:21" s="8" customFormat="1" ht="5.0999999999999996" customHeight="1" thickBot="1">
      <c r="A13" s="3"/>
      <c r="B13" s="17"/>
      <c r="C13" s="17"/>
      <c r="D13" s="17"/>
      <c r="E13" s="17"/>
      <c r="F13" s="17"/>
      <c r="G13" s="17"/>
      <c r="H13" s="17"/>
      <c r="I13" s="17"/>
      <c r="J13" s="17"/>
      <c r="K13" s="17"/>
      <c r="L13" s="17"/>
      <c r="M13" s="147"/>
    </row>
    <row r="14" spans="1:21" s="16" customFormat="1" ht="11.25" customHeight="1">
      <c r="A14" s="44" t="s">
        <v>131</v>
      </c>
      <c r="B14" s="120">
        <v>5022</v>
      </c>
      <c r="C14" s="120">
        <v>7109</v>
      </c>
      <c r="D14" s="120">
        <v>7349</v>
      </c>
      <c r="E14" s="120">
        <v>6843</v>
      </c>
      <c r="F14" s="120">
        <v>7672</v>
      </c>
      <c r="G14" s="120">
        <v>7188</v>
      </c>
      <c r="H14" s="119">
        <v>7064</v>
      </c>
      <c r="I14" s="61">
        <v>6915</v>
      </c>
      <c r="J14" s="61">
        <v>8219</v>
      </c>
      <c r="K14" s="118">
        <v>7387</v>
      </c>
      <c r="L14" s="160">
        <v>7663</v>
      </c>
      <c r="M14" s="173">
        <v>7501</v>
      </c>
      <c r="O14" s="22"/>
      <c r="P14" s="22"/>
      <c r="Q14" s="22"/>
    </row>
    <row r="15" spans="1:21" s="8" customFormat="1" ht="11.25" customHeight="1">
      <c r="A15" s="45" t="s">
        <v>132</v>
      </c>
      <c r="B15" s="62">
        <f>IFERROR((SUMIFS(Jan!$N:$N,Jan!$J:$J,1,Jan!$B:$B,2134)+SUMIFS(Jan!$N:$N,Jan!$D:$D,"&gt;1",Jan!$B:$B,2134))/(COUNTIFS(Jan!$J:$J,1,Jan!$B:$B,2134)+COUNTIFS(Jan!$D:$D,"&gt;1",Jan!$B:$B,2134)),"")</f>
        <v>24.764705882352942</v>
      </c>
      <c r="C15" s="62">
        <v>22.49</v>
      </c>
      <c r="D15" s="62">
        <v>24.01</v>
      </c>
      <c r="E15" s="62">
        <v>23.52</v>
      </c>
      <c r="F15" s="62">
        <v>24.23</v>
      </c>
      <c r="G15" s="62">
        <v>23.33</v>
      </c>
      <c r="H15" s="62">
        <v>23.86</v>
      </c>
      <c r="I15" s="62">
        <v>22.11</v>
      </c>
      <c r="J15" s="62">
        <v>24.61</v>
      </c>
      <c r="K15" s="62">
        <v>24.1</v>
      </c>
      <c r="L15" s="62">
        <v>23.54</v>
      </c>
      <c r="M15" s="62">
        <v>25.08</v>
      </c>
      <c r="N15" s="15"/>
      <c r="O15" s="1"/>
      <c r="P15" s="1"/>
      <c r="Q15" s="1"/>
    </row>
    <row r="16" spans="1:21" s="8" customFormat="1" ht="11.25" customHeight="1">
      <c r="A16" s="45" t="s">
        <v>133</v>
      </c>
      <c r="B16" s="62">
        <f>IFERROR(AVERAGEIFS(Jan!$N:$N,Jan!$F:$F,800,Jan!$B:$B,2134),"")</f>
        <v>24.764705882352942</v>
      </c>
      <c r="C16" s="62">
        <v>26.44</v>
      </c>
      <c r="D16" s="62">
        <v>25.5</v>
      </c>
      <c r="E16" s="62">
        <v>25.68</v>
      </c>
      <c r="F16" s="62">
        <v>26.09</v>
      </c>
      <c r="G16" s="62">
        <v>26.17</v>
      </c>
      <c r="H16" s="62">
        <v>26.67</v>
      </c>
      <c r="I16" s="62">
        <v>27.82</v>
      </c>
      <c r="J16" s="62">
        <v>27.37</v>
      </c>
      <c r="K16" s="62">
        <v>24.28</v>
      </c>
      <c r="L16" s="62">
        <v>27.03</v>
      </c>
      <c r="M16" s="62">
        <v>29.08</v>
      </c>
      <c r="O16" s="1"/>
      <c r="P16" s="1"/>
      <c r="Q16" s="1"/>
    </row>
    <row r="17" spans="1:17" s="8" customFormat="1" ht="11.25" customHeight="1">
      <c r="A17" s="45" t="s">
        <v>134</v>
      </c>
      <c r="B17" s="63">
        <f>IFERROR((SUMIFS(Jan!$M:$M,Jan!$J:$J,1,Jan!$B:$B,2134)+SUMIFS(Jan!$M:$M,Jan!$D:$D,"&gt;1",Jan!$B:$B,2134))/(COUNTIFS(Jan!$J:$J,1,Jan!$B:$B,2134)+COUNTIFS(Jan!$D:$D,"&gt;1",Jan!$B:$B,2134)),"")</f>
        <v>0.87058823529411755</v>
      </c>
      <c r="C17" s="63">
        <v>1.64</v>
      </c>
      <c r="D17" s="63">
        <v>2.4300000000000002</v>
      </c>
      <c r="E17" s="63">
        <v>1.67</v>
      </c>
      <c r="F17" s="63">
        <v>1</v>
      </c>
      <c r="G17" s="63">
        <v>1.49</v>
      </c>
      <c r="H17" s="63">
        <v>1.28</v>
      </c>
      <c r="I17" s="63">
        <v>1.73</v>
      </c>
      <c r="J17" s="63">
        <v>1.4</v>
      </c>
      <c r="K17" s="63">
        <v>1.06</v>
      </c>
      <c r="L17" s="63">
        <v>0.69</v>
      </c>
      <c r="M17" s="63">
        <v>1.06</v>
      </c>
      <c r="O17" s="1"/>
      <c r="P17" s="1"/>
      <c r="Q17" s="1"/>
    </row>
    <row r="18" spans="1:17" s="8" customFormat="1" ht="11.25" customHeight="1" thickBot="1">
      <c r="A18" s="43" t="s">
        <v>135</v>
      </c>
      <c r="B18" s="64">
        <f>IFERROR(AVERAGEIFS(Jan!$M:$M,Jan!$F:$F,800,Jan!$B:$B,2134),"")</f>
        <v>0.87058823529411755</v>
      </c>
      <c r="C18" s="64">
        <v>0.55000000000000004</v>
      </c>
      <c r="D18" s="64">
        <v>0.5</v>
      </c>
      <c r="E18" s="64">
        <v>0.6</v>
      </c>
      <c r="F18" s="64">
        <v>0.66</v>
      </c>
      <c r="G18" s="64">
        <v>1.01</v>
      </c>
      <c r="H18" s="64">
        <v>0.61</v>
      </c>
      <c r="I18" s="64">
        <v>0.56999999999999995</v>
      </c>
      <c r="J18" s="64">
        <v>0.65</v>
      </c>
      <c r="K18" s="64">
        <v>0.74</v>
      </c>
      <c r="L18" s="64">
        <v>0.49</v>
      </c>
      <c r="M18" s="64">
        <v>0.67</v>
      </c>
    </row>
    <row r="19" spans="1:17" s="8" customFormat="1" ht="5.0999999999999996" customHeight="1" thickBot="1">
      <c r="A19" s="3"/>
      <c r="B19" s="17"/>
      <c r="C19" s="17"/>
      <c r="D19" s="17"/>
      <c r="E19" s="17"/>
      <c r="F19" s="17"/>
      <c r="G19" s="17"/>
      <c r="H19" s="17"/>
      <c r="I19" s="17"/>
      <c r="J19" s="17"/>
      <c r="K19" s="17"/>
      <c r="L19" s="17"/>
      <c r="M19" s="147"/>
    </row>
    <row r="20" spans="1:17" s="8" customFormat="1" ht="11.25" customHeight="1">
      <c r="A20" s="42" t="s">
        <v>52</v>
      </c>
      <c r="B20" s="65">
        <v>31</v>
      </c>
      <c r="C20" s="65">
        <v>28</v>
      </c>
      <c r="D20" s="65">
        <v>31</v>
      </c>
      <c r="E20" s="65">
        <v>30</v>
      </c>
      <c r="F20" s="65">
        <v>31</v>
      </c>
      <c r="G20" s="65">
        <v>30</v>
      </c>
      <c r="H20" s="65">
        <v>31</v>
      </c>
      <c r="I20" s="65">
        <v>31</v>
      </c>
      <c r="J20" s="65">
        <v>30</v>
      </c>
      <c r="K20" s="65">
        <v>31</v>
      </c>
      <c r="L20" s="161">
        <v>30</v>
      </c>
      <c r="M20" s="174">
        <v>31</v>
      </c>
    </row>
    <row r="21" spans="1:17" s="8" customFormat="1" ht="11.25" customHeight="1">
      <c r="A21" s="9" t="s">
        <v>15</v>
      </c>
      <c r="B21" s="66">
        <f>B12/B20</f>
        <v>0.54838709677419351</v>
      </c>
      <c r="C21" s="66">
        <f t="shared" ref="C21:M21" si="5">C12/C20</f>
        <v>0.5714285714285714</v>
      </c>
      <c r="D21" s="66">
        <f>D12/D20</f>
        <v>0.74193548387096775</v>
      </c>
      <c r="E21" s="66">
        <f>E12/E20</f>
        <v>1.0666666666666667</v>
      </c>
      <c r="F21" s="66">
        <f>F12/F20</f>
        <v>0.67741935483870963</v>
      </c>
      <c r="G21" s="66">
        <f>G12/G20</f>
        <v>1.1333333333333333</v>
      </c>
      <c r="H21" s="66">
        <f t="shared" si="5"/>
        <v>1.1612903225806452</v>
      </c>
      <c r="I21" s="66">
        <f t="shared" si="5"/>
        <v>0.87096774193548387</v>
      </c>
      <c r="J21" s="66">
        <f t="shared" si="5"/>
        <v>1.6333333333333333</v>
      </c>
      <c r="K21" s="66">
        <f t="shared" si="5"/>
        <v>0.80645161290322576</v>
      </c>
      <c r="L21" s="162">
        <f t="shared" si="5"/>
        <v>0.96666666666666667</v>
      </c>
      <c r="M21" s="175">
        <f t="shared" si="5"/>
        <v>1.2258064516129032</v>
      </c>
    </row>
    <row r="22" spans="1:17" s="8" customFormat="1" ht="11.25" customHeight="1">
      <c r="A22" s="9" t="s">
        <v>130</v>
      </c>
      <c r="B22" s="67">
        <f t="shared" ref="B22:G22" si="6">IFERROR(B12/B7,0)</f>
        <v>0.4358974358974359</v>
      </c>
      <c r="C22" s="67">
        <f t="shared" si="6"/>
        <v>0.30188679245283018</v>
      </c>
      <c r="D22" s="67">
        <f t="shared" si="6"/>
        <v>0.34848484848484851</v>
      </c>
      <c r="E22" s="67">
        <f t="shared" si="6"/>
        <v>0.38095238095238093</v>
      </c>
      <c r="F22" s="67">
        <f t="shared" si="6"/>
        <v>0.29166666666666669</v>
      </c>
      <c r="G22" s="67">
        <f t="shared" si="6"/>
        <v>0.37777777777777777</v>
      </c>
      <c r="H22" s="67">
        <f t="shared" ref="H22:M22" si="7">IFERROR(H12/H7,0)</f>
        <v>0.36363636363636365</v>
      </c>
      <c r="I22" s="67">
        <f t="shared" si="7"/>
        <v>0.27551020408163263</v>
      </c>
      <c r="J22" s="67">
        <f t="shared" si="7"/>
        <v>0.4336283185840708</v>
      </c>
      <c r="K22" s="116">
        <f t="shared" si="7"/>
        <v>0.43103448275862066</v>
      </c>
      <c r="L22" s="67">
        <f t="shared" si="7"/>
        <v>0.32954545454545453</v>
      </c>
      <c r="M22" s="176">
        <f t="shared" si="7"/>
        <v>0.36893203883495146</v>
      </c>
      <c r="N22" s="1"/>
    </row>
    <row r="23" spans="1:17" s="8" customFormat="1" ht="11.25" customHeight="1" thickBot="1">
      <c r="A23" s="9" t="s">
        <v>53</v>
      </c>
      <c r="B23" s="67">
        <f t="shared" ref="B23:G23" si="8">IFERROR(B12/(B11+B12),0)</f>
        <v>0.89473684210526316</v>
      </c>
      <c r="C23" s="67">
        <f t="shared" si="8"/>
        <v>0.8</v>
      </c>
      <c r="D23" s="67">
        <f t="shared" si="8"/>
        <v>0.8214285714285714</v>
      </c>
      <c r="E23" s="67">
        <f t="shared" si="8"/>
        <v>0.84210526315789469</v>
      </c>
      <c r="F23" s="67">
        <f t="shared" si="8"/>
        <v>0.75</v>
      </c>
      <c r="G23" s="67">
        <f t="shared" si="8"/>
        <v>0.89473684210526316</v>
      </c>
      <c r="H23" s="67">
        <f t="shared" ref="H23:M23" si="9">IFERROR(H12/(H11+H12),0)</f>
        <v>0.8571428571428571</v>
      </c>
      <c r="I23" s="67">
        <f t="shared" si="9"/>
        <v>0.93103448275862066</v>
      </c>
      <c r="J23" s="67">
        <f t="shared" si="9"/>
        <v>0.90740740740740744</v>
      </c>
      <c r="K23" s="117">
        <f t="shared" si="9"/>
        <v>0.92592592592592593</v>
      </c>
      <c r="L23" s="163">
        <f t="shared" si="9"/>
        <v>0.8529411764705882</v>
      </c>
      <c r="M23" s="177">
        <f t="shared" si="9"/>
        <v>0.88372093023255816</v>
      </c>
      <c r="N23" s="4"/>
    </row>
    <row r="24" spans="1:17" s="8" customFormat="1" ht="11.25" customHeight="1" thickBot="1">
      <c r="A24" s="56" t="s">
        <v>21</v>
      </c>
      <c r="B24" s="50">
        <v>41275</v>
      </c>
      <c r="C24" s="47">
        <v>41306</v>
      </c>
      <c r="D24" s="47">
        <v>41334</v>
      </c>
      <c r="E24" s="47">
        <v>41365</v>
      </c>
      <c r="F24" s="47">
        <v>41395</v>
      </c>
      <c r="G24" s="47">
        <v>41426</v>
      </c>
      <c r="H24" s="47">
        <v>41456</v>
      </c>
      <c r="I24" s="47">
        <v>41487</v>
      </c>
      <c r="J24" s="47">
        <v>41518</v>
      </c>
      <c r="K24" s="47">
        <v>41548</v>
      </c>
      <c r="L24" s="47">
        <v>41579</v>
      </c>
      <c r="M24" s="51">
        <v>41609</v>
      </c>
    </row>
    <row r="25" spans="1:17" s="8" customFormat="1" ht="11.25" customHeight="1">
      <c r="A25" s="18" t="s">
        <v>5</v>
      </c>
      <c r="B25" s="68">
        <f>COUNTIFS(Jan!$B:$B,2134,Jan!$J:$J,18)</f>
        <v>9</v>
      </c>
      <c r="C25" s="68">
        <v>7</v>
      </c>
      <c r="D25" s="68">
        <v>9</v>
      </c>
      <c r="E25" s="68">
        <v>7</v>
      </c>
      <c r="F25" s="68">
        <v>3</v>
      </c>
      <c r="G25" s="68">
        <v>7</v>
      </c>
      <c r="H25" s="68">
        <v>5</v>
      </c>
      <c r="I25" s="68">
        <v>5</v>
      </c>
      <c r="J25" s="68">
        <v>7</v>
      </c>
      <c r="K25" s="68">
        <v>3</v>
      </c>
      <c r="L25" s="68">
        <v>4</v>
      </c>
      <c r="M25" s="68">
        <v>9</v>
      </c>
    </row>
    <row r="26" spans="1:17" s="8" customFormat="1" ht="11.25" customHeight="1">
      <c r="A26" s="46" t="s">
        <v>40</v>
      </c>
      <c r="B26" s="57">
        <f>COUNTIFS(Jan!$B:$B,2134,Jan!$J:$J,41)</f>
        <v>0</v>
      </c>
      <c r="C26" s="57">
        <f>COUNTIFS(Feb!$B:$B,2134,Feb!$J:$J,41)</f>
        <v>0</v>
      </c>
      <c r="D26" s="57">
        <f>COUNTIFS(Mar!$B:$B,2134,Mar!$J:$J,41)</f>
        <v>0</v>
      </c>
      <c r="E26" s="57">
        <f>COUNTIFS(Apr!$B:$B,2134,Apr!$J:$J,41)</f>
        <v>0</v>
      </c>
      <c r="F26" s="57">
        <f>COUNTIFS(May!$B:$B,2134,May!$J:$J,41)</f>
        <v>0</v>
      </c>
      <c r="G26" s="57">
        <f>COUNTIFS(Jun!$B:$B,2134,Jun!$J:$J,41)</f>
        <v>0</v>
      </c>
      <c r="H26" s="57">
        <f>COUNTIFS(Jul!$B:$B,2134,Jul!$J:$J,41)</f>
        <v>0</v>
      </c>
      <c r="I26" s="57">
        <f>COUNTIFS(Aug!$B:$B,2134,Aug!$J:$J,41)</f>
        <v>0</v>
      </c>
      <c r="J26" s="57">
        <f>COUNTIFS(Sep!$B:$B,2134,Sep!$J:$J,41)</f>
        <v>0</v>
      </c>
      <c r="K26" s="57">
        <f>COUNTIFS(Oct!$B:$B,2134,Oct!$J:$J,41)</f>
        <v>0</v>
      </c>
      <c r="L26" s="57">
        <f>COUNTIFS(Nov!$B:$B,2134,Nov!$J:$J,41)</f>
        <v>0</v>
      </c>
      <c r="M26" s="57">
        <v>0</v>
      </c>
    </row>
    <row r="27" spans="1:17" s="8" customFormat="1" ht="11.25" customHeight="1">
      <c r="A27" s="9" t="s">
        <v>11</v>
      </c>
      <c r="B27" s="179">
        <f>COUNTIFS(Jan!$B:$B,2134,Jan!$J:$J,17)</f>
        <v>6</v>
      </c>
      <c r="C27" s="206">
        <v>6</v>
      </c>
      <c r="D27" s="206">
        <v>5</v>
      </c>
      <c r="E27" s="206">
        <v>4</v>
      </c>
      <c r="F27" s="206">
        <v>5</v>
      </c>
      <c r="G27" s="206">
        <v>11</v>
      </c>
      <c r="H27" s="206">
        <v>6</v>
      </c>
      <c r="I27" s="206">
        <v>12</v>
      </c>
      <c r="J27" s="208">
        <v>11</v>
      </c>
      <c r="K27" s="208">
        <v>5</v>
      </c>
      <c r="L27" s="208">
        <v>9</v>
      </c>
      <c r="M27" s="206">
        <v>8</v>
      </c>
    </row>
    <row r="28" spans="1:17" s="8" customFormat="1" ht="11.25" customHeight="1">
      <c r="A28" s="9" t="s">
        <v>143</v>
      </c>
      <c r="B28" s="59">
        <f>COUNTIFS(Jan!$B:$B,2134,Jan!$F:$F,455)</f>
        <v>0</v>
      </c>
      <c r="C28" s="59">
        <f>COUNTIFS(Feb!$B:$B,2134,Feb!$F:$F,455)</f>
        <v>0</v>
      </c>
      <c r="D28" s="59">
        <f>COUNTIFS(Mar!$B:$B,2134,Mar!$F:$F,455)</f>
        <v>0</v>
      </c>
      <c r="E28" s="59">
        <f>COUNTIFS(Apr!$B:$B,2134,Apr!$F:$F,455)</f>
        <v>0</v>
      </c>
      <c r="F28" s="59">
        <f>COUNTIFS(May!$B:$B,2134,May!$F:$F,455)</f>
        <v>0</v>
      </c>
      <c r="G28" s="59">
        <f>COUNTIFS(Jun!$B:$B,2134,Jun!$F:$F,455)</f>
        <v>0</v>
      </c>
      <c r="H28" s="59">
        <f>COUNTIFS(Jul!$B:$B,2134,Jul!$F:$F,455)</f>
        <v>0</v>
      </c>
      <c r="I28" s="59">
        <f>COUNTIFS(Aug!$B:$B,2134,Aug!$F:$F,455)</f>
        <v>0</v>
      </c>
      <c r="J28" s="59">
        <f>COUNTIFS(Sep!$B:$B,2134,Sep!$F:$F,455)</f>
        <v>0</v>
      </c>
      <c r="K28" s="59">
        <f>COUNTIFS(Oct!$B:$B,2134,Oct!$F:$F,455)</f>
        <v>0</v>
      </c>
      <c r="L28" s="59">
        <f>COUNTIFS(Nov!$B:$B,2134,Nov!$F:$F,455)</f>
        <v>0</v>
      </c>
      <c r="M28" s="59">
        <v>0</v>
      </c>
    </row>
    <row r="29" spans="1:17" s="8" customFormat="1" ht="11.25" customHeight="1">
      <c r="A29" s="9" t="s">
        <v>23</v>
      </c>
      <c r="B29" s="59">
        <f>COUNTIFS(Jan!$B:$B,2134,Jan!$J:$J,31)</f>
        <v>0</v>
      </c>
      <c r="C29" s="59">
        <f>COUNTIFS(Feb!$B:$B,2134,Feb!$J:$J,31)</f>
        <v>0</v>
      </c>
      <c r="D29" s="59">
        <f>COUNTIFS(Mar!$B:$B,2134,Mar!$J:$J,31)</f>
        <v>0</v>
      </c>
      <c r="E29" s="59">
        <f>COUNTIFS(Apr!$B:$B,2134,Apr!$J:$J,31)</f>
        <v>0</v>
      </c>
      <c r="F29" s="59">
        <f>COUNTIFS(May!$B:$B,2134,May!$J:$J,31)</f>
        <v>0</v>
      </c>
      <c r="G29" s="59">
        <f>COUNTIFS(Jun!$B:$B,2134,Jun!$J:$J,31)</f>
        <v>0</v>
      </c>
      <c r="H29" s="59">
        <f>COUNTIFS(Jul!$B:$B,2134,Jul!$J:$J,31)</f>
        <v>0</v>
      </c>
      <c r="I29" s="59">
        <f>COUNTIFS(Aug!$B:$B,2134,Aug!$J:$J,31)</f>
        <v>0</v>
      </c>
      <c r="J29" s="59">
        <f>COUNTIFS(Sep!$B:$B,2134,Sep!$J:$J,31)</f>
        <v>0</v>
      </c>
      <c r="K29" s="59">
        <f>COUNTIFS(Oct!$B:$B,2134,Oct!$J:$J,31)</f>
        <v>0</v>
      </c>
      <c r="L29" s="59">
        <f>COUNTIFS(Nov!$B:$B,2134,Nov!$J:$J,31)</f>
        <v>0</v>
      </c>
      <c r="M29" s="59">
        <v>0</v>
      </c>
    </row>
    <row r="30" spans="1:17" s="8" customFormat="1" ht="11.25" customHeight="1">
      <c r="A30" s="9" t="s">
        <v>37</v>
      </c>
      <c r="B30" s="59">
        <f>COUNTIFS(Jan!$B:$B,2134,Jan!$J:$J,4400)</f>
        <v>3</v>
      </c>
      <c r="C30" s="59">
        <v>1</v>
      </c>
      <c r="D30" s="59">
        <v>2</v>
      </c>
      <c r="E30" s="59">
        <f>COUNTIFS(Apr!$B:$B,2134,Apr!$J:$J,4400)</f>
        <v>0</v>
      </c>
      <c r="F30" s="59">
        <v>2</v>
      </c>
      <c r="G30" s="59">
        <f>COUNTIFS(Jun!$B:$B,2134,Jun!$J:$J,4400)</f>
        <v>0</v>
      </c>
      <c r="H30" s="59">
        <v>1</v>
      </c>
      <c r="I30" s="59">
        <f>COUNTIFS(Aug!$B:$B,2134,Aug!$J:$J,4400)</f>
        <v>0</v>
      </c>
      <c r="J30" s="59">
        <v>2</v>
      </c>
      <c r="K30" s="59">
        <v>1</v>
      </c>
      <c r="L30" s="59">
        <f>COUNTIFS(Nov!$B:$B,2134,Nov!$J:$J,4400)</f>
        <v>0</v>
      </c>
      <c r="M30" s="59">
        <v>2</v>
      </c>
    </row>
    <row r="31" spans="1:17" s="8" customFormat="1" ht="11.25" customHeight="1">
      <c r="A31" s="10" t="s">
        <v>24</v>
      </c>
      <c r="B31" s="59">
        <f>COUNTIFS(Jan!$B:$B,2134,Jan!$J:$J,30)</f>
        <v>0</v>
      </c>
      <c r="C31" s="59">
        <f>COUNTIFS(Feb!$B:$B,2134,Feb!$J:$J,30)</f>
        <v>0</v>
      </c>
      <c r="D31" s="59">
        <f>COUNTIFS(Mar!$B:$B,2134,Mar!$J:$J,30)</f>
        <v>0</v>
      </c>
      <c r="E31" s="59">
        <f>COUNTIFS(Apr!$B:$B,2134,Apr!$J:$J,30)</f>
        <v>0</v>
      </c>
      <c r="F31" s="59">
        <f>COUNTIFS(May!$B:$B,2134,May!$J:$J,30)</f>
        <v>0</v>
      </c>
      <c r="G31" s="59">
        <f>COUNTIFS(Jun!$B:$B,2134,Jun!$J:$J,30)</f>
        <v>0</v>
      </c>
      <c r="H31" s="59">
        <f>COUNTIFS(Jul!$B:$B,2134,Jul!$J:$J,30)</f>
        <v>0</v>
      </c>
      <c r="I31" s="59">
        <f>COUNTIFS(Aug!$B:$B,2134,Aug!$J:$J,30)</f>
        <v>0</v>
      </c>
      <c r="J31" s="59">
        <f>COUNTIFS(Sep!$B:$B,2134,Sep!$J:$J,30)</f>
        <v>0</v>
      </c>
      <c r="K31" s="59">
        <f>COUNTIFS(Oct!$B:$B,2134,Oct!$J:$J,30)</f>
        <v>0</v>
      </c>
      <c r="L31" s="59">
        <f>COUNTIFS(Nov!$B:$B,2134,Nov!$J:$J,30)</f>
        <v>0</v>
      </c>
      <c r="M31" s="59">
        <v>0</v>
      </c>
    </row>
    <row r="32" spans="1:17" s="14" customFormat="1" ht="11.25" customHeight="1" thickBot="1">
      <c r="A32" s="2" t="s">
        <v>140</v>
      </c>
      <c r="B32" s="60">
        <f>SUM(B25:B31)</f>
        <v>18</v>
      </c>
      <c r="C32" s="60">
        <f t="shared" ref="C32:M32" si="10">SUM(C25:C31)</f>
        <v>14</v>
      </c>
      <c r="D32" s="60">
        <f>SUM(D25:D31)</f>
        <v>16</v>
      </c>
      <c r="E32" s="60">
        <f>SUM(E25:E31)</f>
        <v>11</v>
      </c>
      <c r="F32" s="60">
        <f>SUM(F25:F31)</f>
        <v>10</v>
      </c>
      <c r="G32" s="60">
        <f>SUM(G25:G31)</f>
        <v>18</v>
      </c>
      <c r="H32" s="60">
        <f t="shared" si="10"/>
        <v>12</v>
      </c>
      <c r="I32" s="60">
        <f t="shared" si="10"/>
        <v>17</v>
      </c>
      <c r="J32" s="60">
        <f t="shared" si="10"/>
        <v>20</v>
      </c>
      <c r="K32" s="60">
        <f t="shared" si="10"/>
        <v>9</v>
      </c>
      <c r="L32" s="159">
        <f t="shared" si="10"/>
        <v>13</v>
      </c>
      <c r="M32" s="170">
        <f t="shared" si="10"/>
        <v>19</v>
      </c>
    </row>
    <row r="33" spans="1:13" ht="12" customHeight="1" thickBot="1">
      <c r="A33" s="55" t="s">
        <v>136</v>
      </c>
      <c r="B33" s="50">
        <v>41275</v>
      </c>
      <c r="C33" s="47">
        <v>41306</v>
      </c>
      <c r="D33" s="47">
        <v>41334</v>
      </c>
      <c r="E33" s="47">
        <v>41365</v>
      </c>
      <c r="F33" s="47">
        <v>41395</v>
      </c>
      <c r="G33" s="47">
        <v>41426</v>
      </c>
      <c r="H33" s="47">
        <v>41456</v>
      </c>
      <c r="I33" s="47">
        <v>41487</v>
      </c>
      <c r="J33" s="47">
        <v>41518</v>
      </c>
      <c r="K33" s="47">
        <v>41548</v>
      </c>
      <c r="L33" s="47">
        <v>41579</v>
      </c>
      <c r="M33" s="51">
        <v>41609</v>
      </c>
    </row>
    <row r="34" spans="1:13" s="8" customFormat="1" ht="11.25" customHeight="1">
      <c r="A34" s="46" t="s">
        <v>33</v>
      </c>
      <c r="B34" s="57">
        <f>COUNTIFS(Jan!$B:$B,2134,Jan!$J:$J,40)</f>
        <v>0</v>
      </c>
      <c r="C34" s="57">
        <f>COUNTIFS(Feb!$B:$B,2134,Feb!$J:$J,40)</f>
        <v>0</v>
      </c>
      <c r="D34" s="57">
        <v>1</v>
      </c>
      <c r="E34" s="57">
        <f>COUNTIFS(Apr!$B:$B,2134,Apr!$J:$J,40)</f>
        <v>0</v>
      </c>
      <c r="F34" s="57">
        <f>COUNTIFS(May!$B:$B,2134,May!$J:$J,40)</f>
        <v>0</v>
      </c>
      <c r="G34" s="57">
        <f>COUNTIFS(Jun!$B:$B,2134,Jun!$J:$J,40)</f>
        <v>0</v>
      </c>
      <c r="H34" s="57">
        <f>COUNTIFS(Jul!$B:$B,2134,Jul!$J:$J,40)</f>
        <v>0</v>
      </c>
      <c r="I34" s="57">
        <f>COUNTIFS(Aug!$B:$B,2134,Aug!$J:$J,40)</f>
        <v>0</v>
      </c>
      <c r="J34" s="57">
        <v>1</v>
      </c>
      <c r="K34" s="57">
        <f>COUNTIFS(Oct!$B:$B,2134,Oct!$J:$J,40)</f>
        <v>0</v>
      </c>
      <c r="L34" s="57">
        <f>COUNTIFS(Nov!$B:$B,2134,Nov!$J:$J,40)</f>
        <v>0</v>
      </c>
      <c r="M34" s="57">
        <v>0</v>
      </c>
    </row>
    <row r="35" spans="1:13" s="8" customFormat="1" ht="11.25" customHeight="1">
      <c r="A35" s="10" t="s">
        <v>4</v>
      </c>
      <c r="B35" s="59">
        <f>COUNTIFS(Jan!$B:$B,2134,Jan!$J:$J,15)</f>
        <v>1</v>
      </c>
      <c r="C35" s="59">
        <v>2</v>
      </c>
      <c r="D35" s="59">
        <v>2</v>
      </c>
      <c r="E35" s="59">
        <v>2</v>
      </c>
      <c r="F35" s="59">
        <v>2</v>
      </c>
      <c r="G35" s="59">
        <v>5</v>
      </c>
      <c r="H35" s="59">
        <v>1</v>
      </c>
      <c r="I35" s="59">
        <v>4</v>
      </c>
      <c r="J35" s="59">
        <v>2</v>
      </c>
      <c r="K35" s="59">
        <v>1</v>
      </c>
      <c r="L35" s="59">
        <v>3</v>
      </c>
      <c r="M35" s="59">
        <v>1</v>
      </c>
    </row>
    <row r="36" spans="1:13" s="8" customFormat="1" ht="11.25" customHeight="1">
      <c r="A36" s="10" t="s">
        <v>39</v>
      </c>
      <c r="B36" s="59">
        <f>COUNTIFS(Jan!$B:$B,2134,Jan!$J:$J,29)</f>
        <v>1</v>
      </c>
      <c r="C36" s="59">
        <v>6</v>
      </c>
      <c r="D36" s="59">
        <v>3</v>
      </c>
      <c r="E36" s="59">
        <v>4</v>
      </c>
      <c r="F36" s="59">
        <v>1</v>
      </c>
      <c r="G36" s="59">
        <v>4</v>
      </c>
      <c r="H36" s="59">
        <v>4</v>
      </c>
      <c r="I36" s="59">
        <v>4</v>
      </c>
      <c r="J36" s="59">
        <v>3</v>
      </c>
      <c r="K36" s="59">
        <v>6</v>
      </c>
      <c r="L36" s="59">
        <v>1</v>
      </c>
      <c r="M36" s="59">
        <v>8</v>
      </c>
    </row>
    <row r="37" spans="1:13" s="8" customFormat="1" ht="11.25" customHeight="1">
      <c r="A37" s="10" t="s">
        <v>3</v>
      </c>
      <c r="B37" s="59">
        <f>COUNTIFS(Jan!$B:$B,2134,Jan!$J:$J,13)</f>
        <v>0</v>
      </c>
      <c r="C37" s="59">
        <f>COUNTIFS(Feb!$B:$B,2134,Feb!$J:$J,13)</f>
        <v>0</v>
      </c>
      <c r="D37" s="59">
        <f>COUNTIFS(Mar!$B:$B,2134,Mar!$J:$J,13)</f>
        <v>0</v>
      </c>
      <c r="E37" s="59">
        <f>COUNTIFS(Apr!$B:$B,2134,Apr!$J:$J,13)</f>
        <v>0</v>
      </c>
      <c r="F37" s="59">
        <f>COUNTIFS(May!$B:$B,2134,May!$J:$J,13)</f>
        <v>0</v>
      </c>
      <c r="G37" s="59">
        <f>COUNTIFS(Jun!$B:$B,2134,Jun!$J:$J,13)</f>
        <v>0</v>
      </c>
      <c r="H37" s="59">
        <f>COUNTIFS(Jul!$B:$B,2134,Jul!$J:$J,13)</f>
        <v>0</v>
      </c>
      <c r="I37" s="59">
        <v>1</v>
      </c>
      <c r="J37" s="59">
        <f>COUNTIFS(Sep!$B:$B,2134,Sep!$J:$J,13)</f>
        <v>0</v>
      </c>
      <c r="K37" s="59">
        <f>COUNTIFS(Oct!$B:$B,2134,Oct!$J:$J,13)</f>
        <v>0</v>
      </c>
      <c r="L37" s="59">
        <f>COUNTIFS(Nov!$B:$B,2134,Nov!$J:$J,13)</f>
        <v>0</v>
      </c>
      <c r="M37" s="59">
        <v>0</v>
      </c>
    </row>
    <row r="38" spans="1:13" s="8" customFormat="1" ht="11.25" customHeight="1">
      <c r="A38" s="9" t="s">
        <v>218</v>
      </c>
      <c r="B38" s="59">
        <f>COUNTIFS(Jan!$B:$B,2434,Jan!$J:$J,43)</f>
        <v>0</v>
      </c>
      <c r="C38" s="59">
        <v>10</v>
      </c>
      <c r="D38" s="59">
        <v>11</v>
      </c>
      <c r="E38" s="59">
        <v>15</v>
      </c>
      <c r="F38" s="59">
        <v>10</v>
      </c>
      <c r="G38" s="59">
        <v>15</v>
      </c>
      <c r="H38" s="59">
        <v>15</v>
      </c>
      <c r="I38" s="59">
        <v>17</v>
      </c>
      <c r="J38" s="59">
        <v>16</v>
      </c>
      <c r="K38" s="59">
        <v>6</v>
      </c>
      <c r="L38" s="59">
        <v>14</v>
      </c>
      <c r="M38" s="59">
        <v>19</v>
      </c>
    </row>
    <row r="39" spans="1:13" s="8" customFormat="1" ht="11.25" customHeight="1">
      <c r="A39" s="10" t="s">
        <v>25</v>
      </c>
      <c r="B39" s="59">
        <f>COUNTIFS(Jan!$B:$B,2134,Jan!$J:$J,24)</f>
        <v>2</v>
      </c>
      <c r="C39" s="59">
        <v>4</v>
      </c>
      <c r="D39" s="59">
        <v>3</v>
      </c>
      <c r="E39" s="59">
        <v>9</v>
      </c>
      <c r="F39" s="59">
        <v>10</v>
      </c>
      <c r="G39" s="59">
        <v>7</v>
      </c>
      <c r="H39" s="59">
        <v>6</v>
      </c>
      <c r="I39" s="59">
        <v>6</v>
      </c>
      <c r="J39" s="59">
        <v>4</v>
      </c>
      <c r="K39" s="59">
        <v>9</v>
      </c>
      <c r="L39" s="59">
        <v>4</v>
      </c>
      <c r="M39" s="59">
        <v>5</v>
      </c>
    </row>
    <row r="40" spans="1:13" s="8" customFormat="1" ht="11.25" customHeight="1">
      <c r="A40" s="10" t="s">
        <v>34</v>
      </c>
      <c r="B40" s="59">
        <f>COUNTIFS(Jan!$B:$B,2134,Jan!$J:$J,9)</f>
        <v>0</v>
      </c>
      <c r="C40" s="59">
        <f>COUNTIFS(Feb!$B:$B,2134,Feb!$J:$J,9)</f>
        <v>0</v>
      </c>
      <c r="D40" s="59">
        <f>COUNTIFS(Mar!$B:$B,2134,Mar!$J:$J,9)</f>
        <v>0</v>
      </c>
      <c r="E40" s="59">
        <f>COUNTIFS(Apr!$B:$B,2134,Apr!$J:$J,9)</f>
        <v>0</v>
      </c>
      <c r="F40" s="59">
        <f>COUNTIFS(May!$B:$B,2134,May!$J:$J,9)</f>
        <v>0</v>
      </c>
      <c r="G40" s="59">
        <f>COUNTIFS(Jun!$B:$B,2134,Jun!$J:$J,9)</f>
        <v>0</v>
      </c>
      <c r="H40" s="59">
        <f>COUNTIFS(Jul!$B:$B,2134,Jul!$J:$J,9)</f>
        <v>0</v>
      </c>
      <c r="I40" s="59">
        <f>COUNTIFS(Aug!$B:$B,2134,Aug!$J:$J,9)</f>
        <v>0</v>
      </c>
      <c r="J40" s="59">
        <f>COUNTIFS(Sep!$B:$B,2134,Sep!$J:$J,9)</f>
        <v>0</v>
      </c>
      <c r="K40" s="59">
        <f>COUNTIFS(Oct!$B:$B,2134,Oct!$J:$J,9)</f>
        <v>0</v>
      </c>
      <c r="L40" s="59">
        <f>COUNTIFS(Nov!$B:$B,2134,Nov!$J:$J,9)</f>
        <v>0</v>
      </c>
      <c r="M40" s="59">
        <v>1</v>
      </c>
    </row>
    <row r="41" spans="1:13" s="8" customFormat="1" ht="11.25" customHeight="1">
      <c r="A41" s="10" t="s">
        <v>31</v>
      </c>
      <c r="B41" s="59">
        <f>COUNTIFS(Jan!$B:$B,2134,Jan!$J:$J,10)</f>
        <v>0</v>
      </c>
      <c r="C41" s="59">
        <v>1</v>
      </c>
      <c r="D41" s="59">
        <v>4</v>
      </c>
      <c r="E41" s="59">
        <f>COUNTIFS(Apr!$B:$B,2134,Apr!$J:$J,10)</f>
        <v>0</v>
      </c>
      <c r="F41" s="59">
        <v>5</v>
      </c>
      <c r="G41" s="59">
        <v>2</v>
      </c>
      <c r="H41" s="59">
        <v>11</v>
      </c>
      <c r="I41" s="59">
        <v>4</v>
      </c>
      <c r="J41" s="59">
        <v>2</v>
      </c>
      <c r="K41" s="59">
        <f>COUNTIFS(Oct!$B:$B,2134,Oct!$J:$J,10)</f>
        <v>0</v>
      </c>
      <c r="L41" s="59">
        <v>3</v>
      </c>
      <c r="M41" s="59">
        <v>0</v>
      </c>
    </row>
    <row r="42" spans="1:13" s="8" customFormat="1" ht="11.25" customHeight="1">
      <c r="A42" s="10" t="s">
        <v>144</v>
      </c>
      <c r="B42" s="59">
        <f>COUNTIFS(Jan!$B:$B,2134,Jan!$F:$F,462)</f>
        <v>0</v>
      </c>
      <c r="C42" s="59">
        <f>COUNTIFS(Feb!$B:$B,2134,Feb!$F:$F,462)</f>
        <v>0</v>
      </c>
      <c r="D42" s="59">
        <f>COUNTIFS(Mar!$B:$B,2134,Mar!$F:$F,462)</f>
        <v>0</v>
      </c>
      <c r="E42" s="59">
        <f>COUNTIFS(Apr!$B:$B,2134,Apr!$F:$F,462)</f>
        <v>0</v>
      </c>
      <c r="F42" s="59">
        <f>COUNTIFS(May!$B:$B,2134,May!$F:$F,462)</f>
        <v>0</v>
      </c>
      <c r="G42" s="59">
        <f>COUNTIFS(Jun!$B:$B,2134,Jun!$F:$F,462)</f>
        <v>0</v>
      </c>
      <c r="H42" s="59">
        <f>COUNTIFS(Jul!$B:$B,2134,Jul!$F:$F,462)</f>
        <v>0</v>
      </c>
      <c r="I42" s="59">
        <f>COUNTIFS(Aug!$B:$B,2134,Aug!$F:$F,462)</f>
        <v>0</v>
      </c>
      <c r="J42" s="59">
        <f>COUNTIFS(Sep!$B:$B,2134,Sep!$F:$F,462)</f>
        <v>0</v>
      </c>
      <c r="K42" s="59">
        <f>COUNTIFS(Oct!$B:$B,2134,Oct!$F:$F,462)</f>
        <v>0</v>
      </c>
      <c r="L42" s="59">
        <f>COUNTIFS(Nov!$B:$B,2134,Nov!$F:$F,462)</f>
        <v>0</v>
      </c>
      <c r="M42" s="59">
        <v>0</v>
      </c>
    </row>
    <row r="43" spans="1:13" s="8" customFormat="1" ht="11.25" customHeight="1">
      <c r="A43" s="10" t="s">
        <v>1</v>
      </c>
      <c r="B43" s="59">
        <f>COUNTIFS(Jan!$B:$B,2134,Jan!$J:$J,11)</f>
        <v>2</v>
      </c>
      <c r="C43" s="59">
        <v>4</v>
      </c>
      <c r="D43" s="59">
        <v>2</v>
      </c>
      <c r="E43" s="59">
        <v>5</v>
      </c>
      <c r="F43" s="59">
        <v>4</v>
      </c>
      <c r="G43" s="59">
        <v>8</v>
      </c>
      <c r="H43" s="59">
        <v>7</v>
      </c>
      <c r="I43" s="59">
        <v>17</v>
      </c>
      <c r="J43" s="59">
        <v>15</v>
      </c>
      <c r="K43" s="59">
        <v>5</v>
      </c>
      <c r="L43" s="59">
        <v>11</v>
      </c>
      <c r="M43" s="59">
        <v>4</v>
      </c>
    </row>
    <row r="44" spans="1:13" s="8" customFormat="1" ht="11.25" customHeight="1">
      <c r="A44" s="10" t="s">
        <v>26</v>
      </c>
      <c r="B44" s="59">
        <f>COUNTIFS(Jan!$B:$B,2134,Jan!$J:$J,20)</f>
        <v>0</v>
      </c>
      <c r="C44" s="59">
        <f>COUNTIFS(Feb!$B:$B,2134,Feb!$J:$J,20)</f>
        <v>0</v>
      </c>
      <c r="D44" s="59">
        <f>COUNTIFS(Mar!$B:$B,2134,Mar!$J:$J,20)</f>
        <v>0</v>
      </c>
      <c r="E44" s="59">
        <f>COUNTIFS(Apr!$B:$B,2134,Apr!$J:$J,20)</f>
        <v>0</v>
      </c>
      <c r="F44" s="59">
        <f>COUNTIFS(May!$B:$B,2134,May!$J:$J,20)</f>
        <v>0</v>
      </c>
      <c r="G44" s="59">
        <f>COUNTIFS(Jun!$B:$B,2134,Jun!$J:$J,20)</f>
        <v>0</v>
      </c>
      <c r="H44" s="59">
        <f>COUNTIFS(Jul!$B:$B,2134,Jul!$J:$J,20)</f>
        <v>0</v>
      </c>
      <c r="I44" s="59">
        <v>1</v>
      </c>
      <c r="J44" s="59">
        <f>COUNTIFS(Sep!$B:$B,2134,Sep!$J:$J,20)</f>
        <v>0</v>
      </c>
      <c r="K44" s="59">
        <f>COUNTIFS(Oct!$B:$B,2134,Oct!$J:$J,20)</f>
        <v>0</v>
      </c>
      <c r="L44" s="59">
        <v>1</v>
      </c>
      <c r="M44" s="59">
        <v>0</v>
      </c>
    </row>
    <row r="45" spans="1:13" s="8" customFormat="1" ht="11.25" customHeight="1">
      <c r="A45" s="10" t="s">
        <v>32</v>
      </c>
      <c r="B45" s="59">
        <f>COUNTIFS(Jan!$B:$B,2134,Jan!$J:$J,2)</f>
        <v>13</v>
      </c>
      <c r="C45" s="59">
        <v>4</v>
      </c>
      <c r="D45" s="59">
        <v>9</v>
      </c>
      <c r="E45" s="59">
        <v>8</v>
      </c>
      <c r="F45" s="59">
        <v>5</v>
      </c>
      <c r="G45" s="59">
        <v>8</v>
      </c>
      <c r="H45" s="59">
        <v>8</v>
      </c>
      <c r="I45" s="59">
        <v>10</v>
      </c>
      <c r="J45" s="59">
        <v>10</v>
      </c>
      <c r="K45" s="59">
        <v>4</v>
      </c>
      <c r="L45" s="59">
        <v>14</v>
      </c>
      <c r="M45" s="59">
        <v>15</v>
      </c>
    </row>
    <row r="46" spans="1:13" s="8" customFormat="1" ht="11.25" customHeight="1">
      <c r="A46" s="10" t="s">
        <v>28</v>
      </c>
      <c r="B46" s="59">
        <f>COUNTIFS(Jan!$B:$B,2134,Jan!$J:$J,1700)+COUNTIFS(Jan!$B:$B,2134,Jan!$F:$F,1700)+COUNTIFS(Jan!$B:$B,2134,Jan!$J:$J,19)</f>
        <v>0</v>
      </c>
      <c r="C46" s="59">
        <f>COUNTIFS(Feb!$B:$B,2134,Feb!$J:$J,1700)+COUNTIFS(Feb!$B:$B,2134,Feb!$F:$F,1700)+COUNTIFS(Feb!$B:$B,2134,Feb!$J:$J,19)</f>
        <v>0</v>
      </c>
      <c r="D46" s="59">
        <f>COUNTIFS(Mar!$B:$B,2134,Mar!$J:$J,1700)+COUNTIFS(Mar!$B:$B,2134,Mar!$F:$F,1700)+COUNTIFS(Mar!$B:$B,2134,Mar!$J:$J,19)</f>
        <v>0</v>
      </c>
      <c r="E46" s="59">
        <f>COUNTIFS(Apr!$B:$B,2134,Apr!$J:$J,1700)+COUNTIFS(Apr!$B:$B,2134,Apr!$F:$F,1700)+COUNTIFS(Apr!$B:$B,2134,Apr!$J:$J,19)</f>
        <v>0</v>
      </c>
      <c r="F46" s="59">
        <f>COUNTIFS(May!$B:$B,2134,May!$J:$J,1700)+COUNTIFS(May!$B:$B,2134,May!$F:$F,1700)+COUNTIFS(May!$B:$B,2134,May!$J:$J,19)</f>
        <v>0</v>
      </c>
      <c r="G46" s="59">
        <f>COUNTIFS(Jun!$B:$B,2134,Jun!$J:$J,1700)+COUNTIFS(Jun!$B:$B,2134,Jun!$F:$F,1700)+COUNTIFS(Jun!$B:$B,2134,Jun!$J:$J,19)</f>
        <v>0</v>
      </c>
      <c r="H46" s="59">
        <f>COUNTIFS(Jul!$B:$B,2134,Jul!$J:$J,1700)+COUNTIFS(Jul!$B:$B,2134,Jul!$F:$F,1700)+COUNTIFS(Jul!$B:$B,2134,Jul!$J:$J,19)</f>
        <v>0</v>
      </c>
      <c r="I46" s="59">
        <v>1</v>
      </c>
      <c r="J46" s="59">
        <f>COUNTIFS(Sep!$B:$B,2134,Sep!$J:$J,1700)+COUNTIFS(Sep!$B:$B,2134,Sep!$F:$F,1700)+COUNTIFS(Sep!$B:$B,2134,Sep!$J:$J,19)</f>
        <v>0</v>
      </c>
      <c r="K46" s="59">
        <f>COUNTIFS(Oct!$B:$B,2134,Oct!$J:$J,1700)+COUNTIFS(Oct!$B:$B,2134,Oct!$F:$F,1700)+COUNTIFS(Oct!$B:$B,2134,Oct!$J:$J,19)</f>
        <v>0</v>
      </c>
      <c r="L46" s="59">
        <f>COUNTIFS(Nov!$B:$B,2134,Nov!$J:$J,1700)+COUNTIFS(Nov!$B:$B,2134,Nov!$F:$F,1700)+COUNTIFS(Nov!$B:$B,2134,Nov!$J:$J,19)</f>
        <v>0</v>
      </c>
      <c r="M46" s="59">
        <v>3</v>
      </c>
    </row>
    <row r="47" spans="1:13" s="8" customFormat="1" ht="11.25" customHeight="1">
      <c r="A47" s="10" t="s">
        <v>0</v>
      </c>
      <c r="B47" s="59">
        <f>COUNTIFS(Jan!$B:$B,2134,Jan!$J:$J,3)</f>
        <v>1</v>
      </c>
      <c r="C47" s="59">
        <v>2</v>
      </c>
      <c r="D47" s="59">
        <v>2</v>
      </c>
      <c r="E47" s="59">
        <v>1</v>
      </c>
      <c r="F47" s="59">
        <v>6</v>
      </c>
      <c r="G47" s="59">
        <v>1</v>
      </c>
      <c r="H47" s="59">
        <v>4</v>
      </c>
      <c r="I47" s="59">
        <v>4</v>
      </c>
      <c r="J47" s="59">
        <v>6</v>
      </c>
      <c r="K47" s="59">
        <f>COUNTIFS(Oct!$B:$B,2134,Oct!$J:$J,3)</f>
        <v>0</v>
      </c>
      <c r="L47" s="59">
        <v>2</v>
      </c>
      <c r="M47" s="59">
        <v>3</v>
      </c>
    </row>
    <row r="48" spans="1:13" s="8" customFormat="1" ht="11.25" customHeight="1">
      <c r="A48" s="10" t="s">
        <v>35</v>
      </c>
      <c r="B48" s="59">
        <f>COUNTIFS(Jan!$B:$B,2134,Jan!$J:$J,7400)</f>
        <v>0</v>
      </c>
      <c r="C48" s="59">
        <f>COUNTIFS(Feb!$B:$B,2134,Feb!$J:$J,7400)</f>
        <v>0</v>
      </c>
      <c r="D48" s="59">
        <f>COUNTIFS(Mar!$B:$B,2134,Mar!$J:$J,7400)</f>
        <v>0</v>
      </c>
      <c r="E48" s="59">
        <f>COUNTIFS(Apr!$B:$B,2134,Apr!$J:$J,7400)</f>
        <v>0</v>
      </c>
      <c r="F48" s="59">
        <f>COUNTIFS(May!$B:$B,2134,May!$J:$J,7400)</f>
        <v>0</v>
      </c>
      <c r="G48" s="59">
        <f>COUNTIFS(Jun!$B:$B,2134,Jun!$J:$J,7400)</f>
        <v>0</v>
      </c>
      <c r="H48" s="59">
        <f>COUNTIFS(Jul!$B:$B,2134,Jul!$J:$J,7400)</f>
        <v>0</v>
      </c>
      <c r="I48" s="59">
        <f>COUNTIFS(Aug!$B:$B,2134,Aug!$J:$J,7400)</f>
        <v>0</v>
      </c>
      <c r="J48" s="59">
        <f>COUNTIFS(Sep!$B:$B,2134,Sep!$J:$J,7400)</f>
        <v>0</v>
      </c>
      <c r="K48" s="59">
        <f>COUNTIFS(Oct!$B:$B,2134,Oct!$J:$J,7400)</f>
        <v>0</v>
      </c>
      <c r="L48" s="59">
        <f>COUNTIFS(Nov!$B:$B,2134,Nov!$J:$J,7400)</f>
        <v>0</v>
      </c>
      <c r="M48" s="59">
        <v>0</v>
      </c>
    </row>
    <row r="49" spans="1:14" s="8" customFormat="1" ht="11.25" customHeight="1">
      <c r="A49" s="10" t="s">
        <v>2</v>
      </c>
      <c r="B49" s="59">
        <f>COUNTIFS(Jan!$B:$B,2134,Jan!$J:$J,14)</f>
        <v>0</v>
      </c>
      <c r="C49" s="59">
        <f>COUNTIFS(Feb!$B:$B,2134,Feb!$J:$J,14)</f>
        <v>0</v>
      </c>
      <c r="D49" s="59">
        <v>1</v>
      </c>
      <c r="E49" s="59">
        <v>2</v>
      </c>
      <c r="F49" s="59">
        <v>1</v>
      </c>
      <c r="G49" s="59">
        <v>1</v>
      </c>
      <c r="H49" s="59">
        <v>1</v>
      </c>
      <c r="I49" s="59">
        <f>COUNTIFS(Aug!$B:$B,2134,Aug!$J:$J,14)</f>
        <v>0</v>
      </c>
      <c r="J49" s="59">
        <f>COUNTIFS(Sep!$B:$B,2134,Sep!$J:$J,14)</f>
        <v>0</v>
      </c>
      <c r="K49" s="59">
        <f>COUNTIFS(Oct!$B:$B,2134,Oct!$J:$J,14)</f>
        <v>0</v>
      </c>
      <c r="L49" s="59">
        <f>COUNTIFS(Nov!$B:$B,2134,Nov!$J:$J,14)</f>
        <v>0</v>
      </c>
      <c r="M49" s="59">
        <v>1</v>
      </c>
    </row>
    <row r="50" spans="1:14" s="8" customFormat="1" ht="11.25" customHeight="1">
      <c r="A50" s="10" t="s">
        <v>142</v>
      </c>
      <c r="B50" s="59">
        <f>COUNTIFS(Jan!$B:$B,2134,Jan!$F:$F,466)</f>
        <v>0</v>
      </c>
      <c r="C50" s="59">
        <f>COUNTIFS(Feb!$B:$B,2134,Feb!$F:$F,466)</f>
        <v>0</v>
      </c>
      <c r="D50" s="59">
        <f>COUNTIFS(Mar!$B:$B,2134,Mar!$F:$F,466)</f>
        <v>0</v>
      </c>
      <c r="E50" s="59">
        <f>COUNTIFS(Apr!$B:$B,2134,Apr!$F:$F,466)</f>
        <v>0</v>
      </c>
      <c r="F50" s="59">
        <f>COUNTIFS(May!$B:$B,2134,May!$F:$F,466)</f>
        <v>0</v>
      </c>
      <c r="G50" s="59">
        <v>1</v>
      </c>
      <c r="H50" s="59">
        <f>COUNTIFS(Jul!$B:$B,2134,Jul!$F:$F,466)</f>
        <v>0</v>
      </c>
      <c r="I50" s="59">
        <f>COUNTIFS(Aug!$B:$B,2134,Aug!$F:$F,466)</f>
        <v>0</v>
      </c>
      <c r="J50" s="59">
        <f>COUNTIFS(Sep!$B:$B,2134,Sep!$F:$F,466)</f>
        <v>0</v>
      </c>
      <c r="K50" s="59">
        <f>COUNTIFS(Oct!$B:$B,2134,Oct!$F:$F,466)</f>
        <v>0</v>
      </c>
      <c r="L50" s="59">
        <f>COUNTIFS(Nov!$B:$B,2134,Nov!$F:$F,466)</f>
        <v>0</v>
      </c>
      <c r="M50" s="59">
        <v>0</v>
      </c>
    </row>
    <row r="51" spans="1:14" s="8" customFormat="1" ht="11.25" customHeight="1">
      <c r="A51" s="10" t="s">
        <v>27</v>
      </c>
      <c r="B51" s="59">
        <f>COUNTIFS(Jan!$B:$B,2134,Jan!$J:$J,25)</f>
        <v>0</v>
      </c>
      <c r="C51" s="59">
        <f>COUNTIFS(Feb!$B:$B,2134,Feb!$J:$J,25)</f>
        <v>0</v>
      </c>
      <c r="D51" s="59">
        <f>COUNTIFS(Mar!$B:$B,2134,Mar!$J:$J,25)</f>
        <v>0</v>
      </c>
      <c r="E51" s="59">
        <f>COUNTIFS(Apr!$B:$B,2134,Apr!$J:$J,25)</f>
        <v>0</v>
      </c>
      <c r="F51" s="59">
        <f>COUNTIFS(May!$B:$B,2134,May!$J:$J,25)</f>
        <v>0</v>
      </c>
      <c r="G51" s="59">
        <f>COUNTIFS(Jun!$B:$B,2134,Jun!$J:$J,25)</f>
        <v>0</v>
      </c>
      <c r="H51" s="59">
        <f>COUNTIFS(Jul!$B:$B,2134,Jul!$J:$J,25)</f>
        <v>0</v>
      </c>
      <c r="I51" s="59">
        <f>COUNTIFS(Aug!$B:$B,2134,Aug!$J:$J,25)</f>
        <v>0</v>
      </c>
      <c r="J51" s="59">
        <f>COUNTIFS(Sep!$B:$B,2134,Sep!$J:$J,25)</f>
        <v>0</v>
      </c>
      <c r="K51" s="59">
        <f>COUNTIFS(Oct!$B:$B,2134,Oct!$J:$J,25)</f>
        <v>0</v>
      </c>
      <c r="L51" s="59">
        <v>1</v>
      </c>
      <c r="M51" s="59">
        <v>0</v>
      </c>
    </row>
    <row r="52" spans="1:14" s="8" customFormat="1" ht="11.25" customHeight="1" thickBot="1">
      <c r="A52" s="11" t="s">
        <v>16</v>
      </c>
      <c r="B52" s="60">
        <f>SUM(B34:B51)</f>
        <v>20</v>
      </c>
      <c r="C52" s="60">
        <f t="shared" ref="C52:M52" si="11">SUM(C34:C51)</f>
        <v>33</v>
      </c>
      <c r="D52" s="60">
        <f>SUM(D34:D51)</f>
        <v>38</v>
      </c>
      <c r="E52" s="60">
        <f>SUM(E34:E51)</f>
        <v>46</v>
      </c>
      <c r="F52" s="60">
        <f>SUM(F34:F51)</f>
        <v>44</v>
      </c>
      <c r="G52" s="60">
        <f>SUM(G34:G51)</f>
        <v>52</v>
      </c>
      <c r="H52" s="60">
        <f t="shared" si="11"/>
        <v>57</v>
      </c>
      <c r="I52" s="60">
        <f t="shared" si="11"/>
        <v>69</v>
      </c>
      <c r="J52" s="60">
        <f t="shared" si="11"/>
        <v>59</v>
      </c>
      <c r="K52" s="60">
        <f t="shared" si="11"/>
        <v>31</v>
      </c>
      <c r="L52" s="159">
        <f t="shared" si="11"/>
        <v>54</v>
      </c>
      <c r="M52" s="170">
        <f t="shared" si="11"/>
        <v>60</v>
      </c>
      <c r="N52" s="8" t="s">
        <v>20</v>
      </c>
    </row>
    <row r="53" spans="1:14" ht="12" customHeight="1" thickBot="1">
      <c r="A53" s="55" t="s">
        <v>137</v>
      </c>
      <c r="B53" s="50">
        <v>41275</v>
      </c>
      <c r="C53" s="47">
        <v>41306</v>
      </c>
      <c r="D53" s="47">
        <v>41334</v>
      </c>
      <c r="E53" s="47">
        <v>41365</v>
      </c>
      <c r="F53" s="47">
        <v>41395</v>
      </c>
      <c r="G53" s="47">
        <v>41426</v>
      </c>
      <c r="H53" s="47">
        <v>41456</v>
      </c>
      <c r="I53" s="47">
        <v>41487</v>
      </c>
      <c r="J53" s="47">
        <v>41518</v>
      </c>
      <c r="K53" s="47">
        <v>41548</v>
      </c>
      <c r="L53" s="47">
        <v>41579</v>
      </c>
      <c r="M53" s="51">
        <v>41609</v>
      </c>
    </row>
    <row r="54" spans="1:14" s="8" customFormat="1" ht="11.25" customHeight="1">
      <c r="A54" s="10" t="s">
        <v>30</v>
      </c>
      <c r="B54" s="57">
        <f>COUNTIFS(Jan!$B:$B,2134,Jan!$J:$J,7)</f>
        <v>0</v>
      </c>
      <c r="C54" s="57">
        <v>1</v>
      </c>
      <c r="D54" s="57">
        <v>2</v>
      </c>
      <c r="E54" s="57">
        <v>1</v>
      </c>
      <c r="F54" s="57">
        <v>3</v>
      </c>
      <c r="G54" s="57">
        <v>1</v>
      </c>
      <c r="H54" s="57">
        <v>5</v>
      </c>
      <c r="I54" s="57">
        <v>1</v>
      </c>
      <c r="J54" s="57">
        <v>2</v>
      </c>
      <c r="K54" s="57">
        <v>1</v>
      </c>
      <c r="L54" s="57">
        <v>2</v>
      </c>
      <c r="M54" s="57">
        <v>0</v>
      </c>
    </row>
    <row r="55" spans="1:14" s="8" customFormat="1" ht="11.25" customHeight="1">
      <c r="A55" s="10" t="s">
        <v>29</v>
      </c>
      <c r="B55" s="59">
        <f>COUNTIFS(Jan!$B:$B,2134,Jan!$J:$J,8)</f>
        <v>0</v>
      </c>
      <c r="C55" s="59">
        <f>COUNTIFS(Feb!$B:$B,2134,Feb!$J:$J,8)</f>
        <v>0</v>
      </c>
      <c r="D55" s="59">
        <f>COUNTIFS(Mar!$B:$B,2134,Mar!$J:$J,8)</f>
        <v>0</v>
      </c>
      <c r="E55" s="59">
        <f>COUNTIFS(Apr!$B:$B,2134,Apr!$J:$J,8)</f>
        <v>0</v>
      </c>
      <c r="F55" s="59">
        <f>COUNTIFS(May!$B:$B,2134,May!$J:$J,8)</f>
        <v>0</v>
      </c>
      <c r="G55" s="59">
        <f>COUNTIFS(Jun!$B:$B,2134,Jun!$J:$J,8)</f>
        <v>0</v>
      </c>
      <c r="H55" s="59">
        <f>COUNTIFS(Jul!$B:$B,2134,Jul!$J:$J,8)</f>
        <v>0</v>
      </c>
      <c r="I55" s="59">
        <f>COUNTIFS(Aug!$B:$B,2134,Aug!$J:$J,8)</f>
        <v>0</v>
      </c>
      <c r="J55" s="59">
        <f>COUNTIFS(Sep!$B:$B,2134,Sep!$J:$J,8)</f>
        <v>0</v>
      </c>
      <c r="K55" s="59">
        <f>COUNTIFS(Oct!$B:$B,2134,Oct!$J:$J,8)</f>
        <v>0</v>
      </c>
      <c r="L55" s="59">
        <f>COUNTIFS(Nov!$B:$B,2134,Nov!$J:$J,8)</f>
        <v>0</v>
      </c>
      <c r="M55" s="59">
        <v>0</v>
      </c>
    </row>
    <row r="56" spans="1:14" s="8" customFormat="1" ht="11.25" customHeight="1">
      <c r="A56" s="10" t="s">
        <v>7</v>
      </c>
      <c r="B56" s="59">
        <f>COUNTIFS(Jan!$B:$B,2134,Jan!$J:$J,12)</f>
        <v>1</v>
      </c>
      <c r="C56" s="59">
        <v>3</v>
      </c>
      <c r="D56" s="59">
        <f>COUNTIFS(Mar!$B:$B,2134,Mar!$J:$J,12)</f>
        <v>0</v>
      </c>
      <c r="E56" s="59">
        <v>3</v>
      </c>
      <c r="F56" s="59">
        <v>1</v>
      </c>
      <c r="G56" s="59">
        <v>1</v>
      </c>
      <c r="H56" s="59">
        <v>1</v>
      </c>
      <c r="I56" s="59">
        <v>1</v>
      </c>
      <c r="J56" s="59">
        <v>3</v>
      </c>
      <c r="K56" s="59">
        <v>1</v>
      </c>
      <c r="L56" s="59">
        <v>3</v>
      </c>
      <c r="M56" s="59">
        <v>3</v>
      </c>
    </row>
    <row r="57" spans="1:14" s="8" customFormat="1" ht="11.25" customHeight="1">
      <c r="A57" s="10" t="s">
        <v>10</v>
      </c>
      <c r="B57" s="59">
        <f>COUNTIFS(Jan!$B:$B,2134,Jan!$J:$J,5100)</f>
        <v>0</v>
      </c>
      <c r="C57" s="59">
        <f>COUNTIFS(Feb!$B:$B,2134,Feb!$J:$J,5100)</f>
        <v>0</v>
      </c>
      <c r="D57" s="59">
        <f>COUNTIFS(Mar!$B:$B,2134,Mar!$J:$J,5100)</f>
        <v>0</v>
      </c>
      <c r="E57" s="59">
        <f>COUNTIFS(Apr!$B:$B,2134,Apr!$J:$J,5100)</f>
        <v>0</v>
      </c>
      <c r="F57" s="59">
        <f>COUNTIFS(May!$B:$B,2134,May!$J:$J,5100)</f>
        <v>0</v>
      </c>
      <c r="G57" s="59">
        <f>COUNTIFS(Jun!$B:$B,2134,Jun!$J:$J,5100)</f>
        <v>0</v>
      </c>
      <c r="H57" s="59">
        <f>COUNTIFS(Jul!$B:$B,2134,Jul!$J:$J,5100)</f>
        <v>0</v>
      </c>
      <c r="I57" s="59">
        <f>COUNTIFS(Aug!$B:$B,2134,Aug!$J:$J,5100)</f>
        <v>0</v>
      </c>
      <c r="J57" s="59">
        <f>COUNTIFS(Sep!$B:$B,2134,Sep!$J:$J,5100)</f>
        <v>0</v>
      </c>
      <c r="K57" s="59">
        <f>COUNTIFS(Oct!$B:$B,2134,Oct!$J:$J,5100)</f>
        <v>0</v>
      </c>
      <c r="L57" s="59">
        <f>COUNTIFS(Nov!$B:$B,2134,Nov!$J:$J,5100)</f>
        <v>0</v>
      </c>
      <c r="M57" s="59">
        <v>0</v>
      </c>
    </row>
    <row r="58" spans="1:14" s="8" customFormat="1" ht="11.25" customHeight="1">
      <c r="A58" s="10" t="s">
        <v>36</v>
      </c>
      <c r="B58" s="59">
        <f>COUNTIFS(Jan!$B:$B,2134,Jan!$J:$J,6200)</f>
        <v>0</v>
      </c>
      <c r="C58" s="59">
        <f>COUNTIFS(Feb!$B:$B,2134,Feb!$J:$J,6200)</f>
        <v>0</v>
      </c>
      <c r="D58" s="59">
        <f>COUNTIFS(Mar!$B:$B,2134,Mar!$J:$J,6200)</f>
        <v>0</v>
      </c>
      <c r="E58" s="59">
        <f>COUNTIFS(Apr!$B:$B,2134,Apr!$J:$J,6200)</f>
        <v>0</v>
      </c>
      <c r="F58" s="59">
        <f>COUNTIFS(May!$B:$B,2134,May!$J:$J,6200)</f>
        <v>0</v>
      </c>
      <c r="G58" s="59">
        <f>COUNTIFS(Jun!$B:$B,2134,Jun!$J:$J,6200)</f>
        <v>0</v>
      </c>
      <c r="H58" s="59">
        <f>COUNTIFS(Jul!$B:$B,2134,Jul!$J:$J,6200)</f>
        <v>0</v>
      </c>
      <c r="I58" s="59">
        <f>COUNTIFS(Aug!$B:$B,2134,Aug!$J:$J,6200)</f>
        <v>0</v>
      </c>
      <c r="J58" s="59">
        <f>COUNTIFS(Sep!$B:$B,2134,Sep!$J:$J,6200)</f>
        <v>0</v>
      </c>
      <c r="K58" s="59">
        <f>COUNTIFS(Oct!$B:$B,2134,Oct!$J:$J,6200)</f>
        <v>0</v>
      </c>
      <c r="L58" s="59">
        <f>COUNTIFS(Nov!$B:$B,2134,Nov!$J:$J,6200)</f>
        <v>0</v>
      </c>
      <c r="M58" s="59">
        <v>0</v>
      </c>
    </row>
    <row r="59" spans="1:14" s="8" customFormat="1" ht="11.25" customHeight="1">
      <c r="A59" s="10" t="s">
        <v>145</v>
      </c>
      <c r="B59" s="59">
        <f>COUNTIFS(Jan!$B:$B,2134,Jan!$J:$J,28)</f>
        <v>0</v>
      </c>
      <c r="C59" s="59">
        <f>COUNTIFS(Feb!$B:$B,2134,Feb!$J:$J,28)</f>
        <v>0</v>
      </c>
      <c r="D59" s="59">
        <f>COUNTIFS(Mar!$B:$B,2134,Mar!$J:$J,28)</f>
        <v>0</v>
      </c>
      <c r="E59" s="59">
        <f>COUNTIFS(Apr!$B:$B,2134,Apr!$J:$J,28)</f>
        <v>0</v>
      </c>
      <c r="F59" s="59">
        <f>COUNTIFS(May!$B:$B,2134,May!$J:$J,28)</f>
        <v>0</v>
      </c>
      <c r="G59" s="59">
        <f>COUNTIFS(Jun!$B:$B,2134,Jun!$J:$J,28)</f>
        <v>0</v>
      </c>
      <c r="H59" s="59">
        <f>COUNTIFS(Jul!$B:$B,2134,Jul!$J:$J,28)</f>
        <v>0</v>
      </c>
      <c r="I59" s="59">
        <f>COUNTIFS(Aug!$B:$B,2134,Aug!$J:$J,28)</f>
        <v>0</v>
      </c>
      <c r="J59" s="59">
        <f>COUNTIFS(Sep!$B:$B,2134,Sep!$J:$J,28)</f>
        <v>0</v>
      </c>
      <c r="K59" s="59">
        <f>COUNTIFS(Oct!$B:$B,2134,Oct!$J:$J,28)</f>
        <v>0</v>
      </c>
      <c r="L59" s="59">
        <f>COUNTIFS(Nov!$B:$B,2134,Nov!$J:$J,28)</f>
        <v>0</v>
      </c>
      <c r="M59" s="59">
        <v>0</v>
      </c>
    </row>
    <row r="60" spans="1:14" s="8" customFormat="1" ht="11.25" customHeight="1">
      <c r="A60" s="10" t="s">
        <v>38</v>
      </c>
      <c r="B60" s="59">
        <f>COUNTIFS(Jan!$B:$B,2134,Jan!$J:$J,6100)</f>
        <v>1</v>
      </c>
      <c r="C60" s="59">
        <f>COUNTIFS(Feb!$B:$B,2134,Feb!$J:$J,6100)</f>
        <v>0</v>
      </c>
      <c r="D60" s="59">
        <f>COUNTIFS(Mar!$B:$B,2134,Mar!$J:$J,6100)</f>
        <v>0</v>
      </c>
      <c r="E60" s="59">
        <f>COUNTIFS(Apr!$B:$B,2134,Apr!$J:$J,6100)</f>
        <v>0</v>
      </c>
      <c r="F60" s="59">
        <v>1</v>
      </c>
      <c r="G60" s="59">
        <v>1</v>
      </c>
      <c r="H60" s="59">
        <f>COUNTIFS(Jul!$B:$B,2134,Jul!$J:$J,6100)</f>
        <v>0</v>
      </c>
      <c r="I60" s="59">
        <f>COUNTIFS(Aug!$B:$B,2134,Aug!$J:$J,6100)</f>
        <v>0</v>
      </c>
      <c r="J60" s="59">
        <f>COUNTIFS(Sep!$B:$B,2134,Sep!$J:$J,6100)</f>
        <v>0</v>
      </c>
      <c r="K60" s="59">
        <f>COUNTIFS(Oct!$B:$B,2134,Oct!$J:$J,6100)</f>
        <v>0</v>
      </c>
      <c r="L60" s="59">
        <f>COUNTIFS(Nov!$B:$B,2134,Nov!$J:$J,6100)</f>
        <v>0</v>
      </c>
      <c r="M60" s="59">
        <v>1</v>
      </c>
    </row>
    <row r="61" spans="1:14" s="8" customFormat="1" ht="11.25" customHeight="1">
      <c r="A61" s="10" t="s">
        <v>9</v>
      </c>
      <c r="B61" s="59">
        <f>COUNTIFS(Jan!$B:$B,2134,Jan!$J:$J,6)</f>
        <v>0</v>
      </c>
      <c r="C61" s="59">
        <f>COUNTIFS(Feb!$B:$B,2134,Feb!$J:$J,6)</f>
        <v>0</v>
      </c>
      <c r="D61" s="59">
        <f>COUNTIFS(Mar!$B:$B,2134,Mar!$J:$J,6)</f>
        <v>0</v>
      </c>
      <c r="E61" s="59">
        <f>COUNTIFS(Apr!$B:$B,2134,Apr!$J:$J,6)</f>
        <v>0</v>
      </c>
      <c r="F61" s="59">
        <f>COUNTIFS(May!$B:$B,2134,May!$J:$J,6)</f>
        <v>0</v>
      </c>
      <c r="G61" s="59">
        <v>1</v>
      </c>
      <c r="H61" s="59">
        <f>COUNTIFS(Jul!$B:$B,2134,Jul!$J:$J,6)</f>
        <v>0</v>
      </c>
      <c r="I61" s="59">
        <f>COUNTIFS(Aug!$B:$B,2134,Aug!$J:$J,6)</f>
        <v>0</v>
      </c>
      <c r="J61" s="59">
        <f>COUNTIFS(Sep!$B:$B,2134,Sep!$J:$J,6)</f>
        <v>0</v>
      </c>
      <c r="K61" s="59">
        <f>COUNTIFS(Oct!$B:$B,2134,Oct!$J:$J,6)</f>
        <v>0</v>
      </c>
      <c r="L61" s="59">
        <f>COUNTIFS(Nov!$B:$B,2134,Nov!$J:$J,6)</f>
        <v>0</v>
      </c>
      <c r="M61" s="59">
        <v>0</v>
      </c>
    </row>
    <row r="62" spans="1:14" s="8" customFormat="1" ht="11.25" customHeight="1">
      <c r="A62" s="10" t="s">
        <v>8</v>
      </c>
      <c r="B62" s="59">
        <f>COUNTIFS(Jan!$B:$B,2134,Jan!$J:$J,4)</f>
        <v>0</v>
      </c>
      <c r="C62" s="59">
        <f>COUNTIFS(Feb!$B:$B,2134,Feb!$J:$J,4)</f>
        <v>0</v>
      </c>
      <c r="D62" s="59">
        <f>COUNTIFS(Mar!$B:$B,2134,Mar!$J:$J,4)</f>
        <v>0</v>
      </c>
      <c r="E62" s="59">
        <f>COUNTIFS(Apr!$B:$B,2134,Apr!$J:$J,4)</f>
        <v>0</v>
      </c>
      <c r="F62" s="59">
        <f>COUNTIFS(May!$B:$B,2134,May!$J:$J,4)</f>
        <v>0</v>
      </c>
      <c r="G62" s="59">
        <f>COUNTIFS(Jun!$B:$B,2134,Jun!$J:$J,4)</f>
        <v>0</v>
      </c>
      <c r="H62" s="59">
        <f>COUNTIFS(Jul!$B:$B,2134,Jul!$J:$J,4)</f>
        <v>0</v>
      </c>
      <c r="I62" s="59">
        <f>COUNTIFS(Aug!$B:$B,2134,Aug!$J:$J,4)</f>
        <v>0</v>
      </c>
      <c r="J62" s="59">
        <f>COUNTIFS(Sep!$B:$B,2134,Sep!$J:$J,4)</f>
        <v>0</v>
      </c>
      <c r="K62" s="59">
        <f>COUNTIFS(Oct!$B:$B,2134,Oct!$J:$J,4)</f>
        <v>0</v>
      </c>
      <c r="L62" s="59">
        <f>COUNTIFS(Nov!$B:$B,2134,Nov!$J:$J,4)</f>
        <v>0</v>
      </c>
      <c r="M62" s="59">
        <v>0</v>
      </c>
    </row>
    <row r="63" spans="1:14" s="8" customFormat="1" ht="11.25" customHeight="1">
      <c r="A63" s="10" t="s">
        <v>6</v>
      </c>
      <c r="B63" s="59">
        <f>COUNTIFS(Jan!$B:$B,2134,Jan!$J:$J,5)</f>
        <v>0</v>
      </c>
      <c r="C63" s="59">
        <f>COUNTIFS(Feb!$B:$B,2134,Feb!$J:$J,5)</f>
        <v>0</v>
      </c>
      <c r="D63" s="59">
        <f>COUNTIFS(Mar!$B:$B,2134,Mar!$J:$J,5)</f>
        <v>0</v>
      </c>
      <c r="E63" s="59">
        <f>COUNTIFS(Apr!$B:$B,2134,Apr!$J:$J,5)</f>
        <v>0</v>
      </c>
      <c r="F63" s="59">
        <f>COUNTIFS(May!$B:$B,2134,May!$J:$J,5)</f>
        <v>0</v>
      </c>
      <c r="G63" s="59">
        <f>COUNTIFS(Jun!$B:$B,2134,Jun!$J:$J,5)</f>
        <v>0</v>
      </c>
      <c r="H63" s="59">
        <f>COUNTIFS(Jul!$B:$B,2134,Jul!$J:$J,5)</f>
        <v>0</v>
      </c>
      <c r="I63" s="59">
        <f>COUNTIFS(Aug!$B:$B,2134,Aug!$J:$J,5)</f>
        <v>0</v>
      </c>
      <c r="J63" s="59">
        <f>COUNTIFS(Sep!$B:$B,2134,Sep!$J:$J,5)</f>
        <v>0</v>
      </c>
      <c r="K63" s="59">
        <f>COUNTIFS(Oct!$B:$B,2134,Oct!$J:$J,5)</f>
        <v>0</v>
      </c>
      <c r="L63" s="59">
        <f>COUNTIFS(Nov!$B:$B,2134,Nov!$J:$J,5)</f>
        <v>0</v>
      </c>
      <c r="M63" s="59">
        <v>0</v>
      </c>
    </row>
    <row r="64" spans="1:14" s="8" customFormat="1" ht="11.25" customHeight="1">
      <c r="A64" s="52" t="s">
        <v>141</v>
      </c>
      <c r="B64" s="69">
        <f>COUNTIFS(Jan!$B:$B,2134,Jan!$F:$F,456)</f>
        <v>0</v>
      </c>
      <c r="C64" s="69">
        <f>COUNTIFS(Feb!$B:$B,2134,Feb!$F:$F,456)</f>
        <v>0</v>
      </c>
      <c r="D64" s="69">
        <v>3</v>
      </c>
      <c r="E64" s="69">
        <v>2</v>
      </c>
      <c r="F64" s="69">
        <v>2</v>
      </c>
      <c r="G64" s="69">
        <f>COUNTIFS(Jun!$B:$B,2134,Jun!$F:$F,456)</f>
        <v>0</v>
      </c>
      <c r="H64" s="69">
        <f>COUNTIFS(Jul!$B:$B,2134,Jul!$F:$F,456)</f>
        <v>0</v>
      </c>
      <c r="I64" s="69">
        <f>COUNTIFS(Aug!$B:$B,2134,Aug!$F:$F,456)</f>
        <v>0</v>
      </c>
      <c r="J64" s="69">
        <f>COUNTIFS(Sep!$B:$B,2134,Sep!$F:$F,456)</f>
        <v>0</v>
      </c>
      <c r="K64" s="69">
        <f>COUNTIFS(Oct!$B:$B,2134,Oct!$F:$F,456)</f>
        <v>0</v>
      </c>
      <c r="L64" s="69">
        <f>COUNTIFS(Nov!$B:$B,2134,Nov!$F:$F,456)</f>
        <v>0</v>
      </c>
      <c r="M64" s="69">
        <v>1</v>
      </c>
    </row>
    <row r="65" spans="1:13" s="8" customFormat="1" ht="11.25" customHeight="1" thickBot="1">
      <c r="A65" s="12" t="s">
        <v>16</v>
      </c>
      <c r="B65" s="70">
        <f>SUM(B54:B64)</f>
        <v>2</v>
      </c>
      <c r="C65" s="70">
        <f t="shared" ref="C65:M65" si="12">SUM(C54:C64)</f>
        <v>4</v>
      </c>
      <c r="D65" s="70">
        <f t="shared" si="12"/>
        <v>5</v>
      </c>
      <c r="E65" s="70">
        <f t="shared" si="12"/>
        <v>6</v>
      </c>
      <c r="F65" s="70">
        <f t="shared" si="12"/>
        <v>7</v>
      </c>
      <c r="G65" s="70">
        <f t="shared" si="12"/>
        <v>4</v>
      </c>
      <c r="H65" s="70">
        <f t="shared" si="12"/>
        <v>6</v>
      </c>
      <c r="I65" s="70">
        <f t="shared" si="12"/>
        <v>2</v>
      </c>
      <c r="J65" s="70">
        <f t="shared" si="12"/>
        <v>5</v>
      </c>
      <c r="K65" s="70">
        <f t="shared" si="12"/>
        <v>2</v>
      </c>
      <c r="L65" s="165">
        <f t="shared" si="12"/>
        <v>5</v>
      </c>
      <c r="M65" s="170">
        <f t="shared" si="12"/>
        <v>5</v>
      </c>
    </row>
    <row r="66" spans="1:13" s="8" customFormat="1" ht="15.75" customHeight="1">
      <c r="A66" s="6"/>
      <c r="B66" s="7"/>
      <c r="C66" s="7"/>
      <c r="D66" s="7"/>
      <c r="E66" s="7"/>
      <c r="F66" s="7"/>
      <c r="G66" s="7"/>
      <c r="H66" s="7"/>
      <c r="I66" s="7"/>
      <c r="J66" s="7"/>
      <c r="K66" s="7"/>
      <c r="L66" s="7"/>
      <c r="M66" s="7"/>
    </row>
    <row r="67" spans="1:13" ht="12" customHeight="1">
      <c r="A67" s="6"/>
      <c r="B67" s="7"/>
      <c r="C67" s="7"/>
      <c r="D67" s="7"/>
      <c r="E67" s="7"/>
      <c r="F67" s="7"/>
      <c r="G67" s="7"/>
      <c r="H67" s="7"/>
      <c r="I67" s="7"/>
      <c r="J67" s="7"/>
      <c r="K67" s="7"/>
      <c r="L67" s="7"/>
      <c r="M67" s="7"/>
    </row>
  </sheetData>
  <phoneticPr fontId="0" type="noConversion"/>
  <printOptions horizontalCentered="1" verticalCentered="1"/>
  <pageMargins left="0.14000000000000001" right="0.16" top="0.25" bottom="0.5" header="0.5" footer="0.25"/>
  <pageSetup scale="95" firstPageNumber="3" orientation="portrait" useFirstPageNumber="1" r:id="rId1"/>
  <headerFooter alignWithMargins="0">
    <oddFooter>&amp;R29 of 51</oddFooter>
  </headerFooter>
  <ignoredErrors>
    <ignoredError sqref="M32 M52 M65" formulaRange="1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3"/>
  <sheetViews>
    <sheetView view="pageBreakPreview" zoomScale="120" zoomScaleNormal="80" zoomScaleSheetLayoutView="120" workbookViewId="0">
      <pane ySplit="6" topLeftCell="A28" activePane="bottomLeft" state="frozen"/>
      <selection activeCell="G20" sqref="G20"/>
      <selection pane="bottomLeft" activeCell="O3" sqref="O3"/>
    </sheetView>
  </sheetViews>
  <sheetFormatPr defaultRowHeight="20.100000000000001" customHeight="1"/>
  <cols>
    <col min="1" max="1" width="9.42578125" style="80" customWidth="1"/>
    <col min="2" max="2" width="18.42578125" style="83" bestFit="1" customWidth="1"/>
    <col min="3" max="3" width="1.7109375" style="83" customWidth="1"/>
    <col min="4" max="15" width="6.5703125" style="83" customWidth="1"/>
    <col min="16" max="16384" width="9.140625" style="83"/>
  </cols>
  <sheetData>
    <row r="1" spans="1:16" ht="15.75" customHeight="1">
      <c r="A1" s="139"/>
      <c r="B1" s="140"/>
      <c r="C1" s="140"/>
      <c r="D1" s="140"/>
      <c r="E1" s="140"/>
      <c r="F1" s="140"/>
      <c r="G1" s="140"/>
      <c r="H1" s="140"/>
      <c r="I1" s="140"/>
      <c r="J1" s="140"/>
      <c r="K1" s="140"/>
      <c r="L1" s="140"/>
      <c r="M1" s="140"/>
      <c r="N1" s="140"/>
      <c r="O1" s="167" t="s">
        <v>22</v>
      </c>
    </row>
    <row r="2" spans="1:16" ht="15.75" customHeight="1">
      <c r="A2" s="139"/>
      <c r="B2" s="140"/>
      <c r="C2" s="140"/>
      <c r="D2" s="140"/>
      <c r="E2" s="140"/>
      <c r="F2" s="140"/>
      <c r="G2" s="140"/>
      <c r="H2" s="140"/>
      <c r="I2" s="140"/>
      <c r="J2" s="140"/>
      <c r="K2" s="140"/>
      <c r="L2" s="140"/>
      <c r="M2" s="140"/>
      <c r="N2" s="140"/>
      <c r="O2" s="167" t="s">
        <v>147</v>
      </c>
    </row>
    <row r="3" spans="1:16" ht="15.75" customHeight="1">
      <c r="A3" s="139"/>
      <c r="B3" s="140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2" t="s">
        <v>2187</v>
      </c>
    </row>
    <row r="4" spans="1:16" ht="6.75" customHeight="1">
      <c r="A4" s="139"/>
      <c r="B4" s="140"/>
      <c r="C4" s="140"/>
      <c r="D4" s="140"/>
      <c r="E4" s="140"/>
      <c r="F4" s="140"/>
      <c r="G4" s="140"/>
      <c r="H4" s="140"/>
      <c r="I4" s="140"/>
      <c r="J4" s="140"/>
      <c r="K4" s="140"/>
      <c r="L4" s="140"/>
      <c r="M4" s="140"/>
      <c r="N4" s="140"/>
      <c r="O4" s="140"/>
    </row>
    <row r="5" spans="1:16" ht="15" customHeight="1">
      <c r="A5" s="231" t="s">
        <v>88</v>
      </c>
      <c r="B5" s="231"/>
      <c r="C5" s="40"/>
      <c r="D5" s="232" t="s">
        <v>220</v>
      </c>
      <c r="E5" s="233"/>
      <c r="F5" s="233"/>
      <c r="G5" s="233"/>
      <c r="H5" s="233"/>
      <c r="I5" s="233"/>
      <c r="J5" s="233"/>
      <c r="K5" s="233"/>
      <c r="L5" s="233"/>
      <c r="M5" s="233"/>
      <c r="N5" s="233"/>
      <c r="O5" s="234"/>
      <c r="P5" s="141"/>
    </row>
    <row r="6" spans="1:16" s="85" customFormat="1" ht="15" customHeight="1" thickBot="1">
      <c r="A6" s="72" t="s">
        <v>89</v>
      </c>
      <c r="B6" s="72" t="s">
        <v>90</v>
      </c>
      <c r="C6" s="84"/>
      <c r="D6" s="72" t="s">
        <v>43</v>
      </c>
      <c r="E6" s="72" t="s">
        <v>44</v>
      </c>
      <c r="F6" s="72" t="s">
        <v>45</v>
      </c>
      <c r="G6" s="72" t="s">
        <v>46</v>
      </c>
      <c r="H6" s="72" t="s">
        <v>41</v>
      </c>
      <c r="I6" s="72" t="s">
        <v>47</v>
      </c>
      <c r="J6" s="72" t="s">
        <v>48</v>
      </c>
      <c r="K6" s="72" t="s">
        <v>42</v>
      </c>
      <c r="L6" s="72" t="s">
        <v>54</v>
      </c>
      <c r="M6" s="72" t="s">
        <v>49</v>
      </c>
      <c r="N6" s="72" t="s">
        <v>50</v>
      </c>
      <c r="O6" s="72" t="s">
        <v>51</v>
      </c>
    </row>
    <row r="7" spans="1:16" s="87" customFormat="1" ht="12.2" customHeight="1">
      <c r="A7" s="73">
        <v>2004</v>
      </c>
      <c r="B7" s="74" t="s">
        <v>91</v>
      </c>
      <c r="C7" s="86"/>
      <c r="D7" s="75">
        <f>('ASR2004'!B7)</f>
        <v>0</v>
      </c>
      <c r="E7" s="75">
        <f>('ASR2004'!C7)</f>
        <v>0</v>
      </c>
      <c r="F7" s="75">
        <f>('ASR2004'!D7)</f>
        <v>0</v>
      </c>
      <c r="G7" s="75">
        <f>('ASR2004'!E7)</f>
        <v>0</v>
      </c>
      <c r="H7" s="75">
        <f>('ASR2004'!F7)</f>
        <v>0</v>
      </c>
      <c r="I7" s="75">
        <f>('ASR2004'!G7)</f>
        <v>0</v>
      </c>
      <c r="J7" s="75">
        <f>('ASR2004'!H7)</f>
        <v>0</v>
      </c>
      <c r="K7" s="75">
        <f>('ASR2004'!I7)</f>
        <v>0</v>
      </c>
      <c r="L7" s="75">
        <f>('ASR2004'!J7)</f>
        <v>0</v>
      </c>
      <c r="M7" s="75">
        <f>('ASR2004'!K7)</f>
        <v>0</v>
      </c>
      <c r="N7" s="75">
        <f>('ASR2004'!L7)</f>
        <v>0</v>
      </c>
      <c r="O7" s="75">
        <f>('ASR2004'!M7)</f>
        <v>0</v>
      </c>
    </row>
    <row r="8" spans="1:16" ht="12.2" customHeight="1">
      <c r="A8" s="76">
        <v>2011</v>
      </c>
      <c r="B8" s="77" t="s">
        <v>92</v>
      </c>
      <c r="C8" s="88"/>
      <c r="D8" s="75">
        <f>('ASR2011'!B7)</f>
        <v>81</v>
      </c>
      <c r="E8" s="75">
        <f>('ASR2011'!C7)</f>
        <v>69</v>
      </c>
      <c r="F8" s="75">
        <f>('ASR2011'!D7)</f>
        <v>87</v>
      </c>
      <c r="G8" s="75">
        <f>('ASR2011'!E7)</f>
        <v>68</v>
      </c>
      <c r="H8" s="75">
        <f>('ASR2011'!F7)</f>
        <v>79</v>
      </c>
      <c r="I8" s="75">
        <f>('ASR2011'!G7)</f>
        <v>85</v>
      </c>
      <c r="J8" s="75">
        <f>('ASR2011'!H7)</f>
        <v>111</v>
      </c>
      <c r="K8" s="75">
        <f>('ASR2011'!I7)</f>
        <v>126</v>
      </c>
      <c r="L8" s="75">
        <f>('ASR2011'!J7)</f>
        <v>132</v>
      </c>
      <c r="M8" s="75">
        <f>('ASR2011'!K7)</f>
        <v>118</v>
      </c>
      <c r="N8" s="75">
        <f>('ASR2011'!L7)</f>
        <v>111</v>
      </c>
      <c r="O8" s="75">
        <f>('ASR2011'!M7)</f>
        <v>94</v>
      </c>
    </row>
    <row r="9" spans="1:16" ht="12.2" customHeight="1">
      <c r="A9" s="76">
        <v>2012</v>
      </c>
      <c r="B9" s="77" t="s">
        <v>92</v>
      </c>
      <c r="C9" s="88"/>
      <c r="D9" s="75">
        <f>('ASR2012'!B7)</f>
        <v>123</v>
      </c>
      <c r="E9" s="75">
        <f>('ASR2012'!C7)</f>
        <v>96</v>
      </c>
      <c r="F9" s="75">
        <f>('ASR2012'!D7)</f>
        <v>111</v>
      </c>
      <c r="G9" s="75">
        <f>('ASR2012'!E7)</f>
        <v>108</v>
      </c>
      <c r="H9" s="75">
        <f>('ASR2012'!F7)</f>
        <v>109</v>
      </c>
      <c r="I9" s="75">
        <f>('ASR2012'!G7)</f>
        <v>86</v>
      </c>
      <c r="J9" s="75">
        <f>('ASR2012'!H7)</f>
        <v>124</v>
      </c>
      <c r="K9" s="75">
        <f>('ASR2012'!I7)</f>
        <v>155</v>
      </c>
      <c r="L9" s="75">
        <f>('ASR2012'!J7)</f>
        <v>154</v>
      </c>
      <c r="M9" s="75">
        <f>('ASR2012'!K7)</f>
        <v>71</v>
      </c>
      <c r="N9" s="75">
        <f>('ASR2012'!L7)</f>
        <v>131</v>
      </c>
      <c r="O9" s="75">
        <f>('ASR2012'!M7)</f>
        <v>165</v>
      </c>
    </row>
    <row r="10" spans="1:16" ht="12.2" customHeight="1">
      <c r="A10" s="76">
        <v>2021</v>
      </c>
      <c r="B10" s="77" t="s">
        <v>93</v>
      </c>
      <c r="C10" s="88"/>
      <c r="D10" s="78">
        <f>('ASR2021'!B7)</f>
        <v>62</v>
      </c>
      <c r="E10" s="78">
        <f>('ASR2021'!C7)</f>
        <v>41</v>
      </c>
      <c r="F10" s="78">
        <f>('ASR2021'!D7)</f>
        <v>51</v>
      </c>
      <c r="G10" s="78">
        <f>('ASR2021'!E7)</f>
        <v>91</v>
      </c>
      <c r="H10" s="78">
        <f>('ASR2021'!F7)</f>
        <v>86</v>
      </c>
      <c r="I10" s="78">
        <f>('ASR2021'!G7)</f>
        <v>92</v>
      </c>
      <c r="J10" s="78">
        <f>('ASR2021'!H7)</f>
        <v>150</v>
      </c>
      <c r="K10" s="78">
        <f>('ASR2021'!I7)</f>
        <v>127</v>
      </c>
      <c r="L10" s="78">
        <f>('ASR2021'!J7)</f>
        <v>80</v>
      </c>
      <c r="M10" s="78">
        <f>('ASR2021'!K7)</f>
        <v>63</v>
      </c>
      <c r="N10" s="78">
        <f>('ASR2021'!L7)</f>
        <v>42</v>
      </c>
      <c r="O10" s="78">
        <f>('ASR2021'!M7)</f>
        <v>84</v>
      </c>
    </row>
    <row r="11" spans="1:16" ht="12.2" customHeight="1">
      <c r="A11" s="76">
        <v>2024</v>
      </c>
      <c r="B11" s="77" t="s">
        <v>94</v>
      </c>
      <c r="C11" s="88"/>
      <c r="D11" s="78">
        <f>('ASR2024'!B7)</f>
        <v>117</v>
      </c>
      <c r="E11" s="78">
        <f>('ASR2024'!C7)</f>
        <v>115</v>
      </c>
      <c r="F11" s="78">
        <f>('ASR2024'!D7)</f>
        <v>88</v>
      </c>
      <c r="G11" s="78">
        <f>('ASR2024'!E7)</f>
        <v>104</v>
      </c>
      <c r="H11" s="78">
        <f>('ASR2024'!F7)</f>
        <v>92</v>
      </c>
      <c r="I11" s="78">
        <f>('ASR2024'!G7)</f>
        <v>123</v>
      </c>
      <c r="J11" s="78">
        <f>('ASR2024'!H7)</f>
        <v>128</v>
      </c>
      <c r="K11" s="78">
        <f>('ASR2024'!I7)</f>
        <v>129</v>
      </c>
      <c r="L11" s="78">
        <f>('ASR2024'!J7)</f>
        <v>141</v>
      </c>
      <c r="M11" s="78">
        <f>('ASR2024'!K7)</f>
        <v>82</v>
      </c>
      <c r="N11" s="78">
        <f>('ASR2024'!L7)</f>
        <v>151</v>
      </c>
      <c r="O11" s="78">
        <f>('ASR2024'!M7)</f>
        <v>138</v>
      </c>
    </row>
    <row r="12" spans="1:16" ht="12.2" customHeight="1">
      <c r="A12" s="76">
        <v>2031</v>
      </c>
      <c r="B12" s="77" t="s">
        <v>95</v>
      </c>
      <c r="C12" s="88"/>
      <c r="D12" s="78">
        <f>('ASR2031'!B7)</f>
        <v>38</v>
      </c>
      <c r="E12" s="78">
        <f>('ASR2031'!C7)</f>
        <v>47</v>
      </c>
      <c r="F12" s="78">
        <f>('ASR2031'!D7)</f>
        <v>77</v>
      </c>
      <c r="G12" s="78">
        <f>('ASR2031'!E7)</f>
        <v>94</v>
      </c>
      <c r="H12" s="78">
        <f>('ASR2031'!F7)</f>
        <v>61</v>
      </c>
      <c r="I12" s="78">
        <f>('ASR2031'!G7)</f>
        <v>94</v>
      </c>
      <c r="J12" s="78">
        <f>('ASR2031'!H7)</f>
        <v>160</v>
      </c>
      <c r="K12" s="78">
        <f>('ASR2031'!I7)</f>
        <v>118</v>
      </c>
      <c r="L12" s="78">
        <f>('ASR2031'!J7)</f>
        <v>83</v>
      </c>
      <c r="M12" s="78">
        <f>('ASR2031'!K7)</f>
        <v>90</v>
      </c>
      <c r="N12" s="78">
        <f>('ASR2031'!L7)</f>
        <v>71</v>
      </c>
      <c r="O12" s="78">
        <f>('ASR2031'!M7)</f>
        <v>98</v>
      </c>
    </row>
    <row r="13" spans="1:16" ht="12.2" customHeight="1">
      <c r="A13" s="76">
        <v>2051</v>
      </c>
      <c r="B13" s="77" t="s">
        <v>97</v>
      </c>
      <c r="C13" s="88"/>
      <c r="D13" s="78">
        <f>('ASR2051'!B7)</f>
        <v>45</v>
      </c>
      <c r="E13" s="78">
        <f>('ASR2051'!C7)</f>
        <v>39</v>
      </c>
      <c r="F13" s="78">
        <f>('ASR2051'!D7)</f>
        <v>40</v>
      </c>
      <c r="G13" s="78">
        <f>('ASR2051'!E7)</f>
        <v>63</v>
      </c>
      <c r="H13" s="78">
        <f>('ASR2051'!F7)</f>
        <v>89</v>
      </c>
      <c r="I13" s="78">
        <f>('ASR2051'!G7)</f>
        <v>68</v>
      </c>
      <c r="J13" s="78">
        <f>('ASR2051'!H7)</f>
        <v>91</v>
      </c>
      <c r="K13" s="78">
        <f>('ASR2051'!I7)</f>
        <v>86</v>
      </c>
      <c r="L13" s="78">
        <f>('ASR2051'!J7)</f>
        <v>86</v>
      </c>
      <c r="M13" s="78">
        <f>('ASR2051'!K7)</f>
        <v>29</v>
      </c>
      <c r="N13" s="78">
        <f>('ASR2051'!L7)</f>
        <v>42</v>
      </c>
      <c r="O13" s="78">
        <f>('ASR2051'!M7)</f>
        <v>52</v>
      </c>
    </row>
    <row r="14" spans="1:16" ht="12.2" customHeight="1">
      <c r="A14" s="76">
        <v>2052</v>
      </c>
      <c r="B14" s="77" t="s">
        <v>97</v>
      </c>
      <c r="C14" s="88"/>
      <c r="D14" s="78">
        <f>('ASR2052'!B7)</f>
        <v>133</v>
      </c>
      <c r="E14" s="78">
        <f>('ASR2052'!C7)</f>
        <v>107</v>
      </c>
      <c r="F14" s="78">
        <f>('ASR2052'!D7)</f>
        <v>132</v>
      </c>
      <c r="G14" s="78">
        <f>('ASR2052'!E7)</f>
        <v>144</v>
      </c>
      <c r="H14" s="78">
        <f>('ASR2052'!F7)</f>
        <v>103</v>
      </c>
      <c r="I14" s="78">
        <f>('ASR2052'!G7)</f>
        <v>131</v>
      </c>
      <c r="J14" s="78">
        <f>('ASR2052'!H7)</f>
        <v>154</v>
      </c>
      <c r="K14" s="78">
        <f>('ASR2052'!I7)</f>
        <v>169</v>
      </c>
      <c r="L14" s="78">
        <f>('ASR2052'!J7)</f>
        <v>140</v>
      </c>
      <c r="M14" s="78">
        <f>('ASR2052'!K7)</f>
        <v>95</v>
      </c>
      <c r="N14" s="78">
        <f>('ASR2052'!L7)</f>
        <v>51</v>
      </c>
      <c r="O14" s="78">
        <f>('ASR2052'!M7)</f>
        <v>128</v>
      </c>
    </row>
    <row r="15" spans="1:16" ht="12.2" customHeight="1">
      <c r="A15" s="76">
        <v>2053</v>
      </c>
      <c r="B15" s="77" t="s">
        <v>98</v>
      </c>
      <c r="C15" s="88"/>
      <c r="D15" s="78">
        <f>('ASR2053'!B7)</f>
        <v>124</v>
      </c>
      <c r="E15" s="78">
        <f>('ASR2053'!C7)</f>
        <v>115</v>
      </c>
      <c r="F15" s="78">
        <f>('ASR2053'!D7)</f>
        <v>159</v>
      </c>
      <c r="G15" s="78">
        <f>('ASR2053'!E7)</f>
        <v>132</v>
      </c>
      <c r="H15" s="78">
        <f>('ASR2053'!F7)</f>
        <v>151</v>
      </c>
      <c r="I15" s="78">
        <f>('ASR2053'!G7)</f>
        <v>158</v>
      </c>
      <c r="J15" s="78">
        <f>('ASR2053'!H7)</f>
        <v>181</v>
      </c>
      <c r="K15" s="78">
        <f>('ASR2053'!I7)</f>
        <v>218</v>
      </c>
      <c r="L15" s="78">
        <f>('ASR2053'!J7)</f>
        <v>130</v>
      </c>
      <c r="M15" s="78">
        <f>('ASR2053'!K7)</f>
        <v>103</v>
      </c>
      <c r="N15" s="78">
        <f>('ASR2053'!L7)</f>
        <v>93</v>
      </c>
      <c r="O15" s="78">
        <f>('ASR2053'!M7)</f>
        <v>146</v>
      </c>
    </row>
    <row r="16" spans="1:16" ht="12.2" customHeight="1">
      <c r="A16" s="76">
        <v>2062</v>
      </c>
      <c r="B16" s="77" t="s">
        <v>99</v>
      </c>
      <c r="C16" s="88"/>
      <c r="D16" s="78">
        <f>('ASR2062'!B7)</f>
        <v>254</v>
      </c>
      <c r="E16" s="78">
        <f>('ASR2062'!C7)</f>
        <v>287</v>
      </c>
      <c r="F16" s="78">
        <f>('ASR2062'!D7)</f>
        <v>334</v>
      </c>
      <c r="G16" s="78">
        <f>('ASR2062'!E7)</f>
        <v>307</v>
      </c>
      <c r="H16" s="78">
        <f>('ASR2062'!F7)</f>
        <v>321</v>
      </c>
      <c r="I16" s="78">
        <f>('ASR2062'!G7)</f>
        <v>348</v>
      </c>
      <c r="J16" s="78">
        <f>('ASR2062'!H7)</f>
        <v>441</v>
      </c>
      <c r="K16" s="78">
        <f>('ASR2062'!I7)</f>
        <v>422</v>
      </c>
      <c r="L16" s="78">
        <f>('ASR2062'!J7)</f>
        <v>353</v>
      </c>
      <c r="M16" s="78">
        <f>('ASR2062'!K7)</f>
        <v>274</v>
      </c>
      <c r="N16" s="78">
        <f>('ASR2062'!L7)</f>
        <v>372</v>
      </c>
      <c r="O16" s="78">
        <f>('ASR2062'!M7)</f>
        <v>424</v>
      </c>
    </row>
    <row r="17" spans="1:15" ht="12.2" customHeight="1">
      <c r="A17" s="76">
        <v>2071</v>
      </c>
      <c r="B17" s="77" t="s">
        <v>100</v>
      </c>
      <c r="C17" s="88"/>
      <c r="D17" s="78">
        <f>('ASR2071'!B7)</f>
        <v>193</v>
      </c>
      <c r="E17" s="78">
        <f>('ASR2071'!C7)</f>
        <v>258</v>
      </c>
      <c r="F17" s="78">
        <f>('ASR2071'!D7)</f>
        <v>147</v>
      </c>
      <c r="G17" s="78">
        <f>('ASR2071'!E7)</f>
        <v>112</v>
      </c>
      <c r="H17" s="78">
        <f>('ASR2071'!F7)</f>
        <v>211</v>
      </c>
      <c r="I17" s="78">
        <f>('ASR2071'!G7)</f>
        <v>194</v>
      </c>
      <c r="J17" s="78">
        <f>('ASR2071'!H7)</f>
        <v>181</v>
      </c>
      <c r="K17" s="78">
        <f>('ASR2071'!I7)</f>
        <v>217</v>
      </c>
      <c r="L17" s="78">
        <f>('ASR2071'!J7)</f>
        <v>236</v>
      </c>
      <c r="M17" s="78">
        <f>('ASR2071'!K7)</f>
        <v>80</v>
      </c>
      <c r="N17" s="78">
        <f>('ASR2071'!L7)</f>
        <v>34</v>
      </c>
      <c r="O17" s="78">
        <f>('ASR2071'!M7)</f>
        <v>88</v>
      </c>
    </row>
    <row r="18" spans="1:15" ht="12.2" customHeight="1">
      <c r="A18" s="76">
        <v>2074</v>
      </c>
      <c r="B18" s="77" t="s">
        <v>101</v>
      </c>
      <c r="C18" s="88"/>
      <c r="D18" s="78">
        <f>('ASR2074'!B7)</f>
        <v>114</v>
      </c>
      <c r="E18" s="78">
        <f>('ASR2074'!C7)</f>
        <v>139</v>
      </c>
      <c r="F18" s="78">
        <f>('ASR2074'!D7)</f>
        <v>160</v>
      </c>
      <c r="G18" s="78">
        <f>('ASR2074'!E7)</f>
        <v>124</v>
      </c>
      <c r="H18" s="78">
        <f>('ASR2074'!F7)</f>
        <v>155</v>
      </c>
      <c r="I18" s="78">
        <f>('ASR2074'!G7)</f>
        <v>182</v>
      </c>
      <c r="J18" s="78">
        <f>('ASR2074'!H7)</f>
        <v>215</v>
      </c>
      <c r="K18" s="78">
        <f>('ASR2074'!I7)</f>
        <v>201</v>
      </c>
      <c r="L18" s="78">
        <f>('ASR2074'!J7)</f>
        <v>196</v>
      </c>
      <c r="M18" s="78">
        <f>('ASR2074'!K7)</f>
        <v>105</v>
      </c>
      <c r="N18" s="78">
        <f>('ASR2074'!L7)</f>
        <v>123</v>
      </c>
      <c r="O18" s="78">
        <f>('ASR2074'!M7)</f>
        <v>231</v>
      </c>
    </row>
    <row r="19" spans="1:15" ht="12.2" customHeight="1">
      <c r="A19" s="76">
        <v>2081</v>
      </c>
      <c r="B19" s="77" t="s">
        <v>102</v>
      </c>
      <c r="C19" s="88"/>
      <c r="D19" s="78">
        <f>('ASR2081'!B7)</f>
        <v>155</v>
      </c>
      <c r="E19" s="78">
        <f>('ASR2081'!C7)</f>
        <v>118</v>
      </c>
      <c r="F19" s="78">
        <f>('ASR2081'!D7)</f>
        <v>184</v>
      </c>
      <c r="G19" s="78">
        <f>('ASR2081'!E7)</f>
        <v>196</v>
      </c>
      <c r="H19" s="78">
        <f>('ASR2081'!F7)</f>
        <v>236</v>
      </c>
      <c r="I19" s="78">
        <f>('ASR2081'!G7)</f>
        <v>227</v>
      </c>
      <c r="J19" s="78">
        <f>('ASR2081'!H7)</f>
        <v>270</v>
      </c>
      <c r="K19" s="78">
        <f>('ASR2081'!I7)</f>
        <v>321</v>
      </c>
      <c r="L19" s="78">
        <f>('ASR2081'!J7)</f>
        <v>265</v>
      </c>
      <c r="M19" s="78">
        <f>('ASR2081'!K7)</f>
        <v>148</v>
      </c>
      <c r="N19" s="78">
        <f>('ASR2081'!L7)</f>
        <v>165</v>
      </c>
      <c r="O19" s="78">
        <f>('ASR2081'!M7)</f>
        <v>269</v>
      </c>
    </row>
    <row r="20" spans="1:15" ht="12.2" customHeight="1">
      <c r="A20" s="76">
        <v>2083</v>
      </c>
      <c r="B20" s="77" t="s">
        <v>103</v>
      </c>
      <c r="C20" s="88"/>
      <c r="D20" s="78">
        <f>('ASR2083'!B7)</f>
        <v>36</v>
      </c>
      <c r="E20" s="78">
        <f>('ASR2083'!C7)</f>
        <v>23</v>
      </c>
      <c r="F20" s="78">
        <f>('ASR2083'!D7)</f>
        <v>39</v>
      </c>
      <c r="G20" s="78">
        <f>('ASR2083'!E7)</f>
        <v>34</v>
      </c>
      <c r="H20" s="78">
        <f>('ASR2083'!F7)</f>
        <v>27</v>
      </c>
      <c r="I20" s="78">
        <f>('ASR2083'!G7)</f>
        <v>28</v>
      </c>
      <c r="J20" s="78">
        <f>('ASR2083'!H7)</f>
        <v>33</v>
      </c>
      <c r="K20" s="78">
        <f>('ASR2083'!I7)</f>
        <v>43</v>
      </c>
      <c r="L20" s="78">
        <f>('ASR2083'!J7)</f>
        <v>35</v>
      </c>
      <c r="M20" s="78">
        <f>('ASR2083'!K7)</f>
        <v>31</v>
      </c>
      <c r="N20" s="78">
        <f>('ASR2083'!L7)</f>
        <v>25</v>
      </c>
      <c r="O20" s="78">
        <f>('ASR2083'!M7)</f>
        <v>32</v>
      </c>
    </row>
    <row r="21" spans="1:15" ht="12.2" customHeight="1">
      <c r="A21" s="76">
        <v>2091</v>
      </c>
      <c r="B21" s="77" t="s">
        <v>104</v>
      </c>
      <c r="C21" s="88"/>
      <c r="D21" s="78">
        <f>('ASR2091'!B7)</f>
        <v>168</v>
      </c>
      <c r="E21" s="78">
        <f>('ASR2091'!C7)</f>
        <v>168</v>
      </c>
      <c r="F21" s="78">
        <f>('ASR2091'!D7)</f>
        <v>181</v>
      </c>
      <c r="G21" s="78">
        <f>('ASR2091'!E7)</f>
        <v>169</v>
      </c>
      <c r="H21" s="78">
        <f>('ASR2091'!F7)</f>
        <v>145</v>
      </c>
      <c r="I21" s="78">
        <f>('ASR2091'!G7)</f>
        <v>185</v>
      </c>
      <c r="J21" s="78">
        <f>('ASR2091'!H7)</f>
        <v>62</v>
      </c>
      <c r="K21" s="78">
        <f>('ASR2091'!I7)</f>
        <v>80</v>
      </c>
      <c r="L21" s="78">
        <f>('ASR2091'!J7)</f>
        <v>130</v>
      </c>
      <c r="M21" s="78">
        <f>('ASR2091'!K7)</f>
        <v>70</v>
      </c>
      <c r="N21" s="78">
        <f>('ASR2091'!L7)</f>
        <v>0</v>
      </c>
      <c r="O21" s="78">
        <f>('ASR2091'!M7)</f>
        <v>0</v>
      </c>
    </row>
    <row r="22" spans="1:15" ht="12.2" customHeight="1">
      <c r="A22" s="76">
        <v>2094</v>
      </c>
      <c r="B22" s="77" t="s">
        <v>105</v>
      </c>
      <c r="C22" s="88"/>
      <c r="D22" s="78">
        <f>('ASR2094'!B7)</f>
        <v>0</v>
      </c>
      <c r="E22" s="78">
        <f>('ASR2094'!C7)</f>
        <v>0</v>
      </c>
      <c r="F22" s="78">
        <f>('ASR2094'!D7)</f>
        <v>0</v>
      </c>
      <c r="G22" s="78">
        <f>('ASR2094'!E7)</f>
        <v>0</v>
      </c>
      <c r="H22" s="78">
        <f>('ASR2094'!F7)</f>
        <v>0</v>
      </c>
      <c r="I22" s="78">
        <f>('ASR2094'!G7)</f>
        <v>0</v>
      </c>
      <c r="J22" s="78">
        <f>('ASR2094'!H7)</f>
        <v>0</v>
      </c>
      <c r="K22" s="78">
        <f>('ASR2094'!I7)</f>
        <v>0</v>
      </c>
      <c r="L22" s="78">
        <f>('ASR2094'!J7)</f>
        <v>0</v>
      </c>
      <c r="M22" s="78">
        <f>('ASR2094'!K7)</f>
        <v>5</v>
      </c>
      <c r="N22" s="78">
        <f>('ASR2094'!L7)</f>
        <v>45</v>
      </c>
      <c r="O22" s="78">
        <f>('ASR2094'!M7)</f>
        <v>38</v>
      </c>
    </row>
    <row r="23" spans="1:15" ht="12.2" customHeight="1">
      <c r="A23" s="76">
        <v>2104</v>
      </c>
      <c r="B23" s="77" t="s">
        <v>106</v>
      </c>
      <c r="C23" s="88"/>
      <c r="D23" s="78">
        <f>('ASR2104'!B7)</f>
        <v>0</v>
      </c>
      <c r="E23" s="78">
        <f>('ASR2104'!C7)</f>
        <v>0</v>
      </c>
      <c r="F23" s="78">
        <f>('ASR2104'!D7)</f>
        <v>0</v>
      </c>
      <c r="G23" s="78">
        <f>('ASR2104'!E7)</f>
        <v>0</v>
      </c>
      <c r="H23" s="78">
        <f>('ASR2104'!F7)</f>
        <v>0</v>
      </c>
      <c r="I23" s="78">
        <f>('ASR2104'!G7)</f>
        <v>0</v>
      </c>
      <c r="J23" s="78">
        <f>('ASR2104'!H7)</f>
        <v>8</v>
      </c>
      <c r="K23" s="78">
        <f>('ASR2104'!I7)</f>
        <v>7</v>
      </c>
      <c r="L23" s="78">
        <f>('ASR2104'!J7)</f>
        <v>0</v>
      </c>
      <c r="M23" s="78">
        <f>('ASR2104'!K7)</f>
        <v>0</v>
      </c>
      <c r="N23" s="78">
        <f>('ASR2104'!L7)</f>
        <v>0</v>
      </c>
      <c r="O23" s="78">
        <f>('ASR2104'!M7)</f>
        <v>0</v>
      </c>
    </row>
    <row r="24" spans="1:15" ht="12.2" customHeight="1">
      <c r="A24" s="76">
        <v>2111</v>
      </c>
      <c r="B24" s="77" t="s">
        <v>107</v>
      </c>
      <c r="C24" s="88"/>
      <c r="D24" s="78">
        <f>('ASR2111'!B7)</f>
        <v>44</v>
      </c>
      <c r="E24" s="78">
        <f>('ASR2111'!C7)</f>
        <v>28</v>
      </c>
      <c r="F24" s="78">
        <f>('ASR2111'!D7)</f>
        <v>47</v>
      </c>
      <c r="G24" s="78">
        <f>('ASR2111'!E7)</f>
        <v>47</v>
      </c>
      <c r="H24" s="78">
        <f>('ASR2111'!F7)</f>
        <v>54</v>
      </c>
      <c r="I24" s="78">
        <f>('ASR2111'!G7)</f>
        <v>64</v>
      </c>
      <c r="J24" s="78">
        <f>('ASR2111'!H7)</f>
        <v>84</v>
      </c>
      <c r="K24" s="78">
        <f>('ASR2111'!I7)</f>
        <v>67</v>
      </c>
      <c r="L24" s="78">
        <f>('ASR2111'!J7)</f>
        <v>60</v>
      </c>
      <c r="M24" s="78">
        <f>('ASR2111'!K7)</f>
        <v>43</v>
      </c>
      <c r="N24" s="78">
        <f>('ASR2111'!L7)</f>
        <v>50</v>
      </c>
      <c r="O24" s="78">
        <f>('ASR2111'!M7)</f>
        <v>39</v>
      </c>
    </row>
    <row r="25" spans="1:15" ht="12.2" customHeight="1">
      <c r="A25" s="76">
        <v>2112</v>
      </c>
      <c r="B25" s="77" t="s">
        <v>107</v>
      </c>
      <c r="C25" s="88"/>
      <c r="D25" s="78">
        <f>('ASR2112'!B7)</f>
        <v>21</v>
      </c>
      <c r="E25" s="78">
        <f>('ASR2112'!C7)</f>
        <v>7</v>
      </c>
      <c r="F25" s="78">
        <f>('ASR2112'!D7)</f>
        <v>19</v>
      </c>
      <c r="G25" s="78">
        <f>('ASR2112'!E7)</f>
        <v>9</v>
      </c>
      <c r="H25" s="78">
        <f>('ASR2112'!F7)</f>
        <v>15</v>
      </c>
      <c r="I25" s="78">
        <f>('ASR2112'!G7)</f>
        <v>18</v>
      </c>
      <c r="J25" s="78">
        <f>('ASR2112'!H7)</f>
        <v>25</v>
      </c>
      <c r="K25" s="78">
        <f>('ASR2112'!I7)</f>
        <v>25</v>
      </c>
      <c r="L25" s="78">
        <f>('ASR2112'!J7)</f>
        <v>22</v>
      </c>
      <c r="M25" s="78">
        <f>('ASR2112'!K7)</f>
        <v>25</v>
      </c>
      <c r="N25" s="78">
        <f>('ASR2112'!L7)</f>
        <v>19</v>
      </c>
      <c r="O25" s="78">
        <f>('ASR2112'!M7)</f>
        <v>26</v>
      </c>
    </row>
    <row r="26" spans="1:15" ht="12.2" customHeight="1">
      <c r="A26" s="76">
        <v>2122</v>
      </c>
      <c r="B26" s="77" t="s">
        <v>108</v>
      </c>
      <c r="C26" s="88"/>
      <c r="D26" s="78">
        <f>('ASR2122'!B7)</f>
        <v>78</v>
      </c>
      <c r="E26" s="78">
        <f>('ASR2122'!C7)</f>
        <v>46</v>
      </c>
      <c r="F26" s="78">
        <f>('ASR2122'!D7)</f>
        <v>74</v>
      </c>
      <c r="G26" s="78">
        <f>('ASR2122'!E7)</f>
        <v>56</v>
      </c>
      <c r="H26" s="78">
        <f>('ASR2122'!F7)</f>
        <v>44</v>
      </c>
      <c r="I26" s="78">
        <f>('ASR2122'!G7)</f>
        <v>24</v>
      </c>
      <c r="J26" s="78">
        <f>('ASR2122'!H7)</f>
        <v>44</v>
      </c>
      <c r="K26" s="78">
        <f>('ASR2122'!I7)</f>
        <v>48</v>
      </c>
      <c r="L26" s="78">
        <f>('ASR2122'!J7)</f>
        <v>59</v>
      </c>
      <c r="M26" s="78">
        <f>('ASR2122'!K7)</f>
        <v>67</v>
      </c>
      <c r="N26" s="78">
        <f>('ASR2122'!L7)</f>
        <v>56</v>
      </c>
      <c r="O26" s="78">
        <f>('ASR2122'!M7)</f>
        <v>76</v>
      </c>
    </row>
    <row r="27" spans="1:15" ht="12.2" customHeight="1">
      <c r="A27" s="76">
        <v>2124</v>
      </c>
      <c r="B27" s="181" t="s">
        <v>2179</v>
      </c>
      <c r="C27" s="182"/>
      <c r="D27" s="188">
        <f>('ASR2124'!B7)</f>
        <v>83</v>
      </c>
      <c r="E27" s="78">
        <f>('ASR2124'!C7)</f>
        <v>87</v>
      </c>
      <c r="F27" s="78">
        <f>('ASR2124'!D7)</f>
        <v>90</v>
      </c>
      <c r="G27" s="78">
        <f>('ASR2124'!E7)</f>
        <v>85</v>
      </c>
      <c r="H27" s="78">
        <f>('ASR2124'!F7)</f>
        <v>86</v>
      </c>
      <c r="I27" s="78">
        <f>('ASR2124'!G7)</f>
        <v>105</v>
      </c>
      <c r="J27" s="78">
        <f>('ASR2124'!H7)</f>
        <v>105</v>
      </c>
      <c r="K27" s="78">
        <f>('ASR2124'!I7)</f>
        <v>95</v>
      </c>
      <c r="L27" s="78">
        <f>('ASR2124'!J7)</f>
        <v>103</v>
      </c>
      <c r="M27" s="78">
        <f>('ASR2124'!K7)</f>
        <v>87</v>
      </c>
      <c r="N27" s="78">
        <f>('ASR2124'!L7)</f>
        <v>102</v>
      </c>
      <c r="O27" s="78">
        <f>('ASR2124'!M7)</f>
        <v>103</v>
      </c>
    </row>
    <row r="28" spans="1:15" ht="12.2" customHeight="1">
      <c r="A28" s="76">
        <v>2131</v>
      </c>
      <c r="B28" s="77" t="s">
        <v>109</v>
      </c>
      <c r="C28" s="88"/>
      <c r="D28" s="78">
        <f>('ASR2131'!B7)</f>
        <v>11</v>
      </c>
      <c r="E28" s="78">
        <f>('ASR2131'!C7)</f>
        <v>20</v>
      </c>
      <c r="F28" s="78">
        <f>('ASR2131'!D7)</f>
        <v>22</v>
      </c>
      <c r="G28" s="78">
        <f>('ASR2131'!E7)</f>
        <v>11</v>
      </c>
      <c r="H28" s="78">
        <f>('ASR2131'!F7)</f>
        <v>27</v>
      </c>
      <c r="I28" s="78">
        <f>('ASR2131'!G7)</f>
        <v>20</v>
      </c>
      <c r="J28" s="78">
        <f>('ASR2131'!H7)</f>
        <v>25</v>
      </c>
      <c r="K28" s="78">
        <f>('ASR2131'!I7)</f>
        <v>15</v>
      </c>
      <c r="L28" s="78">
        <f>('ASR2131'!J7)</f>
        <v>20</v>
      </c>
      <c r="M28" s="78">
        <f>('ASR2131'!K7)</f>
        <v>19</v>
      </c>
      <c r="N28" s="78">
        <f>('ASR2131'!L7)</f>
        <v>34</v>
      </c>
      <c r="O28" s="78">
        <f>('ASR2131'!M7)</f>
        <v>51</v>
      </c>
    </row>
    <row r="29" spans="1:15" ht="12.2" customHeight="1">
      <c r="A29" s="76">
        <v>2132</v>
      </c>
      <c r="B29" s="77" t="s">
        <v>109</v>
      </c>
      <c r="C29" s="88"/>
      <c r="D29" s="78">
        <f>('ASR2132'!B7)</f>
        <v>69</v>
      </c>
      <c r="E29" s="78">
        <f>('ASR2132'!C7)</f>
        <v>63</v>
      </c>
      <c r="F29" s="78">
        <f>('ASR2132'!D7)</f>
        <v>95</v>
      </c>
      <c r="G29" s="78">
        <f>('ASR2132'!E7)</f>
        <v>105</v>
      </c>
      <c r="H29" s="78">
        <f>('ASR2132'!F7)</f>
        <v>141</v>
      </c>
      <c r="I29" s="78">
        <f>('ASR2132'!G7)</f>
        <v>147</v>
      </c>
      <c r="J29" s="78">
        <f>('ASR2132'!H7)</f>
        <v>112</v>
      </c>
      <c r="K29" s="78">
        <f>('ASR2132'!I7)</f>
        <v>149</v>
      </c>
      <c r="L29" s="78">
        <f>('ASR2132'!J7)</f>
        <v>116</v>
      </c>
      <c r="M29" s="78">
        <f>('ASR2132'!K7)</f>
        <v>95</v>
      </c>
      <c r="N29" s="78">
        <f>('ASR2132'!L7)</f>
        <v>93</v>
      </c>
      <c r="O29" s="78">
        <f>('ASR2132'!M7)</f>
        <v>127</v>
      </c>
    </row>
    <row r="30" spans="1:15" ht="12.2" customHeight="1">
      <c r="A30" s="76">
        <v>2134</v>
      </c>
      <c r="B30" s="77" t="s">
        <v>110</v>
      </c>
      <c r="C30" s="88"/>
      <c r="D30" s="78">
        <f>('ASR2134'!B7)</f>
        <v>39</v>
      </c>
      <c r="E30" s="78">
        <f>('ASR2134'!C7)</f>
        <v>53</v>
      </c>
      <c r="F30" s="78">
        <f>('ASR2134'!D7)</f>
        <v>66</v>
      </c>
      <c r="G30" s="78">
        <f>('ASR2134'!E7)</f>
        <v>84</v>
      </c>
      <c r="H30" s="78">
        <f>('ASR2134'!F7)</f>
        <v>72</v>
      </c>
      <c r="I30" s="78">
        <f>('ASR2134'!G7)</f>
        <v>90</v>
      </c>
      <c r="J30" s="78">
        <f>('ASR2134'!H7)</f>
        <v>99</v>
      </c>
      <c r="K30" s="78">
        <f>('ASR2134'!I7)</f>
        <v>98</v>
      </c>
      <c r="L30" s="78">
        <f>('ASR2134'!J7)</f>
        <v>113</v>
      </c>
      <c r="M30" s="78">
        <f>('ASR2134'!K7)</f>
        <v>58</v>
      </c>
      <c r="N30" s="78">
        <f>('ASR2134'!L7)</f>
        <v>88</v>
      </c>
      <c r="O30" s="78">
        <f>('ASR2134'!M7)</f>
        <v>103</v>
      </c>
    </row>
    <row r="31" spans="1:15" ht="12.2" customHeight="1">
      <c r="A31" s="76">
        <v>2142</v>
      </c>
      <c r="B31" s="77" t="s">
        <v>111</v>
      </c>
      <c r="C31" s="88"/>
      <c r="D31" s="78">
        <f>('ASR2142'!B7)</f>
        <v>56</v>
      </c>
      <c r="E31" s="78">
        <f>('ASR2142'!C7)</f>
        <v>52</v>
      </c>
      <c r="F31" s="78">
        <f>('ASR2142'!D7)</f>
        <v>51</v>
      </c>
      <c r="G31" s="78">
        <f>('ASR2142'!E7)</f>
        <v>41</v>
      </c>
      <c r="H31" s="78">
        <f>('ASR2142'!F7)</f>
        <v>45</v>
      </c>
      <c r="I31" s="78">
        <f>('ASR2142'!G7)</f>
        <v>60</v>
      </c>
      <c r="J31" s="78">
        <f>('ASR2142'!H7)</f>
        <v>61</v>
      </c>
      <c r="K31" s="78">
        <f>('ASR2142'!I7)</f>
        <v>77</v>
      </c>
      <c r="L31" s="78">
        <f>('ASR2142'!J7)</f>
        <v>42</v>
      </c>
      <c r="M31" s="78">
        <f>('ASR2142'!K7)</f>
        <v>47</v>
      </c>
      <c r="N31" s="78">
        <f>('ASR2142'!L7)</f>
        <v>51</v>
      </c>
      <c r="O31" s="78">
        <f>('ASR2142'!M7)</f>
        <v>48</v>
      </c>
    </row>
    <row r="32" spans="1:15" ht="12.2" customHeight="1">
      <c r="A32" s="76">
        <v>2144</v>
      </c>
      <c r="B32" s="77" t="s">
        <v>112</v>
      </c>
      <c r="C32" s="88"/>
      <c r="D32" s="78">
        <f>('ASR2144'!B7)</f>
        <v>98</v>
      </c>
      <c r="E32" s="78">
        <f>('ASR2144'!C7)</f>
        <v>103</v>
      </c>
      <c r="F32" s="78">
        <f>('ASR2144'!D7)</f>
        <v>133</v>
      </c>
      <c r="G32" s="78">
        <f>('ASR2144'!E7)</f>
        <v>121</v>
      </c>
      <c r="H32" s="78">
        <f>('ASR2144'!F7)</f>
        <v>115</v>
      </c>
      <c r="I32" s="78">
        <f>('ASR2144'!G7)</f>
        <v>91</v>
      </c>
      <c r="J32" s="78">
        <f>('ASR2144'!H7)</f>
        <v>121</v>
      </c>
      <c r="K32" s="78">
        <f>('ASR2144'!I7)</f>
        <v>122</v>
      </c>
      <c r="L32" s="78">
        <f>('ASR2144'!J7)</f>
        <v>119</v>
      </c>
      <c r="M32" s="78">
        <f>('ASR2144'!K7)</f>
        <v>78</v>
      </c>
      <c r="N32" s="78">
        <f>('ASR2144'!L7)</f>
        <v>89</v>
      </c>
      <c r="O32" s="78">
        <f>('ASR2144'!M7)</f>
        <v>139</v>
      </c>
    </row>
    <row r="33" spans="1:15" ht="12.2" customHeight="1">
      <c r="A33" s="76">
        <v>2152</v>
      </c>
      <c r="B33" s="77" t="s">
        <v>113</v>
      </c>
      <c r="C33" s="88"/>
      <c r="D33" s="78">
        <f>('ASR2152'!B7)</f>
        <v>0</v>
      </c>
      <c r="E33" s="78">
        <f>('ASR2152'!C7)</f>
        <v>0</v>
      </c>
      <c r="F33" s="78">
        <f>('ASR2152'!D7)</f>
        <v>0</v>
      </c>
      <c r="G33" s="78">
        <f>('ASR2152'!E7)</f>
        <v>0</v>
      </c>
      <c r="H33" s="78">
        <f>('ASR2152'!F7)</f>
        <v>0</v>
      </c>
      <c r="I33" s="78">
        <f>('ASR2152'!G7)</f>
        <v>0</v>
      </c>
      <c r="J33" s="78">
        <f>('ASR2152'!H7)</f>
        <v>0</v>
      </c>
      <c r="K33" s="78">
        <f>('ASR2152'!I7)</f>
        <v>0</v>
      </c>
      <c r="L33" s="78">
        <f>('ASR2152'!J7)</f>
        <v>0</v>
      </c>
      <c r="M33" s="78">
        <f>('ASR2152'!K7)</f>
        <v>0</v>
      </c>
      <c r="N33" s="78">
        <f>('ASR2152'!L7)</f>
        <v>0</v>
      </c>
      <c r="O33" s="78">
        <f>('ASR2152'!M7)</f>
        <v>0</v>
      </c>
    </row>
    <row r="34" spans="1:15" ht="12.2" customHeight="1">
      <c r="A34" s="76">
        <v>2154</v>
      </c>
      <c r="B34" s="77" t="s">
        <v>114</v>
      </c>
      <c r="C34" s="88"/>
      <c r="D34" s="78">
        <f>('ASR2154'!B7)</f>
        <v>0</v>
      </c>
      <c r="E34" s="78">
        <f>('ASR2154'!C7)</f>
        <v>0</v>
      </c>
      <c r="F34" s="78">
        <f>('ASR2154'!D7)</f>
        <v>0</v>
      </c>
      <c r="G34" s="78">
        <f>('ASR2154'!E7)</f>
        <v>0</v>
      </c>
      <c r="H34" s="78">
        <f>('ASR2154'!F7)</f>
        <v>0</v>
      </c>
      <c r="I34" s="78">
        <f>('ASR2154'!G7)</f>
        <v>0</v>
      </c>
      <c r="J34" s="78">
        <f>('ASR2154'!H7)</f>
        <v>0</v>
      </c>
      <c r="K34" s="78">
        <f>('ASR2154'!I7)</f>
        <v>0</v>
      </c>
      <c r="L34" s="78">
        <f>('ASR2154'!J7)</f>
        <v>0</v>
      </c>
      <c r="M34" s="78">
        <f>('ASR2154'!K7)</f>
        <v>0</v>
      </c>
      <c r="N34" s="78">
        <f>('ASR2154'!L7)</f>
        <v>0</v>
      </c>
      <c r="O34" s="78">
        <f>('ASR2154'!M7)</f>
        <v>0</v>
      </c>
    </row>
    <row r="35" spans="1:15" ht="12.2" customHeight="1">
      <c r="A35" s="76">
        <v>2161</v>
      </c>
      <c r="B35" s="77" t="s">
        <v>115</v>
      </c>
      <c r="C35" s="88"/>
      <c r="D35" s="78">
        <f>('ASR2161'!B7)</f>
        <v>196</v>
      </c>
      <c r="E35" s="78">
        <f>('ASR2161'!C7)</f>
        <v>239</v>
      </c>
      <c r="F35" s="78">
        <f>('ASR2161'!D7)</f>
        <v>265</v>
      </c>
      <c r="G35" s="78">
        <f>('ASR2161'!E7)</f>
        <v>250</v>
      </c>
      <c r="H35" s="78">
        <f>('ASR2161'!F7)</f>
        <v>299</v>
      </c>
      <c r="I35" s="78">
        <f>('ASR2161'!G7)</f>
        <v>255</v>
      </c>
      <c r="J35" s="78">
        <f>('ASR2161'!H7)</f>
        <v>382</v>
      </c>
      <c r="K35" s="78">
        <f>('ASR2161'!I7)</f>
        <v>407</v>
      </c>
      <c r="L35" s="78">
        <f>('ASR2161'!J7)</f>
        <v>398</v>
      </c>
      <c r="M35" s="78">
        <f>('ASR2161'!K7)</f>
        <v>295</v>
      </c>
      <c r="N35" s="78">
        <f>('ASR2161'!L7)</f>
        <v>337</v>
      </c>
      <c r="O35" s="78">
        <f>('ASR2161'!M7)</f>
        <v>410</v>
      </c>
    </row>
    <row r="36" spans="1:15" s="87" customFormat="1" ht="12.2" customHeight="1">
      <c r="A36" s="76">
        <v>2184</v>
      </c>
      <c r="B36" s="77" t="s">
        <v>116</v>
      </c>
      <c r="C36" s="86"/>
      <c r="D36" s="79">
        <f>('ASR2184'!B7)</f>
        <v>0</v>
      </c>
      <c r="E36" s="79">
        <f>('ASR2184'!C7)</f>
        <v>0</v>
      </c>
      <c r="F36" s="79">
        <f>('ASR2184'!D7)</f>
        <v>0</v>
      </c>
      <c r="G36" s="79">
        <f>('ASR2184'!E7)</f>
        <v>0</v>
      </c>
      <c r="H36" s="79">
        <f>('ASR2184'!F7)</f>
        <v>0</v>
      </c>
      <c r="I36" s="79">
        <f>('ASR2184'!G7)</f>
        <v>0</v>
      </c>
      <c r="J36" s="79">
        <f>('ASR2184'!H7)</f>
        <v>0</v>
      </c>
      <c r="K36" s="79">
        <f>('ASR2184'!I7)</f>
        <v>0</v>
      </c>
      <c r="L36" s="79">
        <f>('ASR2184'!J7)</f>
        <v>0</v>
      </c>
      <c r="M36" s="79">
        <f>('ASR2184'!K7)</f>
        <v>0</v>
      </c>
      <c r="N36" s="79">
        <f>('ASR2184'!L7)</f>
        <v>0</v>
      </c>
      <c r="O36" s="79">
        <f>('ASR2184'!M7)</f>
        <v>0</v>
      </c>
    </row>
    <row r="37" spans="1:15" ht="12.2" customHeight="1">
      <c r="A37" s="76">
        <v>2211</v>
      </c>
      <c r="B37" s="77" t="s">
        <v>117</v>
      </c>
      <c r="C37" s="88"/>
      <c r="D37" s="78">
        <f>('ASR2211'!B7)</f>
        <v>137</v>
      </c>
      <c r="E37" s="78">
        <f>('ASR2211'!C7)</f>
        <v>142</v>
      </c>
      <c r="F37" s="78">
        <f>('ASR2211'!D7)</f>
        <v>93</v>
      </c>
      <c r="G37" s="78">
        <f>('ASR2211'!E7)</f>
        <v>134</v>
      </c>
      <c r="H37" s="78">
        <f>('ASR2211'!F7)</f>
        <v>163</v>
      </c>
      <c r="I37" s="78">
        <f>('ASR2211'!G7)</f>
        <v>154</v>
      </c>
      <c r="J37" s="78">
        <f>('ASR2211'!H7)</f>
        <v>137</v>
      </c>
      <c r="K37" s="78">
        <f>('ASR2211'!I7)</f>
        <v>196</v>
      </c>
      <c r="L37" s="78">
        <f>('ASR2211'!J7)</f>
        <v>130</v>
      </c>
      <c r="M37" s="78">
        <f>('ASR2211'!K7)</f>
        <v>79</v>
      </c>
      <c r="N37" s="78">
        <f>('ASR2211'!L7)</f>
        <v>143</v>
      </c>
      <c r="O37" s="78">
        <f>('ASR2211'!M7)</f>
        <v>43</v>
      </c>
    </row>
    <row r="38" spans="1:15" ht="12.2" customHeight="1">
      <c r="A38" s="76">
        <v>2212</v>
      </c>
      <c r="B38" s="77" t="s">
        <v>117</v>
      </c>
      <c r="C38" s="88"/>
      <c r="D38" s="78">
        <f>('ASR2212'!B7)</f>
        <v>101</v>
      </c>
      <c r="E38" s="78">
        <f>('ASR2212'!C7)</f>
        <v>77</v>
      </c>
      <c r="F38" s="78">
        <f>('ASR2212'!D7)</f>
        <v>87</v>
      </c>
      <c r="G38" s="78">
        <f>('ASR2212'!E7)</f>
        <v>52</v>
      </c>
      <c r="H38" s="78">
        <f>('ASR2212'!F7)</f>
        <v>64</v>
      </c>
      <c r="I38" s="78">
        <f>('ASR2212'!G7)</f>
        <v>78</v>
      </c>
      <c r="J38" s="78">
        <f>('ASR2212'!H7)</f>
        <v>117</v>
      </c>
      <c r="K38" s="78">
        <f>('ASR2212'!I7)</f>
        <v>121</v>
      </c>
      <c r="L38" s="78">
        <f>('ASR2212'!J7)</f>
        <v>124</v>
      </c>
      <c r="M38" s="78">
        <f>('ASR2212'!K7)</f>
        <v>94</v>
      </c>
      <c r="N38" s="78">
        <f>('ASR2212'!L7)</f>
        <v>98</v>
      </c>
      <c r="O38" s="78">
        <f>('ASR2212'!M7)</f>
        <v>107</v>
      </c>
    </row>
    <row r="39" spans="1:15" ht="12.2" customHeight="1">
      <c r="A39" s="76">
        <v>2221</v>
      </c>
      <c r="B39" s="77" t="s">
        <v>118</v>
      </c>
      <c r="C39" s="88"/>
      <c r="D39" s="78">
        <f>('ASR2221'!B7)</f>
        <v>0</v>
      </c>
      <c r="E39" s="78">
        <f>('ASR2221'!C7)</f>
        <v>0</v>
      </c>
      <c r="F39" s="78">
        <f>('ASR2221'!D7)</f>
        <v>0</v>
      </c>
      <c r="G39" s="78">
        <f>('ASR2221'!E7)</f>
        <v>0</v>
      </c>
      <c r="H39" s="78">
        <f>('ASR2221'!F7)</f>
        <v>0</v>
      </c>
      <c r="I39" s="78">
        <f>('ASR2221'!G7)</f>
        <v>0</v>
      </c>
      <c r="J39" s="78">
        <f>('ASR2221'!H7)</f>
        <v>0</v>
      </c>
      <c r="K39" s="78">
        <f>('ASR2221'!I7)</f>
        <v>0</v>
      </c>
      <c r="L39" s="78">
        <f>('ASR2221'!J7)</f>
        <v>0</v>
      </c>
      <c r="M39" s="78">
        <f>('ASR2221'!K7)</f>
        <v>0</v>
      </c>
      <c r="N39" s="78">
        <f>('ASR2221'!L7)</f>
        <v>0</v>
      </c>
      <c r="O39" s="78">
        <f>('ASR2221'!M7)</f>
        <v>0</v>
      </c>
    </row>
    <row r="40" spans="1:15" ht="12.2" customHeight="1">
      <c r="A40" s="76">
        <v>2222</v>
      </c>
      <c r="B40" s="77" t="s">
        <v>118</v>
      </c>
      <c r="C40" s="88"/>
      <c r="D40" s="78">
        <f>('ASR2222'!B7)</f>
        <v>0</v>
      </c>
      <c r="E40" s="78">
        <f>('ASR2222'!C7)</f>
        <v>0</v>
      </c>
      <c r="F40" s="78">
        <f>('ASR2222'!D7)</f>
        <v>0</v>
      </c>
      <c r="G40" s="78">
        <f>('ASR2222'!E7)</f>
        <v>0</v>
      </c>
      <c r="H40" s="78">
        <f>('ASR2222'!F7)</f>
        <v>0</v>
      </c>
      <c r="I40" s="78">
        <f>('ASR2222'!G7)</f>
        <v>0</v>
      </c>
      <c r="J40" s="78">
        <f>('ASR2222'!H7)</f>
        <v>0</v>
      </c>
      <c r="K40" s="78">
        <f>('ASR2222'!I7)</f>
        <v>0</v>
      </c>
      <c r="L40" s="78">
        <f>('ASR2222'!J7)</f>
        <v>0</v>
      </c>
      <c r="M40" s="78">
        <f>('ASR2222'!K7)</f>
        <v>0</v>
      </c>
      <c r="N40" s="78">
        <f>('ASR2222'!L7)</f>
        <v>0</v>
      </c>
      <c r="O40" s="78">
        <f>('ASR2222'!M7)</f>
        <v>0</v>
      </c>
    </row>
    <row r="41" spans="1:15" ht="12.2" customHeight="1">
      <c r="A41" s="76">
        <v>2233</v>
      </c>
      <c r="B41" s="77" t="s">
        <v>119</v>
      </c>
      <c r="C41" s="88"/>
      <c r="D41" s="78">
        <f>('ASR2233'!B7)</f>
        <v>0</v>
      </c>
      <c r="E41" s="78">
        <f>('ASR2233'!C7)</f>
        <v>0</v>
      </c>
      <c r="F41" s="78">
        <f>('ASR2233'!D7)</f>
        <v>0</v>
      </c>
      <c r="G41" s="78">
        <f>('ASR2233'!E7)</f>
        <v>0</v>
      </c>
      <c r="H41" s="78">
        <f>('ASR2233'!F7)</f>
        <v>0</v>
      </c>
      <c r="I41" s="78">
        <f>('ASR2233'!G7)</f>
        <v>0</v>
      </c>
      <c r="J41" s="78">
        <f>('ASR2233'!H7)</f>
        <v>0</v>
      </c>
      <c r="K41" s="78">
        <f>('ASR2233'!I7)</f>
        <v>0</v>
      </c>
      <c r="L41" s="78">
        <f>('ASR2233'!J7)</f>
        <v>0</v>
      </c>
      <c r="M41" s="78">
        <f>('ASR2233'!K7)</f>
        <v>0</v>
      </c>
      <c r="N41" s="78">
        <f>('ASR2233'!L7)</f>
        <v>0</v>
      </c>
      <c r="O41" s="78">
        <f>('ASR2233'!M7)</f>
        <v>0</v>
      </c>
    </row>
    <row r="42" spans="1:15" ht="12.2" customHeight="1">
      <c r="A42" s="76">
        <v>2234</v>
      </c>
      <c r="B42" s="77" t="s">
        <v>119</v>
      </c>
      <c r="C42" s="88"/>
      <c r="D42" s="78">
        <f>('ASR2234'!B7)</f>
        <v>22</v>
      </c>
      <c r="E42" s="78">
        <f>('ASR2234'!C7)</f>
        <v>34</v>
      </c>
      <c r="F42" s="78">
        <f>('ASR2234'!D7)</f>
        <v>26</v>
      </c>
      <c r="G42" s="78">
        <f>('ASR2234'!E7)</f>
        <v>25</v>
      </c>
      <c r="H42" s="78">
        <f>('ASR2234'!F7)</f>
        <v>22</v>
      </c>
      <c r="I42" s="78">
        <f>('ASR2234'!G7)</f>
        <v>35</v>
      </c>
      <c r="J42" s="78">
        <f>('ASR2234'!H7)</f>
        <v>25</v>
      </c>
      <c r="K42" s="78">
        <f>('ASR2234'!I7)</f>
        <v>31</v>
      </c>
      <c r="L42" s="78">
        <f>('ASR2234'!J7)</f>
        <v>31</v>
      </c>
      <c r="M42" s="78">
        <f>('ASR2234'!K7)</f>
        <v>22</v>
      </c>
      <c r="N42" s="78">
        <f>('ASR2234'!L7)</f>
        <v>28</v>
      </c>
      <c r="O42" s="78">
        <f>('ASR2234'!M7)</f>
        <v>25</v>
      </c>
    </row>
    <row r="43" spans="1:15" ht="12.2" customHeight="1">
      <c r="A43" s="76">
        <v>2241</v>
      </c>
      <c r="B43" s="77" t="s">
        <v>120</v>
      </c>
      <c r="C43" s="88"/>
      <c r="D43" s="78">
        <f>('ASR2241'!B7)</f>
        <v>99</v>
      </c>
      <c r="E43" s="78">
        <f>('ASR2241'!C7)</f>
        <v>89</v>
      </c>
      <c r="F43" s="78">
        <f>('ASR2241'!D7)</f>
        <v>97</v>
      </c>
      <c r="G43" s="78">
        <f>('ASR2241'!E7)</f>
        <v>109</v>
      </c>
      <c r="H43" s="78">
        <f>('ASR2241'!F7)</f>
        <v>116</v>
      </c>
      <c r="I43" s="78">
        <f>('ASR2241'!G7)</f>
        <v>118</v>
      </c>
      <c r="J43" s="78">
        <f>('ASR2241'!H7)</f>
        <v>111</v>
      </c>
      <c r="K43" s="78">
        <f>('ASR2241'!I7)</f>
        <v>118</v>
      </c>
      <c r="L43" s="78">
        <f>('ASR2241'!J7)</f>
        <v>101</v>
      </c>
      <c r="M43" s="78">
        <f>('ASR2241'!K7)</f>
        <v>104</v>
      </c>
      <c r="N43" s="78">
        <f>('ASR2241'!L7)</f>
        <v>96</v>
      </c>
      <c r="O43" s="78">
        <f>('ASR2241'!M7)</f>
        <v>126</v>
      </c>
    </row>
    <row r="44" spans="1:15" ht="12.2" customHeight="1">
      <c r="A44" s="76">
        <v>2242</v>
      </c>
      <c r="B44" s="77" t="s">
        <v>120</v>
      </c>
      <c r="C44" s="88"/>
      <c r="D44" s="78">
        <f>('ASR2242'!B7)</f>
        <v>129</v>
      </c>
      <c r="E44" s="78">
        <f>('ASR2242'!C7)</f>
        <v>137</v>
      </c>
      <c r="F44" s="78">
        <f>('ASR2242'!D7)</f>
        <v>130</v>
      </c>
      <c r="G44" s="78">
        <f>('ASR2242'!E7)</f>
        <v>132</v>
      </c>
      <c r="H44" s="78">
        <f>('ASR2242'!F7)</f>
        <v>146</v>
      </c>
      <c r="I44" s="78">
        <f>('ASR2242'!G7)</f>
        <v>130</v>
      </c>
      <c r="J44" s="78">
        <f>('ASR2242'!H7)</f>
        <v>161</v>
      </c>
      <c r="K44" s="78">
        <f>('ASR2242'!I7)</f>
        <v>175</v>
      </c>
      <c r="L44" s="78">
        <f>('ASR2242'!J7)</f>
        <v>178</v>
      </c>
      <c r="M44" s="78">
        <f>('ASR2242'!K7)</f>
        <v>81</v>
      </c>
      <c r="N44" s="78">
        <f>('ASR2242'!L7)</f>
        <v>105</v>
      </c>
      <c r="O44" s="78">
        <f>('ASR2242'!M7)</f>
        <v>87</v>
      </c>
    </row>
    <row r="45" spans="1:15" ht="12.2" customHeight="1">
      <c r="A45" s="76">
        <v>2253</v>
      </c>
      <c r="B45" s="77" t="s">
        <v>121</v>
      </c>
      <c r="C45" s="88"/>
      <c r="D45" s="78">
        <f>('ASR2253'!B7)</f>
        <v>12</v>
      </c>
      <c r="E45" s="78">
        <f>('ASR2253'!C7)</f>
        <v>13</v>
      </c>
      <c r="F45" s="78">
        <f>('ASR2253'!D7)</f>
        <v>25</v>
      </c>
      <c r="G45" s="78">
        <f>('ASR2253'!E7)</f>
        <v>17</v>
      </c>
      <c r="H45" s="78">
        <f>('ASR2253'!F7)</f>
        <v>15</v>
      </c>
      <c r="I45" s="78">
        <f>('ASR2253'!G7)</f>
        <v>19</v>
      </c>
      <c r="J45" s="78">
        <f>('ASR2253'!H7)</f>
        <v>12</v>
      </c>
      <c r="K45" s="78">
        <f>('ASR2253'!I7)</f>
        <v>25</v>
      </c>
      <c r="L45" s="78">
        <f>('ASR2253'!J7)</f>
        <v>23</v>
      </c>
      <c r="M45" s="78">
        <f>('ASR2253'!K7)</f>
        <v>17</v>
      </c>
      <c r="N45" s="78">
        <f>('ASR2253'!L7)</f>
        <v>16</v>
      </c>
      <c r="O45" s="78">
        <f>('ASR2253'!M7)</f>
        <v>16</v>
      </c>
    </row>
    <row r="46" spans="1:15" ht="12.2" customHeight="1">
      <c r="A46" s="76">
        <v>2263</v>
      </c>
      <c r="B46" s="77" t="s">
        <v>122</v>
      </c>
      <c r="C46" s="88"/>
      <c r="D46" s="78">
        <f>('ASR2263'!B7)</f>
        <v>84</v>
      </c>
      <c r="E46" s="78">
        <f>('ASR2263'!C7)</f>
        <v>37</v>
      </c>
      <c r="F46" s="78">
        <f>('ASR2263'!D7)</f>
        <v>38</v>
      </c>
      <c r="G46" s="78">
        <f>('ASR2263'!E7)</f>
        <v>38</v>
      </c>
      <c r="H46" s="78">
        <f>('ASR2263'!F7)</f>
        <v>41</v>
      </c>
      <c r="I46" s="78">
        <f>('ASR2263'!G7)</f>
        <v>42</v>
      </c>
      <c r="J46" s="78">
        <f>('ASR2263'!H7)</f>
        <v>45</v>
      </c>
      <c r="K46" s="78">
        <f>('ASR2263'!I7)</f>
        <v>62</v>
      </c>
      <c r="L46" s="78">
        <f>('ASR2263'!J7)</f>
        <v>61</v>
      </c>
      <c r="M46" s="78">
        <f>('ASR2263'!K7)</f>
        <v>31</v>
      </c>
      <c r="N46" s="78">
        <f>('ASR2263'!L7)</f>
        <v>60</v>
      </c>
      <c r="O46" s="78">
        <f>('ASR2263'!M7)</f>
        <v>83</v>
      </c>
    </row>
    <row r="47" spans="1:15" ht="12.2" customHeight="1">
      <c r="A47" s="76">
        <v>2264</v>
      </c>
      <c r="B47" s="77" t="s">
        <v>122</v>
      </c>
      <c r="C47" s="88"/>
      <c r="D47" s="78">
        <f>('ASR2264'!B7)</f>
        <v>30</v>
      </c>
      <c r="E47" s="78">
        <f>('ASR2264'!C7)</f>
        <v>27</v>
      </c>
      <c r="F47" s="78">
        <f>('ASR2264'!D7)</f>
        <v>29</v>
      </c>
      <c r="G47" s="78">
        <f>('ASR2264'!E7)</f>
        <v>36</v>
      </c>
      <c r="H47" s="78">
        <f>('ASR2264'!F7)</f>
        <v>42</v>
      </c>
      <c r="I47" s="78">
        <f>('ASR2264'!G7)</f>
        <v>54</v>
      </c>
      <c r="J47" s="78">
        <f>('ASR2264'!H7)</f>
        <v>56</v>
      </c>
      <c r="K47" s="78">
        <f>('ASR2264'!I7)</f>
        <v>58</v>
      </c>
      <c r="L47" s="78">
        <f>('ASR2264'!J7)</f>
        <v>46</v>
      </c>
      <c r="M47" s="78">
        <f>('ASR2264'!K7)</f>
        <v>50</v>
      </c>
      <c r="N47" s="78">
        <f>('ASR2264'!L7)</f>
        <v>67</v>
      </c>
      <c r="O47" s="78">
        <f>('ASR2264'!M7)</f>
        <v>55</v>
      </c>
    </row>
    <row r="48" spans="1:15" ht="12.2" customHeight="1">
      <c r="A48" s="76">
        <v>3001</v>
      </c>
      <c r="B48" s="77" t="s">
        <v>123</v>
      </c>
      <c r="C48" s="88"/>
      <c r="D48" s="78">
        <f>('ASR3001'!B7)</f>
        <v>74</v>
      </c>
      <c r="E48" s="78">
        <f>('ASR3001'!C7)</f>
        <v>78</v>
      </c>
      <c r="F48" s="78">
        <f>('ASR3001'!D7)</f>
        <v>91</v>
      </c>
      <c r="G48" s="78">
        <f>('ASR3001'!E7)</f>
        <v>54</v>
      </c>
      <c r="H48" s="78">
        <f>('ASR3001'!F7)</f>
        <v>103</v>
      </c>
      <c r="I48" s="78">
        <f>('ASR3001'!G7)</f>
        <v>94</v>
      </c>
      <c r="J48" s="78">
        <f>('ASR3001'!H7)</f>
        <v>108</v>
      </c>
      <c r="K48" s="78">
        <f>('ASR3001'!I7)</f>
        <v>95</v>
      </c>
      <c r="L48" s="78">
        <f>('ASR3001'!J7)</f>
        <v>95</v>
      </c>
      <c r="M48" s="78">
        <f>('ASR3001'!K7)</f>
        <v>52</v>
      </c>
      <c r="N48" s="78">
        <f>('ASR3001'!L7)</f>
        <v>84</v>
      </c>
      <c r="O48" s="78">
        <f>('ASR3001'!M7)</f>
        <v>37</v>
      </c>
    </row>
    <row r="49" spans="1:15" ht="12.2" customHeight="1">
      <c r="A49" s="76">
        <v>3003</v>
      </c>
      <c r="B49" s="77" t="s">
        <v>124</v>
      </c>
      <c r="C49" s="88"/>
      <c r="D49" s="78">
        <f>('ASR3003'!B7)</f>
        <v>74</v>
      </c>
      <c r="E49" s="78">
        <f>('ASR3003'!C7)</f>
        <v>87</v>
      </c>
      <c r="F49" s="78">
        <f>('ASR3003'!D7)</f>
        <v>71</v>
      </c>
      <c r="G49" s="78">
        <f>('ASR3003'!E7)</f>
        <v>72</v>
      </c>
      <c r="H49" s="78">
        <f>('ASR3003'!F7)</f>
        <v>72</v>
      </c>
      <c r="I49" s="78">
        <f>('ASR3003'!G7)</f>
        <v>67</v>
      </c>
      <c r="J49" s="78">
        <f>('ASR3003'!H7)</f>
        <v>51</v>
      </c>
      <c r="K49" s="78">
        <f>('ASR3003'!I7)</f>
        <v>70</v>
      </c>
      <c r="L49" s="78">
        <f>('ASR3003'!J7)</f>
        <v>61</v>
      </c>
      <c r="M49" s="78">
        <f>('ASR3003'!K7)</f>
        <v>57</v>
      </c>
      <c r="N49" s="78">
        <f>('ASR3003'!L7)</f>
        <v>75</v>
      </c>
      <c r="O49" s="78">
        <f>('ASR3003'!M7)</f>
        <v>75</v>
      </c>
    </row>
    <row r="50" spans="1:15" ht="12.2" customHeight="1">
      <c r="A50" s="76">
        <v>3011</v>
      </c>
      <c r="B50" s="77" t="s">
        <v>125</v>
      </c>
      <c r="C50" s="88"/>
      <c r="D50" s="78">
        <f>('ASR3011'!B7)</f>
        <v>60</v>
      </c>
      <c r="E50" s="78">
        <f>('ASR3011'!C7)</f>
        <v>37</v>
      </c>
      <c r="F50" s="78">
        <f>('ASR3011'!D7)</f>
        <v>57</v>
      </c>
      <c r="G50" s="78">
        <f>('ASR3011'!E7)</f>
        <v>51</v>
      </c>
      <c r="H50" s="78">
        <f>('ASR3011'!F7)</f>
        <v>60</v>
      </c>
      <c r="I50" s="78">
        <f>('ASR3011'!G7)</f>
        <v>83</v>
      </c>
      <c r="J50" s="78">
        <f>('ASR3011'!H7)</f>
        <v>102</v>
      </c>
      <c r="K50" s="78">
        <f>('ASR3011'!I7)</f>
        <v>90</v>
      </c>
      <c r="L50" s="78">
        <f>('ASR3011'!J7)</f>
        <v>80</v>
      </c>
      <c r="M50" s="78">
        <f>('ASR3011'!K7)</f>
        <v>69</v>
      </c>
      <c r="N50" s="78">
        <f>('ASR3011'!L7)</f>
        <v>57</v>
      </c>
      <c r="O50" s="78">
        <f>('ASR3011'!M7)</f>
        <v>82</v>
      </c>
    </row>
    <row r="51" spans="1:15" ht="12.2" customHeight="1">
      <c r="A51" s="76">
        <v>3034</v>
      </c>
      <c r="B51" s="77" t="s">
        <v>96</v>
      </c>
      <c r="C51" s="88"/>
      <c r="D51" s="78">
        <f>('ASR3034'!B7)</f>
        <v>229</v>
      </c>
      <c r="E51" s="78">
        <f>('ASR3034'!C7)</f>
        <v>277</v>
      </c>
      <c r="F51" s="78">
        <f>('ASR3034'!D7)</f>
        <v>286</v>
      </c>
      <c r="G51" s="78">
        <f>('ASR3034'!E7)</f>
        <v>280</v>
      </c>
      <c r="H51" s="78">
        <f>('ASR3034'!F7)</f>
        <v>270</v>
      </c>
      <c r="I51" s="78">
        <f>('ASR3034'!G7)</f>
        <v>269</v>
      </c>
      <c r="J51" s="78">
        <f>('ASR3034'!H7)</f>
        <v>327</v>
      </c>
      <c r="K51" s="78">
        <f>('ASR3034'!I7)</f>
        <v>359</v>
      </c>
      <c r="L51" s="78">
        <f>('ASR3034'!J7)</f>
        <v>405</v>
      </c>
      <c r="M51" s="78">
        <f>('ASR3034'!K7)</f>
        <v>309</v>
      </c>
      <c r="N51" s="78">
        <f>('ASR3034'!L7)</f>
        <v>350</v>
      </c>
      <c r="O51" s="78">
        <f>('ASR3034'!M7)</f>
        <v>410</v>
      </c>
    </row>
    <row r="52" spans="1:15" ht="12.2" customHeight="1">
      <c r="A52" s="76">
        <v>3044</v>
      </c>
      <c r="B52" s="77" t="s">
        <v>216</v>
      </c>
      <c r="C52" s="88"/>
      <c r="D52" s="78">
        <f>('ASR3044'!B7)</f>
        <v>147</v>
      </c>
      <c r="E52" s="78">
        <f>('ASR3044'!C7)</f>
        <v>132</v>
      </c>
      <c r="F52" s="78">
        <f>('ASR3044'!D7)</f>
        <v>150</v>
      </c>
      <c r="G52" s="78">
        <f>('ASR3044'!E7)</f>
        <v>135</v>
      </c>
      <c r="H52" s="78">
        <f>('ASR3044'!F7)</f>
        <v>152</v>
      </c>
      <c r="I52" s="78">
        <f>('ASR3044'!G7)</f>
        <v>148</v>
      </c>
      <c r="J52" s="78">
        <f>('ASR3044'!H7)</f>
        <v>166</v>
      </c>
      <c r="K52" s="78">
        <f>('ASR3044'!I7)</f>
        <v>212</v>
      </c>
      <c r="L52" s="78">
        <f>('ASR3044'!J7)</f>
        <v>151</v>
      </c>
      <c r="M52" s="78">
        <f>('ASR3044'!K7)</f>
        <v>131</v>
      </c>
      <c r="N52" s="78">
        <f>('ASR3044'!L7)</f>
        <v>180</v>
      </c>
      <c r="O52" s="78">
        <f>('ASR3044'!M7)</f>
        <v>169</v>
      </c>
    </row>
    <row r="53" spans="1:15" ht="12" customHeight="1">
      <c r="B53" s="24" t="s">
        <v>146</v>
      </c>
      <c r="C53" s="91"/>
      <c r="D53" s="81">
        <f>SUM(D7:D52)</f>
        <v>3536</v>
      </c>
      <c r="E53" s="81">
        <f>SUM(E7:E52)</f>
        <v>3487</v>
      </c>
      <c r="F53" s="81">
        <f t="shared" ref="F53:O53" si="0">SUM(F7:F52)</f>
        <v>3832</v>
      </c>
      <c r="G53" s="81">
        <f t="shared" si="0"/>
        <v>3690</v>
      </c>
      <c r="H53" s="81">
        <f t="shared" si="0"/>
        <v>4029</v>
      </c>
      <c r="I53" s="81">
        <f t="shared" si="0"/>
        <v>4166</v>
      </c>
      <c r="J53" s="81">
        <f t="shared" si="0"/>
        <v>4785</v>
      </c>
      <c r="K53" s="81">
        <f t="shared" si="0"/>
        <v>5134</v>
      </c>
      <c r="L53" s="81">
        <f t="shared" si="0"/>
        <v>4699</v>
      </c>
      <c r="M53" s="81">
        <f t="shared" si="0"/>
        <v>3274</v>
      </c>
      <c r="N53" s="81">
        <f t="shared" si="0"/>
        <v>3734</v>
      </c>
      <c r="O53" s="81">
        <f t="shared" si="0"/>
        <v>4424</v>
      </c>
    </row>
  </sheetData>
  <mergeCells count="2">
    <mergeCell ref="A5:B5"/>
    <mergeCell ref="D5:O5"/>
  </mergeCells>
  <printOptions horizontalCentered="1" verticalCentered="1"/>
  <pageMargins left="0.14000000000000001" right="0.16" top="0.25" bottom="0.5" header="0.5" footer="0.25"/>
  <pageSetup scale="95" firstPageNumber="3" orientation="portrait" useFirstPageNumber="1" r:id="rId1"/>
  <headerFooter alignWithMargins="0">
    <oddFooter>&amp;R3 of 51</oddFooter>
  </headerFooter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67"/>
  <sheetViews>
    <sheetView view="pageBreakPreview" topLeftCell="A19" zoomScale="90" zoomScaleNormal="100" zoomScaleSheetLayoutView="90" workbookViewId="0">
      <selection activeCell="M47" sqref="M47"/>
    </sheetView>
  </sheetViews>
  <sheetFormatPr defaultRowHeight="12.75"/>
  <cols>
    <col min="1" max="1" width="22.85546875" style="1" customWidth="1"/>
    <col min="2" max="13" width="7.140625" style="1" customWidth="1"/>
    <col min="14" max="14" width="4.42578125" style="1" customWidth="1"/>
    <col min="15" max="16384" width="9.140625" style="1"/>
  </cols>
  <sheetData>
    <row r="1" spans="1:21" ht="18" customHeight="1">
      <c r="A1" s="130"/>
      <c r="B1" s="131"/>
      <c r="C1" s="131"/>
      <c r="D1" s="131"/>
      <c r="E1" s="131"/>
      <c r="F1" s="131"/>
      <c r="G1" s="131"/>
      <c r="H1" s="130"/>
      <c r="I1" s="131"/>
      <c r="J1" s="131"/>
      <c r="K1" s="131"/>
      <c r="L1" s="130"/>
      <c r="M1" s="143" t="s">
        <v>22</v>
      </c>
    </row>
    <row r="2" spans="1:21" ht="18" customHeight="1">
      <c r="A2" s="130"/>
      <c r="B2" s="135"/>
      <c r="C2" s="135"/>
      <c r="D2" s="135"/>
      <c r="E2" s="135"/>
      <c r="F2" s="135"/>
      <c r="G2" s="135"/>
      <c r="H2" s="130"/>
      <c r="I2" s="135"/>
      <c r="J2" s="135"/>
      <c r="K2" s="135"/>
      <c r="L2" s="130"/>
      <c r="M2" s="155" t="s">
        <v>13</v>
      </c>
    </row>
    <row r="3" spans="1:21" s="5" customFormat="1" ht="18" customHeight="1">
      <c r="A3" s="133"/>
      <c r="B3" s="133"/>
      <c r="C3" s="133"/>
      <c r="D3" s="133"/>
      <c r="E3" s="133"/>
      <c r="F3" s="133"/>
      <c r="G3" s="133"/>
      <c r="H3" s="133"/>
      <c r="I3" s="133"/>
      <c r="J3" s="136"/>
      <c r="K3" s="136"/>
      <c r="L3" s="133"/>
      <c r="M3" s="155" t="s">
        <v>70</v>
      </c>
      <c r="N3" s="134"/>
      <c r="O3" s="134"/>
      <c r="P3" s="134"/>
      <c r="Q3" s="134"/>
      <c r="R3" s="134"/>
      <c r="S3" s="134"/>
      <c r="T3" s="134"/>
      <c r="U3" s="134"/>
    </row>
    <row r="4" spans="1:21" s="8" customFormat="1" ht="6.75" customHeight="1" thickBot="1">
      <c r="A4" s="38"/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</row>
    <row r="5" spans="1:21" s="8" customFormat="1" ht="11.25" customHeight="1" thickBot="1">
      <c r="A5" s="53" t="s">
        <v>19</v>
      </c>
      <c r="B5" s="50">
        <v>41275</v>
      </c>
      <c r="C5" s="47">
        <v>41306</v>
      </c>
      <c r="D5" s="47">
        <v>41334</v>
      </c>
      <c r="E5" s="47">
        <v>41365</v>
      </c>
      <c r="F5" s="47">
        <v>41395</v>
      </c>
      <c r="G5" s="47">
        <v>41426</v>
      </c>
      <c r="H5" s="47">
        <v>41456</v>
      </c>
      <c r="I5" s="47">
        <v>41487</v>
      </c>
      <c r="J5" s="47">
        <v>41518</v>
      </c>
      <c r="K5" s="47">
        <v>41548</v>
      </c>
      <c r="L5" s="47">
        <v>41579</v>
      </c>
      <c r="M5" s="51">
        <v>41609</v>
      </c>
    </row>
    <row r="6" spans="1:21" s="8" customFormat="1" ht="11.25" customHeight="1">
      <c r="A6" s="41" t="s">
        <v>129</v>
      </c>
      <c r="B6" s="57">
        <f t="shared" ref="B6:M6" si="0">B32</f>
        <v>35</v>
      </c>
      <c r="C6" s="57">
        <f t="shared" si="0"/>
        <v>35</v>
      </c>
      <c r="D6" s="57">
        <f t="shared" si="0"/>
        <v>21</v>
      </c>
      <c r="E6" s="57">
        <f t="shared" si="0"/>
        <v>37</v>
      </c>
      <c r="F6" s="57">
        <f t="shared" si="0"/>
        <v>32</v>
      </c>
      <c r="G6" s="57">
        <f t="shared" si="0"/>
        <v>16</v>
      </c>
      <c r="H6" s="57">
        <f t="shared" si="0"/>
        <v>23</v>
      </c>
      <c r="I6" s="57">
        <f t="shared" si="0"/>
        <v>27</v>
      </c>
      <c r="J6" s="57">
        <f t="shared" si="0"/>
        <v>20</v>
      </c>
      <c r="K6" s="57">
        <f t="shared" si="0"/>
        <v>17</v>
      </c>
      <c r="L6" s="156">
        <f t="shared" si="0"/>
        <v>23</v>
      </c>
      <c r="M6" s="168">
        <f t="shared" si="0"/>
        <v>33</v>
      </c>
    </row>
    <row r="7" spans="1:21" s="8" customFormat="1" ht="11.25" customHeight="1">
      <c r="A7" s="42" t="s">
        <v>18</v>
      </c>
      <c r="B7" s="57">
        <f t="shared" ref="B7:M7" si="1">SUM(B10:B12)</f>
        <v>56</v>
      </c>
      <c r="C7" s="57">
        <f t="shared" si="1"/>
        <v>52</v>
      </c>
      <c r="D7" s="57">
        <f t="shared" si="1"/>
        <v>51</v>
      </c>
      <c r="E7" s="57">
        <f t="shared" si="1"/>
        <v>41</v>
      </c>
      <c r="F7" s="57">
        <f t="shared" si="1"/>
        <v>45</v>
      </c>
      <c r="G7" s="57">
        <f t="shared" si="1"/>
        <v>60</v>
      </c>
      <c r="H7" s="57">
        <f t="shared" si="1"/>
        <v>61</v>
      </c>
      <c r="I7" s="57">
        <f t="shared" si="1"/>
        <v>77</v>
      </c>
      <c r="J7" s="57">
        <f t="shared" si="1"/>
        <v>42</v>
      </c>
      <c r="K7" s="57">
        <f t="shared" si="1"/>
        <v>47</v>
      </c>
      <c r="L7" s="156">
        <f t="shared" si="1"/>
        <v>51</v>
      </c>
      <c r="M7" s="171">
        <f t="shared" si="1"/>
        <v>48</v>
      </c>
    </row>
    <row r="8" spans="1:21" s="8" customFormat="1" ht="11.25" customHeight="1" thickBot="1">
      <c r="A8" s="43" t="s">
        <v>14</v>
      </c>
      <c r="B8" s="58">
        <f t="shared" ref="B8:M8" si="2">SUM(B6:B7)</f>
        <v>91</v>
      </c>
      <c r="C8" s="58">
        <f t="shared" si="2"/>
        <v>87</v>
      </c>
      <c r="D8" s="58">
        <f t="shared" si="2"/>
        <v>72</v>
      </c>
      <c r="E8" s="58">
        <f t="shared" si="2"/>
        <v>78</v>
      </c>
      <c r="F8" s="58">
        <f t="shared" si="2"/>
        <v>77</v>
      </c>
      <c r="G8" s="58">
        <f t="shared" si="2"/>
        <v>76</v>
      </c>
      <c r="H8" s="58">
        <f t="shared" si="2"/>
        <v>84</v>
      </c>
      <c r="I8" s="58">
        <f t="shared" si="2"/>
        <v>104</v>
      </c>
      <c r="J8" s="58">
        <f t="shared" si="2"/>
        <v>62</v>
      </c>
      <c r="K8" s="58">
        <f t="shared" si="2"/>
        <v>64</v>
      </c>
      <c r="L8" s="157">
        <f t="shared" si="2"/>
        <v>74</v>
      </c>
      <c r="M8" s="172">
        <f t="shared" si="2"/>
        <v>81</v>
      </c>
    </row>
    <row r="9" spans="1:21" s="8" customFormat="1" ht="11.25" customHeight="1" thickBot="1">
      <c r="A9" s="54" t="s">
        <v>18</v>
      </c>
      <c r="B9" s="50">
        <v>41275</v>
      </c>
      <c r="C9" s="47">
        <v>41306</v>
      </c>
      <c r="D9" s="47">
        <v>41334</v>
      </c>
      <c r="E9" s="47">
        <v>41365</v>
      </c>
      <c r="F9" s="47">
        <v>41395</v>
      </c>
      <c r="G9" s="47">
        <v>41426</v>
      </c>
      <c r="H9" s="47">
        <v>41456</v>
      </c>
      <c r="I9" s="47">
        <v>41487</v>
      </c>
      <c r="J9" s="47">
        <v>41518</v>
      </c>
      <c r="K9" s="47">
        <v>41548</v>
      </c>
      <c r="L9" s="47">
        <v>41579</v>
      </c>
      <c r="M9" s="51">
        <v>41609</v>
      </c>
    </row>
    <row r="10" spans="1:21" s="8" customFormat="1" ht="11.25" customHeight="1">
      <c r="A10" s="9" t="s">
        <v>128</v>
      </c>
      <c r="B10" s="57">
        <f t="shared" ref="B10:M10" si="3">B52</f>
        <v>29</v>
      </c>
      <c r="C10" s="57">
        <f t="shared" si="3"/>
        <v>31</v>
      </c>
      <c r="D10" s="57">
        <f t="shared" si="3"/>
        <v>31</v>
      </c>
      <c r="E10" s="57">
        <f t="shared" si="3"/>
        <v>21</v>
      </c>
      <c r="F10" s="57">
        <f t="shared" si="3"/>
        <v>24</v>
      </c>
      <c r="G10" s="59">
        <f t="shared" si="3"/>
        <v>23</v>
      </c>
      <c r="H10" s="59">
        <f t="shared" si="3"/>
        <v>28</v>
      </c>
      <c r="I10" s="59">
        <f t="shared" si="3"/>
        <v>42</v>
      </c>
      <c r="J10" s="59">
        <f t="shared" si="3"/>
        <v>24</v>
      </c>
      <c r="K10" s="59">
        <f t="shared" si="3"/>
        <v>25</v>
      </c>
      <c r="L10" s="158">
        <f t="shared" si="3"/>
        <v>20</v>
      </c>
      <c r="M10" s="168">
        <f t="shared" si="3"/>
        <v>21</v>
      </c>
    </row>
    <row r="11" spans="1:21" s="8" customFormat="1" ht="11.25" customHeight="1">
      <c r="A11" s="9" t="s">
        <v>127</v>
      </c>
      <c r="B11" s="59">
        <f t="shared" ref="B11:M11" si="4">B65</f>
        <v>9</v>
      </c>
      <c r="C11" s="59">
        <f t="shared" si="4"/>
        <v>5</v>
      </c>
      <c r="D11" s="59">
        <f t="shared" si="4"/>
        <v>3</v>
      </c>
      <c r="E11" s="59">
        <f t="shared" si="4"/>
        <v>3</v>
      </c>
      <c r="F11" s="59">
        <f t="shared" si="4"/>
        <v>4</v>
      </c>
      <c r="G11" s="59">
        <f t="shared" si="4"/>
        <v>7</v>
      </c>
      <c r="H11" s="59">
        <f t="shared" si="4"/>
        <v>6</v>
      </c>
      <c r="I11" s="59">
        <f t="shared" si="4"/>
        <v>8</v>
      </c>
      <c r="J11" s="59">
        <f t="shared" si="4"/>
        <v>6</v>
      </c>
      <c r="K11" s="59">
        <f t="shared" si="4"/>
        <v>2</v>
      </c>
      <c r="L11" s="158">
        <f t="shared" si="4"/>
        <v>6</v>
      </c>
      <c r="M11" s="169">
        <f t="shared" si="4"/>
        <v>9</v>
      </c>
    </row>
    <row r="12" spans="1:21" s="8" customFormat="1" ht="11.25" customHeight="1" thickBot="1">
      <c r="A12" s="2" t="s">
        <v>12</v>
      </c>
      <c r="B12" s="60">
        <f>COUNTIFS(Jan!$B:$B,2142,Jan!$F:$F,800)</f>
        <v>18</v>
      </c>
      <c r="C12" s="60">
        <v>16</v>
      </c>
      <c r="D12" s="60">
        <v>17</v>
      </c>
      <c r="E12" s="60">
        <v>17</v>
      </c>
      <c r="F12" s="60">
        <v>17</v>
      </c>
      <c r="G12" s="60">
        <v>30</v>
      </c>
      <c r="H12" s="60">
        <v>27</v>
      </c>
      <c r="I12" s="60">
        <v>27</v>
      </c>
      <c r="J12" s="60">
        <v>12</v>
      </c>
      <c r="K12" s="60">
        <v>20</v>
      </c>
      <c r="L12" s="60">
        <v>25</v>
      </c>
      <c r="M12" s="60">
        <v>18</v>
      </c>
    </row>
    <row r="13" spans="1:21" s="8" customFormat="1" ht="5.0999999999999996" customHeight="1" thickBot="1">
      <c r="A13" s="3"/>
      <c r="B13" s="17"/>
      <c r="C13" s="17"/>
      <c r="D13" s="17"/>
      <c r="E13" s="17"/>
      <c r="F13" s="17"/>
      <c r="G13" s="17"/>
      <c r="H13" s="17"/>
      <c r="I13" s="17"/>
      <c r="J13" s="17"/>
      <c r="K13" s="17"/>
      <c r="L13" s="17"/>
      <c r="M13" s="147"/>
    </row>
    <row r="14" spans="1:21" s="16" customFormat="1" ht="11.25" customHeight="1">
      <c r="A14" s="44" t="s">
        <v>131</v>
      </c>
      <c r="B14" s="120">
        <v>8595</v>
      </c>
      <c r="C14" s="120">
        <v>12371</v>
      </c>
      <c r="D14" s="120">
        <v>9593</v>
      </c>
      <c r="E14" s="120">
        <v>8866</v>
      </c>
      <c r="F14" s="120">
        <v>9879</v>
      </c>
      <c r="G14" s="120">
        <v>7211</v>
      </c>
      <c r="H14" s="119">
        <v>9256</v>
      </c>
      <c r="I14" s="61">
        <v>12237</v>
      </c>
      <c r="J14" s="61">
        <v>5616</v>
      </c>
      <c r="K14" s="118">
        <v>9798</v>
      </c>
      <c r="L14" s="160">
        <v>8876</v>
      </c>
      <c r="M14" s="173">
        <v>9178</v>
      </c>
      <c r="O14" s="22"/>
      <c r="P14" s="22"/>
      <c r="Q14" s="22"/>
    </row>
    <row r="15" spans="1:21" s="8" customFormat="1" ht="11.25" customHeight="1">
      <c r="A15" s="45" t="s">
        <v>132</v>
      </c>
      <c r="B15" s="62">
        <f>IFERROR((SUMIFS(Jan!$N:$N,Jan!$J:$J,1,Jan!$B:$B,2142)+SUMIFS(Jan!$N:$N,Jan!$D:$D,"&gt;1",Jan!$B:$B,2142))/(COUNTIFS(Jan!$J:$J,1,Jan!$B:$B,2142)+COUNTIFS(Jan!$D:$D,"&gt;1",Jan!$B:$B,2142)),"")</f>
        <v>32.285714285714285</v>
      </c>
      <c r="C15" s="62">
        <v>30.85</v>
      </c>
      <c r="D15" s="62">
        <v>31.27</v>
      </c>
      <c r="E15" s="62">
        <v>34.57</v>
      </c>
      <c r="F15" s="62">
        <v>31.74</v>
      </c>
      <c r="G15" s="62">
        <v>32.03</v>
      </c>
      <c r="H15" s="62">
        <v>33.380000000000003</v>
      </c>
      <c r="I15" s="62">
        <v>30.77</v>
      </c>
      <c r="J15" s="62">
        <v>31.07</v>
      </c>
      <c r="K15" s="62">
        <v>31.83</v>
      </c>
      <c r="L15" s="62">
        <v>30.32</v>
      </c>
      <c r="M15" s="62">
        <v>31.7</v>
      </c>
      <c r="N15" s="15"/>
      <c r="O15" s="1"/>
      <c r="P15" s="1"/>
      <c r="Q15" s="1"/>
    </row>
    <row r="16" spans="1:21" s="8" customFormat="1" ht="11.25" customHeight="1">
      <c r="A16" s="45" t="s">
        <v>133</v>
      </c>
      <c r="B16" s="62">
        <f>IFERROR(AVERAGEIFS(Jan!$N:$N,Jan!$F:$F,800,Jan!$B:$B,2142),"")</f>
        <v>31.777777777777779</v>
      </c>
      <c r="C16" s="62">
        <v>31.82</v>
      </c>
      <c r="D16" s="62">
        <v>32.630000000000003</v>
      </c>
      <c r="E16" s="62">
        <v>34.72</v>
      </c>
      <c r="F16" s="62">
        <v>33.11</v>
      </c>
      <c r="G16" s="62">
        <v>32.770000000000003</v>
      </c>
      <c r="H16" s="62">
        <v>35.71</v>
      </c>
      <c r="I16" s="62">
        <v>34.24</v>
      </c>
      <c r="J16" s="62">
        <v>31.83</v>
      </c>
      <c r="K16" s="62">
        <v>32.43</v>
      </c>
      <c r="L16" s="62">
        <v>33.799999999999997</v>
      </c>
      <c r="M16" s="62">
        <v>35.700000000000003</v>
      </c>
      <c r="O16" s="1"/>
      <c r="P16" s="1"/>
      <c r="Q16" s="1"/>
    </row>
    <row r="17" spans="1:17" s="8" customFormat="1" ht="11.25" customHeight="1">
      <c r="A17" s="45" t="s">
        <v>134</v>
      </c>
      <c r="B17" s="63">
        <f>IFERROR((SUMIFS(Jan!$M:$M,Jan!$J:$J,1,Jan!$B:$B,2142)+SUMIFS(Jan!$M:$M,Jan!$D:$D,"&gt;1",Jan!$B:$B,2142))/(COUNTIFS(Jan!$J:$J,1,Jan!$B:$B,2142)+COUNTIFS(Jan!$D:$D,"&gt;1",Jan!$B:$B,2142)),"")</f>
        <v>2.6523809523809523</v>
      </c>
      <c r="C17" s="63">
        <v>4.3</v>
      </c>
      <c r="D17" s="63">
        <v>3.2</v>
      </c>
      <c r="E17" s="63">
        <v>2.66</v>
      </c>
      <c r="F17" s="63">
        <v>5.81</v>
      </c>
      <c r="G17" s="63">
        <v>2.59</v>
      </c>
      <c r="H17" s="63">
        <v>3</v>
      </c>
      <c r="I17" s="63">
        <v>5.26</v>
      </c>
      <c r="J17" s="63">
        <v>6.08</v>
      </c>
      <c r="K17" s="63">
        <v>4.88</v>
      </c>
      <c r="L17" s="63">
        <v>4.34</v>
      </c>
      <c r="M17" s="63">
        <v>4.74</v>
      </c>
      <c r="O17" s="1"/>
      <c r="P17" s="1"/>
      <c r="Q17" s="1"/>
    </row>
    <row r="18" spans="1:17" s="8" customFormat="1" ht="11.25" customHeight="1" thickBot="1">
      <c r="A18" s="43" t="s">
        <v>135</v>
      </c>
      <c r="B18" s="64">
        <f>IFERROR(AVERAGEIFS(Jan!$M:$M,Jan!$F:$F,800,Jan!$B:$B,2142),"")</f>
        <v>3.0277777777777772</v>
      </c>
      <c r="C18" s="64">
        <v>0.62</v>
      </c>
      <c r="D18" s="64">
        <v>1.76</v>
      </c>
      <c r="E18" s="64">
        <v>0.68</v>
      </c>
      <c r="F18" s="64">
        <v>1.85</v>
      </c>
      <c r="G18" s="64">
        <v>2.54</v>
      </c>
      <c r="H18" s="64">
        <v>0.7</v>
      </c>
      <c r="I18" s="64">
        <v>1.96</v>
      </c>
      <c r="J18" s="64">
        <v>4.01</v>
      </c>
      <c r="K18" s="64">
        <v>0.55000000000000004</v>
      </c>
      <c r="L18" s="64">
        <v>0.65</v>
      </c>
      <c r="M18" s="64">
        <v>1.72</v>
      </c>
    </row>
    <row r="19" spans="1:17" s="8" customFormat="1" ht="5.0999999999999996" customHeight="1" thickBot="1">
      <c r="A19" s="3"/>
      <c r="B19" s="17"/>
      <c r="C19" s="17"/>
      <c r="D19" s="17"/>
      <c r="E19" s="17"/>
      <c r="F19" s="17"/>
      <c r="G19" s="17"/>
      <c r="H19" s="17"/>
      <c r="I19" s="17"/>
      <c r="J19" s="17"/>
      <c r="K19" s="17"/>
      <c r="L19" s="17"/>
      <c r="M19" s="147"/>
    </row>
    <row r="20" spans="1:17" s="8" customFormat="1" ht="11.25" customHeight="1">
      <c r="A20" s="42" t="s">
        <v>52</v>
      </c>
      <c r="B20" s="65">
        <v>31</v>
      </c>
      <c r="C20" s="65">
        <v>28</v>
      </c>
      <c r="D20" s="65">
        <v>31</v>
      </c>
      <c r="E20" s="65">
        <v>30</v>
      </c>
      <c r="F20" s="65">
        <v>31</v>
      </c>
      <c r="G20" s="65">
        <v>30</v>
      </c>
      <c r="H20" s="65">
        <v>31</v>
      </c>
      <c r="I20" s="65">
        <v>31</v>
      </c>
      <c r="J20" s="65">
        <v>30</v>
      </c>
      <c r="K20" s="65">
        <v>31</v>
      </c>
      <c r="L20" s="161">
        <v>30</v>
      </c>
      <c r="M20" s="174">
        <v>31</v>
      </c>
    </row>
    <row r="21" spans="1:17" s="8" customFormat="1" ht="11.25" customHeight="1">
      <c r="A21" s="9" t="s">
        <v>15</v>
      </c>
      <c r="B21" s="66">
        <f>B12/B20</f>
        <v>0.58064516129032262</v>
      </c>
      <c r="C21" s="66">
        <f t="shared" ref="C21:M21" si="5">C12/C20</f>
        <v>0.5714285714285714</v>
      </c>
      <c r="D21" s="66">
        <f>D12/D20</f>
        <v>0.54838709677419351</v>
      </c>
      <c r="E21" s="66">
        <f>E12/E20</f>
        <v>0.56666666666666665</v>
      </c>
      <c r="F21" s="66">
        <f>F12/F20</f>
        <v>0.54838709677419351</v>
      </c>
      <c r="G21" s="66">
        <f>G12/G20</f>
        <v>1</v>
      </c>
      <c r="H21" s="66">
        <f t="shared" si="5"/>
        <v>0.87096774193548387</v>
      </c>
      <c r="I21" s="66">
        <f t="shared" si="5"/>
        <v>0.87096774193548387</v>
      </c>
      <c r="J21" s="66">
        <f t="shared" si="5"/>
        <v>0.4</v>
      </c>
      <c r="K21" s="66">
        <f t="shared" si="5"/>
        <v>0.64516129032258063</v>
      </c>
      <c r="L21" s="162">
        <f t="shared" si="5"/>
        <v>0.83333333333333337</v>
      </c>
      <c r="M21" s="175">
        <f t="shared" si="5"/>
        <v>0.58064516129032262</v>
      </c>
    </row>
    <row r="22" spans="1:17" s="8" customFormat="1" ht="11.25" customHeight="1">
      <c r="A22" s="9" t="s">
        <v>130</v>
      </c>
      <c r="B22" s="67">
        <f t="shared" ref="B22:G22" si="6">IFERROR(B12/B7,0)</f>
        <v>0.32142857142857145</v>
      </c>
      <c r="C22" s="67">
        <f t="shared" si="6"/>
        <v>0.30769230769230771</v>
      </c>
      <c r="D22" s="67">
        <f t="shared" si="6"/>
        <v>0.33333333333333331</v>
      </c>
      <c r="E22" s="67">
        <f t="shared" si="6"/>
        <v>0.41463414634146339</v>
      </c>
      <c r="F22" s="67">
        <f t="shared" si="6"/>
        <v>0.37777777777777777</v>
      </c>
      <c r="G22" s="67">
        <f t="shared" si="6"/>
        <v>0.5</v>
      </c>
      <c r="H22" s="67">
        <f t="shared" ref="H22:M22" si="7">IFERROR(H12/H7,0)</f>
        <v>0.44262295081967212</v>
      </c>
      <c r="I22" s="67">
        <f t="shared" si="7"/>
        <v>0.35064935064935066</v>
      </c>
      <c r="J22" s="67">
        <f t="shared" si="7"/>
        <v>0.2857142857142857</v>
      </c>
      <c r="K22" s="116">
        <f t="shared" si="7"/>
        <v>0.42553191489361702</v>
      </c>
      <c r="L22" s="67">
        <f t="shared" si="7"/>
        <v>0.49019607843137253</v>
      </c>
      <c r="M22" s="176">
        <f t="shared" si="7"/>
        <v>0.375</v>
      </c>
      <c r="N22" s="1"/>
    </row>
    <row r="23" spans="1:17" s="8" customFormat="1" ht="11.25" customHeight="1" thickBot="1">
      <c r="A23" s="9" t="s">
        <v>53</v>
      </c>
      <c r="B23" s="67">
        <f t="shared" ref="B23:G23" si="8">IFERROR(B12/(B11+B12),0)</f>
        <v>0.66666666666666663</v>
      </c>
      <c r="C23" s="67">
        <f t="shared" si="8"/>
        <v>0.76190476190476186</v>
      </c>
      <c r="D23" s="67">
        <f t="shared" si="8"/>
        <v>0.85</v>
      </c>
      <c r="E23" s="67">
        <f t="shared" si="8"/>
        <v>0.85</v>
      </c>
      <c r="F23" s="67">
        <f t="shared" si="8"/>
        <v>0.80952380952380953</v>
      </c>
      <c r="G23" s="67">
        <f t="shared" si="8"/>
        <v>0.81081081081081086</v>
      </c>
      <c r="H23" s="67">
        <f t="shared" ref="H23:M23" si="9">IFERROR(H12/(H11+H12),0)</f>
        <v>0.81818181818181823</v>
      </c>
      <c r="I23" s="67">
        <f t="shared" si="9"/>
        <v>0.77142857142857146</v>
      </c>
      <c r="J23" s="67">
        <f t="shared" si="9"/>
        <v>0.66666666666666663</v>
      </c>
      <c r="K23" s="117">
        <f t="shared" si="9"/>
        <v>0.90909090909090906</v>
      </c>
      <c r="L23" s="163">
        <f t="shared" si="9"/>
        <v>0.80645161290322576</v>
      </c>
      <c r="M23" s="177">
        <f t="shared" si="9"/>
        <v>0.66666666666666663</v>
      </c>
      <c r="N23" s="4"/>
    </row>
    <row r="24" spans="1:17" s="8" customFormat="1" ht="11.25" customHeight="1" thickBot="1">
      <c r="A24" s="56" t="s">
        <v>21</v>
      </c>
      <c r="B24" s="50">
        <v>41275</v>
      </c>
      <c r="C24" s="47">
        <v>41306</v>
      </c>
      <c r="D24" s="47">
        <v>41334</v>
      </c>
      <c r="E24" s="47">
        <v>41365</v>
      </c>
      <c r="F24" s="47">
        <v>41395</v>
      </c>
      <c r="G24" s="47">
        <v>41426</v>
      </c>
      <c r="H24" s="47">
        <v>41456</v>
      </c>
      <c r="I24" s="47">
        <v>41487</v>
      </c>
      <c r="J24" s="47">
        <v>41518</v>
      </c>
      <c r="K24" s="47">
        <v>41548</v>
      </c>
      <c r="L24" s="47">
        <v>41579</v>
      </c>
      <c r="M24" s="51">
        <v>41609</v>
      </c>
    </row>
    <row r="25" spans="1:17" s="8" customFormat="1" ht="11.25" customHeight="1">
      <c r="A25" s="18" t="s">
        <v>5</v>
      </c>
      <c r="B25" s="68">
        <f>COUNTIFS(Jan!$B:$B,2142,Jan!$J:$J,18)</f>
        <v>11</v>
      </c>
      <c r="C25" s="68">
        <v>14</v>
      </c>
      <c r="D25" s="68">
        <v>5</v>
      </c>
      <c r="E25" s="68">
        <v>6</v>
      </c>
      <c r="F25" s="68">
        <v>8</v>
      </c>
      <c r="G25" s="68">
        <v>7</v>
      </c>
      <c r="H25" s="68">
        <v>11</v>
      </c>
      <c r="I25" s="68">
        <v>15</v>
      </c>
      <c r="J25" s="68">
        <v>5</v>
      </c>
      <c r="K25" s="68">
        <v>6</v>
      </c>
      <c r="L25" s="68">
        <v>10</v>
      </c>
      <c r="M25" s="68">
        <v>13</v>
      </c>
    </row>
    <row r="26" spans="1:17" s="8" customFormat="1" ht="11.25" customHeight="1">
      <c r="A26" s="46" t="s">
        <v>40</v>
      </c>
      <c r="B26" s="57">
        <f>COUNTIFS(Jan!$B:$B,2142,Jan!$J:$J,41)</f>
        <v>6</v>
      </c>
      <c r="C26" s="57">
        <f>COUNTIFS(Feb!$B:$B,2142,Feb!$J:$J,41)</f>
        <v>0</v>
      </c>
      <c r="D26" s="57">
        <f>COUNTIFS(Mar!$B:$B,2142,Mar!$J:$J,41)</f>
        <v>0</v>
      </c>
      <c r="E26" s="57">
        <v>2</v>
      </c>
      <c r="F26" s="57">
        <v>3</v>
      </c>
      <c r="G26" s="57">
        <f>COUNTIFS(Jun!$B:$B,2142,Jun!$J:$J,41)</f>
        <v>0</v>
      </c>
      <c r="H26" s="57">
        <f>COUNTIFS(Jul!$B:$B,2142,Jul!$J:$J,41)</f>
        <v>0</v>
      </c>
      <c r="I26" s="57">
        <f>COUNTIFS(Aug!$B:$B,2142,Aug!$J:$J,41)</f>
        <v>0</v>
      </c>
      <c r="J26" s="57">
        <v>2</v>
      </c>
      <c r="K26" s="57">
        <f>COUNTIFS(Oct!$B:$B,2142,Oct!$J:$J,41)</f>
        <v>0</v>
      </c>
      <c r="L26" s="57">
        <v>6</v>
      </c>
      <c r="M26" s="57">
        <v>4</v>
      </c>
    </row>
    <row r="27" spans="1:17" s="8" customFormat="1" ht="11.25" customHeight="1">
      <c r="A27" s="9" t="s">
        <v>11</v>
      </c>
      <c r="B27" s="179">
        <f>COUNTIFS(Jan!$B:$B,2142,Jan!$J:$J,17)</f>
        <v>17</v>
      </c>
      <c r="C27" s="206">
        <v>20</v>
      </c>
      <c r="D27" s="206">
        <v>16</v>
      </c>
      <c r="E27" s="206">
        <v>29</v>
      </c>
      <c r="F27" s="206">
        <v>21</v>
      </c>
      <c r="G27" s="206">
        <v>7</v>
      </c>
      <c r="H27" s="206">
        <v>11</v>
      </c>
      <c r="I27" s="206">
        <v>12</v>
      </c>
      <c r="J27" s="206">
        <v>13</v>
      </c>
      <c r="K27" s="206">
        <v>11</v>
      </c>
      <c r="L27" s="206">
        <v>7</v>
      </c>
      <c r="M27" s="206">
        <v>16</v>
      </c>
    </row>
    <row r="28" spans="1:17" s="8" customFormat="1" ht="11.25" customHeight="1">
      <c r="A28" s="9" t="s">
        <v>143</v>
      </c>
      <c r="B28" s="59">
        <f>COUNTIFS(Jan!$B:$B,2142,Jan!$F:$F,455)</f>
        <v>0</v>
      </c>
      <c r="C28" s="59">
        <f>COUNTIFS(Feb!$B:$B,2142,Feb!$F:$F,455)</f>
        <v>0</v>
      </c>
      <c r="D28" s="59">
        <f>COUNTIFS(Mar!$B:$B,2142,Mar!$F:$F,455)</f>
        <v>0</v>
      </c>
      <c r="E28" s="59">
        <f>COUNTIFS(Apr!$B:$B,2142,Apr!$F:$F,455)</f>
        <v>0</v>
      </c>
      <c r="F28" s="59">
        <f>COUNTIFS(May!$B:$B,2142,May!$F:$F,455)</f>
        <v>0</v>
      </c>
      <c r="G28" s="59">
        <f>COUNTIFS(Jun!$B:$B,2142,Jun!$F:$F,455)</f>
        <v>0</v>
      </c>
      <c r="H28" s="59">
        <f>COUNTIFS(Jul!$B:$B,2142,Jul!$F:$F,455)</f>
        <v>0</v>
      </c>
      <c r="I28" s="59">
        <f>COUNTIFS(Aug!$B:$B,2142,Aug!$F:$F,455)</f>
        <v>0</v>
      </c>
      <c r="J28" s="59">
        <f>COUNTIFS(Sep!$B:$B,2142,Sep!$F:$F,455)</f>
        <v>0</v>
      </c>
      <c r="K28" s="59">
        <f>COUNTIFS(Oct!$B:$B,2142,Oct!$F:$F,455)</f>
        <v>0</v>
      </c>
      <c r="L28" s="59">
        <f>COUNTIFS(Nov!$B:$B,2142,Nov!$F:$F,455)</f>
        <v>0</v>
      </c>
      <c r="M28" s="59">
        <v>0</v>
      </c>
    </row>
    <row r="29" spans="1:17" s="8" customFormat="1" ht="11.25" customHeight="1">
      <c r="A29" s="9" t="s">
        <v>23</v>
      </c>
      <c r="B29" s="59">
        <f>COUNTIFS(Jan!$B:$B,2142,Jan!$J:$J,31)</f>
        <v>0</v>
      </c>
      <c r="C29" s="59">
        <f>COUNTIFS(Feb!$B:$B,2142,Feb!$J:$J,31)</f>
        <v>0</v>
      </c>
      <c r="D29" s="59">
        <f>COUNTIFS(Mar!$B:$B,2142,Mar!$J:$J,31)</f>
        <v>0</v>
      </c>
      <c r="E29" s="59">
        <f>COUNTIFS(Apr!$B:$B,2142,Apr!$J:$J,31)</f>
        <v>0</v>
      </c>
      <c r="F29" s="59">
        <f>COUNTIFS(May!$B:$B,2142,May!$J:$J,31)</f>
        <v>0</v>
      </c>
      <c r="G29" s="59">
        <f>COUNTIFS(Jun!$B:$B,2142,Jun!$J:$J,31)</f>
        <v>0</v>
      </c>
      <c r="H29" s="59">
        <f>COUNTIFS(Jul!$B:$B,2142,Jul!$J:$J,31)</f>
        <v>0</v>
      </c>
      <c r="I29" s="59">
        <f>COUNTIFS(Aug!$B:$B,2142,Aug!$J:$J,31)</f>
        <v>0</v>
      </c>
      <c r="J29" s="59">
        <f>COUNTIFS(Sep!$B:$B,2142,Sep!$J:$J,31)</f>
        <v>0</v>
      </c>
      <c r="K29" s="59">
        <f>COUNTIFS(Oct!$B:$B,2142,Oct!$J:$J,31)</f>
        <v>0</v>
      </c>
      <c r="L29" s="59">
        <f>COUNTIFS(Nov!$B:$B,2142,Nov!$J:$J,31)</f>
        <v>0</v>
      </c>
      <c r="M29" s="59">
        <v>0</v>
      </c>
    </row>
    <row r="30" spans="1:17" s="8" customFormat="1" ht="11.25" customHeight="1">
      <c r="A30" s="9" t="s">
        <v>37</v>
      </c>
      <c r="B30" s="59">
        <f>COUNTIFS(Jan!$B:$B,2142,Jan!$J:$J,4400)</f>
        <v>1</v>
      </c>
      <c r="C30" s="59">
        <v>1</v>
      </c>
      <c r="D30" s="59">
        <f>COUNTIFS(Mar!$B:$B,2142,Mar!$J:$J,4400)</f>
        <v>0</v>
      </c>
      <c r="E30" s="59">
        <f>COUNTIFS(Apr!$B:$B,2142,Apr!$J:$J,4400)</f>
        <v>0</v>
      </c>
      <c r="F30" s="59">
        <f>COUNTIFS(May!$B:$B,2142,May!$J:$J,4400)</f>
        <v>0</v>
      </c>
      <c r="G30" s="59">
        <v>2</v>
      </c>
      <c r="H30" s="59">
        <v>1</v>
      </c>
      <c r="I30" s="59">
        <f>COUNTIFS(Aug!$B:$B,2142,Aug!$J:$J,4400)</f>
        <v>0</v>
      </c>
      <c r="J30" s="59">
        <f>COUNTIFS(Sep!$B:$B,2142,Sep!$J:$J,4400)</f>
        <v>0</v>
      </c>
      <c r="K30" s="59">
        <f>COUNTIFS(Oct!$B:$B,2142,Oct!$J:$J,4400)</f>
        <v>0</v>
      </c>
      <c r="L30" s="59">
        <f>COUNTIFS(Nov!$B:$B,2142,Nov!$J:$J,4400)</f>
        <v>0</v>
      </c>
      <c r="M30" s="59">
        <v>0</v>
      </c>
    </row>
    <row r="31" spans="1:17" s="8" customFormat="1" ht="11.25" customHeight="1">
      <c r="A31" s="10" t="s">
        <v>24</v>
      </c>
      <c r="B31" s="59">
        <f>COUNTIFS(Jan!$B:$B,2142,Jan!$J:$J,30)</f>
        <v>0</v>
      </c>
      <c r="C31" s="59">
        <f>COUNTIFS(Feb!$B:$B,2142,Feb!$J:$J,30)</f>
        <v>0</v>
      </c>
      <c r="D31" s="59">
        <f>COUNTIFS(Mar!$B:$B,2142,Mar!$J:$J,30)</f>
        <v>0</v>
      </c>
      <c r="E31" s="59">
        <f>COUNTIFS(Apr!$B:$B,2142,Apr!$J:$J,30)</f>
        <v>0</v>
      </c>
      <c r="F31" s="59">
        <f>COUNTIFS(May!$B:$B,2142,May!$J:$J,30)</f>
        <v>0</v>
      </c>
      <c r="G31" s="59">
        <f>COUNTIFS(Jun!$B:$B,2142,Jun!$J:$J,30)</f>
        <v>0</v>
      </c>
      <c r="H31" s="59">
        <f>COUNTIFS(Jul!$B:$B,2142,Jul!$J:$J,30)</f>
        <v>0</v>
      </c>
      <c r="I31" s="59">
        <f>COUNTIFS(Aug!$B:$B,2142,Aug!$J:$J,30)</f>
        <v>0</v>
      </c>
      <c r="J31" s="59">
        <f>COUNTIFS(Sep!$B:$B,2142,Sep!$J:$J,30)</f>
        <v>0</v>
      </c>
      <c r="K31" s="59">
        <f>COUNTIFS(Oct!$B:$B,2142,Oct!$J:$J,30)</f>
        <v>0</v>
      </c>
      <c r="L31" s="59">
        <f>COUNTIFS(Nov!$B:$B,2142,Nov!$J:$J,30)</f>
        <v>0</v>
      </c>
      <c r="M31" s="59">
        <v>0</v>
      </c>
    </row>
    <row r="32" spans="1:17" s="14" customFormat="1" ht="11.25" customHeight="1" thickBot="1">
      <c r="A32" s="2" t="s">
        <v>140</v>
      </c>
      <c r="B32" s="60">
        <f>SUM(B25:B31)</f>
        <v>35</v>
      </c>
      <c r="C32" s="60">
        <f t="shared" ref="C32:M32" si="10">SUM(C25:C31)</f>
        <v>35</v>
      </c>
      <c r="D32" s="60">
        <f>SUM(D25:D31)</f>
        <v>21</v>
      </c>
      <c r="E32" s="60">
        <f>SUM(E25:E31)</f>
        <v>37</v>
      </c>
      <c r="F32" s="60">
        <f>SUM(F25:F31)</f>
        <v>32</v>
      </c>
      <c r="G32" s="60">
        <f>SUM(G25:G31)</f>
        <v>16</v>
      </c>
      <c r="H32" s="60">
        <f t="shared" si="10"/>
        <v>23</v>
      </c>
      <c r="I32" s="60">
        <f t="shared" si="10"/>
        <v>27</v>
      </c>
      <c r="J32" s="60">
        <f t="shared" si="10"/>
        <v>20</v>
      </c>
      <c r="K32" s="60">
        <f t="shared" si="10"/>
        <v>17</v>
      </c>
      <c r="L32" s="159">
        <f t="shared" si="10"/>
        <v>23</v>
      </c>
      <c r="M32" s="170">
        <f t="shared" si="10"/>
        <v>33</v>
      </c>
    </row>
    <row r="33" spans="1:13" ht="12" customHeight="1" thickBot="1">
      <c r="A33" s="55" t="s">
        <v>136</v>
      </c>
      <c r="B33" s="50">
        <v>41275</v>
      </c>
      <c r="C33" s="47">
        <v>41306</v>
      </c>
      <c r="D33" s="47">
        <v>41334</v>
      </c>
      <c r="E33" s="47">
        <v>41365</v>
      </c>
      <c r="F33" s="47">
        <v>41395</v>
      </c>
      <c r="G33" s="47">
        <v>41426</v>
      </c>
      <c r="H33" s="47">
        <v>41456</v>
      </c>
      <c r="I33" s="47">
        <v>41487</v>
      </c>
      <c r="J33" s="47">
        <v>41518</v>
      </c>
      <c r="K33" s="47">
        <v>41548</v>
      </c>
      <c r="L33" s="47">
        <v>41579</v>
      </c>
      <c r="M33" s="51">
        <v>41609</v>
      </c>
    </row>
    <row r="34" spans="1:13" s="8" customFormat="1" ht="11.25" customHeight="1">
      <c r="A34" s="46" t="s">
        <v>33</v>
      </c>
      <c r="B34" s="57">
        <f>COUNTIFS(Jan!$B:$B,2142,Jan!$J:$J,40)</f>
        <v>0</v>
      </c>
      <c r="C34" s="57">
        <f>COUNTIFS(Feb!$B:$B,2142,Feb!$J:$J,40)</f>
        <v>0</v>
      </c>
      <c r="D34" s="57">
        <f>COUNTIFS(Mar!$B:$B,2142,Mar!$J:$J,40)</f>
        <v>0</v>
      </c>
      <c r="E34" s="57">
        <v>1</v>
      </c>
      <c r="F34" s="57">
        <f>COUNTIFS(May!$B:$B,2142,May!$J:$J,40)</f>
        <v>0</v>
      </c>
      <c r="G34" s="57">
        <f>COUNTIFS(Jun!$B:$B,2142,Jun!$J:$J,40)</f>
        <v>0</v>
      </c>
      <c r="H34" s="57">
        <f>COUNTIFS(Jul!$B:$B,2142,Jul!$J:$J,40)</f>
        <v>0</v>
      </c>
      <c r="I34" s="57">
        <v>1</v>
      </c>
      <c r="J34" s="57">
        <v>1</v>
      </c>
      <c r="K34" s="57">
        <f>COUNTIFS(Oct!$B:$B,2142,Oct!$J:$J,40)</f>
        <v>0</v>
      </c>
      <c r="L34" s="57">
        <f>COUNTIFS(Nov!$B:$B,2142,Nov!$J:$J,40)</f>
        <v>0</v>
      </c>
      <c r="M34" s="57">
        <v>0</v>
      </c>
    </row>
    <row r="35" spans="1:13" s="8" customFormat="1" ht="11.25" customHeight="1">
      <c r="A35" s="10" t="s">
        <v>4</v>
      </c>
      <c r="B35" s="59">
        <f>COUNTIFS(Jan!$B:$B,2142,Jan!$J:$J,15)</f>
        <v>1</v>
      </c>
      <c r="C35" s="59">
        <v>2</v>
      </c>
      <c r="D35" s="59">
        <v>3</v>
      </c>
      <c r="E35" s="59">
        <v>1</v>
      </c>
      <c r="F35" s="59">
        <v>2</v>
      </c>
      <c r="G35" s="59">
        <f>COUNTIFS(Jun!$B:$B,2142,Jun!$J:$J,15)</f>
        <v>0</v>
      </c>
      <c r="H35" s="59">
        <v>3</v>
      </c>
      <c r="I35" s="59">
        <v>2</v>
      </c>
      <c r="J35" s="59">
        <v>1</v>
      </c>
      <c r="K35" s="59">
        <v>2</v>
      </c>
      <c r="L35" s="59">
        <v>2</v>
      </c>
      <c r="M35" s="59">
        <v>2</v>
      </c>
    </row>
    <row r="36" spans="1:13" s="8" customFormat="1" ht="11.25" customHeight="1">
      <c r="A36" s="10" t="s">
        <v>39</v>
      </c>
      <c r="B36" s="59">
        <f>COUNTIFS(Jan!$B:$B,2142,Jan!$J:$J,29)</f>
        <v>3</v>
      </c>
      <c r="C36" s="59">
        <v>7</v>
      </c>
      <c r="D36" s="59">
        <v>3</v>
      </c>
      <c r="E36" s="59">
        <v>2</v>
      </c>
      <c r="F36" s="59">
        <v>1</v>
      </c>
      <c r="G36" s="59">
        <v>2</v>
      </c>
      <c r="H36" s="59">
        <v>4</v>
      </c>
      <c r="I36" s="59">
        <v>5</v>
      </c>
      <c r="J36" s="59">
        <v>5</v>
      </c>
      <c r="K36" s="59">
        <v>2</v>
      </c>
      <c r="L36" s="59">
        <v>2</v>
      </c>
      <c r="M36" s="59">
        <v>0</v>
      </c>
    </row>
    <row r="37" spans="1:13" s="8" customFormat="1" ht="11.25" customHeight="1">
      <c r="A37" s="10" t="s">
        <v>3</v>
      </c>
      <c r="B37" s="59">
        <f>COUNTIFS(Jan!$B:$B,2142,Jan!$J:$J,13)</f>
        <v>0</v>
      </c>
      <c r="C37" s="59">
        <f>COUNTIFS(Feb!$B:$B,2142,Feb!$J:$J,13)</f>
        <v>0</v>
      </c>
      <c r="D37" s="59">
        <f>COUNTIFS(Mar!$B:$B,2142,Mar!$J:$J,13)</f>
        <v>0</v>
      </c>
      <c r="E37" s="59">
        <f>COUNTIFS(Apr!$B:$B,2142,Apr!$J:$J,13)</f>
        <v>0</v>
      </c>
      <c r="F37" s="59">
        <f>COUNTIFS(May!$B:$B,2142,May!$J:$J,13)</f>
        <v>0</v>
      </c>
      <c r="G37" s="59">
        <f>COUNTIFS(Jun!$B:$B,2142,Jun!$J:$J,13)</f>
        <v>0</v>
      </c>
      <c r="H37" s="59">
        <f>COUNTIFS(Jul!$B:$B,2142,Jul!$J:$J,13)</f>
        <v>0</v>
      </c>
      <c r="I37" s="59">
        <f>COUNTIFS(Aug!$B:$B,2142,Aug!$J:$J,13)</f>
        <v>0</v>
      </c>
      <c r="J37" s="59">
        <f>COUNTIFS(Sep!$B:$B,2142,Sep!$J:$J,13)</f>
        <v>0</v>
      </c>
      <c r="K37" s="59">
        <f>COUNTIFS(Oct!$B:$B,2142,Oct!$J:$J,13)</f>
        <v>0</v>
      </c>
      <c r="L37" s="59">
        <f>COUNTIFS(Nov!$B:$B,2142,Nov!$J:$J,13)</f>
        <v>0</v>
      </c>
      <c r="M37" s="59">
        <v>0</v>
      </c>
    </row>
    <row r="38" spans="1:13" s="8" customFormat="1" ht="11.25" customHeight="1">
      <c r="A38" s="9" t="s">
        <v>218</v>
      </c>
      <c r="B38" s="59">
        <f>COUNTIFS(Jan!$B:$B,2142,Jan!$J:$J,43)</f>
        <v>0</v>
      </c>
      <c r="C38" s="59">
        <f>COUNTIFS(Feb!$B:$B,2142,Feb!$J:$J,43)</f>
        <v>0</v>
      </c>
      <c r="D38" s="59">
        <f>COUNTIFS(Mar!$B:$B,2142,Mar!$J:$J,43)</f>
        <v>0</v>
      </c>
      <c r="E38" s="59">
        <f>COUNTIFS(Apr!$B:$B,2142,Apr!$J:$J,43)</f>
        <v>0</v>
      </c>
      <c r="F38" s="59">
        <f>COUNTIFS(May!$B:$B,2142,May!$J:$J,43)</f>
        <v>0</v>
      </c>
      <c r="G38" s="59">
        <v>1</v>
      </c>
      <c r="H38" s="59">
        <f>COUNTIFS(Jul!$B:$B,2142,Jul!$J:$J,43)</f>
        <v>0</v>
      </c>
      <c r="I38" s="59">
        <f>COUNTIFS(Aug!$B:$B,2142,Aug!$J:$J,43)</f>
        <v>0</v>
      </c>
      <c r="J38" s="59">
        <v>1</v>
      </c>
      <c r="K38" s="59">
        <f>COUNTIFS(Oct!$B:$B,2142,Oct!$J:$J,43)</f>
        <v>0</v>
      </c>
      <c r="L38" s="59">
        <f>COUNTIFS(Nov!$B:$B,2142,Nov!$J:$J,43)</f>
        <v>0</v>
      </c>
      <c r="M38" s="59">
        <v>1</v>
      </c>
    </row>
    <row r="39" spans="1:13" s="8" customFormat="1" ht="11.25" customHeight="1">
      <c r="A39" s="10" t="s">
        <v>25</v>
      </c>
      <c r="B39" s="59">
        <f>COUNTIFS(Jan!$B:$B,2142,Jan!$J:$J,24)</f>
        <v>3</v>
      </c>
      <c r="C39" s="59">
        <v>7</v>
      </c>
      <c r="D39" s="59">
        <v>5</v>
      </c>
      <c r="E39" s="59">
        <v>6</v>
      </c>
      <c r="F39" s="59">
        <v>3</v>
      </c>
      <c r="G39" s="59">
        <v>6</v>
      </c>
      <c r="H39" s="59">
        <v>2</v>
      </c>
      <c r="I39" s="59">
        <v>5</v>
      </c>
      <c r="J39" s="59">
        <v>5</v>
      </c>
      <c r="K39" s="59">
        <v>6</v>
      </c>
      <c r="L39" s="59">
        <v>6</v>
      </c>
      <c r="M39" s="59">
        <v>4</v>
      </c>
    </row>
    <row r="40" spans="1:13" s="8" customFormat="1" ht="11.25" customHeight="1">
      <c r="A40" s="10" t="s">
        <v>34</v>
      </c>
      <c r="B40" s="59">
        <f>COUNTIFS(Jan!$B:$B,2142,Jan!$J:$J,9)</f>
        <v>0</v>
      </c>
      <c r="C40" s="59">
        <f>COUNTIFS(Feb!$B:$B,2142,Feb!$J:$J,9)</f>
        <v>0</v>
      </c>
      <c r="D40" s="59">
        <f>COUNTIFS(Mar!$B:$B,2142,Mar!$J:$J,9)</f>
        <v>0</v>
      </c>
      <c r="E40" s="59">
        <f>COUNTIFS(Apr!$B:$B,2142,Apr!$J:$J,9)</f>
        <v>0</v>
      </c>
      <c r="F40" s="59">
        <f>COUNTIFS(May!$B:$B,2142,May!$J:$J,9)</f>
        <v>0</v>
      </c>
      <c r="G40" s="59">
        <v>1</v>
      </c>
      <c r="H40" s="59">
        <f>COUNTIFS(Jul!$B:$B,2142,Jul!$J:$J,9)</f>
        <v>0</v>
      </c>
      <c r="I40" s="59">
        <f>COUNTIFS(Aug!$B:$B,2142,Aug!$J:$J,9)</f>
        <v>0</v>
      </c>
      <c r="J40" s="59">
        <f>COUNTIFS(Sep!$B:$B,2142,Sep!$J:$J,9)</f>
        <v>0</v>
      </c>
      <c r="K40" s="59">
        <f>COUNTIFS(Oct!$B:$B,2142,Oct!$J:$J,9)</f>
        <v>0</v>
      </c>
      <c r="L40" s="59">
        <f>COUNTIFS(Nov!$B:$B,2142,Nov!$J:$J,9)</f>
        <v>0</v>
      </c>
      <c r="M40" s="59">
        <v>0</v>
      </c>
    </row>
    <row r="41" spans="1:13" s="8" customFormat="1" ht="11.25" customHeight="1">
      <c r="A41" s="10" t="s">
        <v>31</v>
      </c>
      <c r="B41" s="59">
        <f>COUNTIFS(Jan!$B:$B,2142,Jan!$J:$J,10)</f>
        <v>0</v>
      </c>
      <c r="C41" s="59">
        <v>1</v>
      </c>
      <c r="D41" s="59">
        <v>2</v>
      </c>
      <c r="E41" s="59">
        <v>1</v>
      </c>
      <c r="F41" s="59">
        <f>COUNTIFS(May!$B:$B,2142,May!$J:$J,10)</f>
        <v>0</v>
      </c>
      <c r="G41" s="59">
        <f>COUNTIFS(Jun!$B:$B,2142,Jun!$J:$J,10)</f>
        <v>0</v>
      </c>
      <c r="H41" s="59">
        <v>4</v>
      </c>
      <c r="I41" s="59">
        <v>4</v>
      </c>
      <c r="J41" s="59">
        <v>1</v>
      </c>
      <c r="K41" s="59">
        <f>COUNTIFS(Oct!$B:$B,2142,Oct!$J:$J,10)</f>
        <v>0</v>
      </c>
      <c r="L41" s="59">
        <v>1</v>
      </c>
      <c r="M41" s="59">
        <v>0</v>
      </c>
    </row>
    <row r="42" spans="1:13" s="8" customFormat="1" ht="11.25" customHeight="1">
      <c r="A42" s="10" t="s">
        <v>144</v>
      </c>
      <c r="B42" s="59">
        <f>COUNTIFS(Jan!$B:$B,2142,Jan!$F:$F,462)</f>
        <v>0</v>
      </c>
      <c r="C42" s="59">
        <f>COUNTIFS(Feb!$B:$B,2142,Feb!$F:$F,462)</f>
        <v>0</v>
      </c>
      <c r="D42" s="59">
        <f>COUNTIFS(Mar!$B:$B,2142,Mar!$F:$F,462)</f>
        <v>0</v>
      </c>
      <c r="E42" s="59">
        <f>COUNTIFS(Apr!$B:$B,2142,Apr!$F:$F,462)</f>
        <v>0</v>
      </c>
      <c r="F42" s="59">
        <f>COUNTIFS(May!$B:$B,2142,May!$F:$F,462)</f>
        <v>0</v>
      </c>
      <c r="G42" s="59">
        <f>COUNTIFS(Jun!$B:$B,2142,Jun!$F:$F,462)</f>
        <v>0</v>
      </c>
      <c r="H42" s="59">
        <f>COUNTIFS(Jul!$B:$B,2142,Jul!$F:$F,462)</f>
        <v>0</v>
      </c>
      <c r="I42" s="59">
        <f>COUNTIFS(Aug!$B:$B,2142,Aug!$F:$F,462)</f>
        <v>0</v>
      </c>
      <c r="J42" s="59">
        <f>COUNTIFS(Sep!$B:$B,2142,Sep!$F:$F,462)</f>
        <v>0</v>
      </c>
      <c r="K42" s="59">
        <f>COUNTIFS(Oct!$B:$B,2142,Oct!$F:$F,462)</f>
        <v>0</v>
      </c>
      <c r="L42" s="59">
        <f>COUNTIFS(Nov!$B:$B,2142,Nov!$F:$F,462)</f>
        <v>0</v>
      </c>
      <c r="M42" s="59">
        <v>0</v>
      </c>
    </row>
    <row r="43" spans="1:13" s="8" customFormat="1" ht="11.25" customHeight="1">
      <c r="A43" s="10" t="s">
        <v>1</v>
      </c>
      <c r="B43" s="59">
        <f>COUNTIFS(Jan!$B:$B,2142,Jan!$J:$J,11)</f>
        <v>11</v>
      </c>
      <c r="C43" s="59">
        <v>7</v>
      </c>
      <c r="D43" s="59">
        <v>6</v>
      </c>
      <c r="E43" s="59">
        <v>5</v>
      </c>
      <c r="F43" s="59">
        <v>12</v>
      </c>
      <c r="G43" s="59">
        <v>5</v>
      </c>
      <c r="H43" s="59">
        <v>8</v>
      </c>
      <c r="I43" s="59">
        <v>11</v>
      </c>
      <c r="J43" s="59">
        <v>3</v>
      </c>
      <c r="K43" s="59">
        <v>9</v>
      </c>
      <c r="L43" s="59">
        <v>2</v>
      </c>
      <c r="M43" s="59">
        <v>7</v>
      </c>
    </row>
    <row r="44" spans="1:13" s="8" customFormat="1" ht="11.25" customHeight="1">
      <c r="A44" s="10" t="s">
        <v>26</v>
      </c>
      <c r="B44" s="59">
        <f>COUNTIFS(Jan!$B:$B,2142,Jan!$J:$J,20)</f>
        <v>0</v>
      </c>
      <c r="C44" s="59">
        <f>COUNTIFS(Feb!$B:$B,2142,Feb!$J:$J,20)</f>
        <v>0</v>
      </c>
      <c r="D44" s="59">
        <f>COUNTIFS(Mar!$B:$B,2142,Mar!$J:$J,20)</f>
        <v>0</v>
      </c>
      <c r="E44" s="59">
        <f>COUNTIFS(Apr!$B:$B,2142,Apr!$J:$J,20)</f>
        <v>0</v>
      </c>
      <c r="F44" s="59">
        <f>COUNTIFS(May!$B:$B,2142,May!$J:$J,20)</f>
        <v>0</v>
      </c>
      <c r="G44" s="59">
        <f>COUNTIFS(Jun!$B:$B,2142,Jun!$J:$J,20)</f>
        <v>0</v>
      </c>
      <c r="H44" s="59">
        <f>COUNTIFS(Jul!$B:$B,2142,Jul!$J:$J,20)</f>
        <v>0</v>
      </c>
      <c r="I44" s="59">
        <f>COUNTIFS(Aug!$B:$B,2142,Aug!$J:$J,20)</f>
        <v>0</v>
      </c>
      <c r="J44" s="59">
        <v>1</v>
      </c>
      <c r="K44" s="59">
        <f>COUNTIFS(Oct!$B:$B,2142,Oct!$J:$J,20)</f>
        <v>0</v>
      </c>
      <c r="L44" s="59">
        <f>COUNTIFS(Nov!$B:$B,2142,Nov!$J:$J,20)</f>
        <v>0</v>
      </c>
      <c r="M44" s="59">
        <v>1</v>
      </c>
    </row>
    <row r="45" spans="1:13" s="8" customFormat="1" ht="11.25" customHeight="1">
      <c r="A45" s="10" t="s">
        <v>32</v>
      </c>
      <c r="B45" s="59">
        <f>COUNTIFS(Jan!$B:$B,2142,Jan!$J:$J,2)</f>
        <v>7</v>
      </c>
      <c r="C45" s="59">
        <v>5</v>
      </c>
      <c r="D45" s="59">
        <v>11</v>
      </c>
      <c r="E45" s="59">
        <v>1</v>
      </c>
      <c r="F45" s="59">
        <v>5</v>
      </c>
      <c r="G45" s="59">
        <v>6</v>
      </c>
      <c r="H45" s="59">
        <v>6</v>
      </c>
      <c r="I45" s="59">
        <v>10</v>
      </c>
      <c r="J45" s="59">
        <v>5</v>
      </c>
      <c r="K45" s="59">
        <v>4</v>
      </c>
      <c r="L45" s="59">
        <v>5</v>
      </c>
      <c r="M45" s="59">
        <v>5</v>
      </c>
    </row>
    <row r="46" spans="1:13" s="8" customFormat="1" ht="11.25" customHeight="1">
      <c r="A46" s="10" t="s">
        <v>28</v>
      </c>
      <c r="B46" s="59">
        <f>COUNTIFS(Jan!$B:$B,2142,Jan!$J:$J,1700)+COUNTIFS(Jan!$B:$B,2142,Jan!$F:$F,1700)+COUNTIFS(Jan!$B:$B,2142,Jan!$J:$J,19)</f>
        <v>0</v>
      </c>
      <c r="C46" s="59">
        <f>COUNTIFS(Feb!$B:$B,2142,Feb!$J:$J,1700)+COUNTIFS(Feb!$B:$B,2142,Feb!$F:$F,1700)+COUNTIFS(Feb!$B:$B,2142,Feb!$J:$J,19)</f>
        <v>0</v>
      </c>
      <c r="D46" s="59">
        <f>COUNTIFS(Mar!$B:$B,2142,Mar!$J:$J,1700)+COUNTIFS(Mar!$B:$B,2142,Mar!$F:$F,1700)+COUNTIFS(Mar!$B:$B,2142,Mar!$J:$J,19)</f>
        <v>0</v>
      </c>
      <c r="E46" s="59">
        <f>COUNTIFS(Apr!$B:$B,2142,Apr!$J:$J,1700)+COUNTIFS(Apr!$B:$B,2142,Apr!$F:$F,1700)+COUNTIFS(Apr!$B:$B,2142,Apr!$J:$J,19)</f>
        <v>0</v>
      </c>
      <c r="F46" s="59">
        <f>COUNTIFS(May!$B:$B,2142,May!$J:$J,1700)+COUNTIFS(May!$B:$B,2142,May!$F:$F,1700)+COUNTIFS(May!$B:$B,2142,May!$J:$J,19)</f>
        <v>0</v>
      </c>
      <c r="G46" s="59">
        <f>COUNTIFS(Jun!$B:$B,2142,Jun!$J:$J,1700)+COUNTIFS(Jun!$B:$B,2142,Jun!$F:$F,1700)+COUNTIFS(Jun!$B:$B,2142,Jun!$J:$J,19)</f>
        <v>0</v>
      </c>
      <c r="H46" s="59">
        <f>COUNTIFS(Jul!$B:$B,2142,Jul!$J:$J,1700)+COUNTIFS(Jul!$B:$B,2142,Jul!$F:$F,1700)+COUNTIFS(Jul!$B:$B,2142,Jul!$J:$J,19)</f>
        <v>0</v>
      </c>
      <c r="I46" s="59">
        <f>COUNTIFS(Aug!$B:$B,2142,Aug!$J:$J,1700)+COUNTIFS(Aug!$B:$B,2142,Aug!$F:$F,1700)+COUNTIFS(Aug!$B:$B,2142,Aug!$J:$J,19)</f>
        <v>0</v>
      </c>
      <c r="J46" s="59">
        <f>COUNTIFS(Sep!$B:$B,2142,Sep!$J:$J,1700)+COUNTIFS(Sep!$B:$B,2142,Sep!$F:$F,1700)+COUNTIFS(Sep!$B:$B,2142,Sep!$J:$J,19)</f>
        <v>0</v>
      </c>
      <c r="K46" s="59">
        <f>COUNTIFS(Oct!$B:$B,2142,Oct!$J:$J,1700)+COUNTIFS(Oct!$B:$B,2142,Oct!$F:$F,1700)+COUNTIFS(Oct!$B:$B,2142,Oct!$J:$J,19)</f>
        <v>0</v>
      </c>
      <c r="L46" s="59">
        <v>1</v>
      </c>
      <c r="M46" s="59">
        <v>1</v>
      </c>
    </row>
    <row r="47" spans="1:13" s="8" customFormat="1" ht="11.25" customHeight="1">
      <c r="A47" s="10" t="s">
        <v>0</v>
      </c>
      <c r="B47" s="59">
        <f>COUNTIFS(Jan!$B:$B,2142,Jan!$J:$J,3)</f>
        <v>3</v>
      </c>
      <c r="C47" s="59">
        <v>1</v>
      </c>
      <c r="D47" s="59">
        <f>COUNTIFS(Mar!$B:$B,2142,Mar!$J:$J,3)</f>
        <v>0</v>
      </c>
      <c r="E47" s="59">
        <v>2</v>
      </c>
      <c r="F47" s="59">
        <v>1</v>
      </c>
      <c r="G47" s="59">
        <v>1</v>
      </c>
      <c r="H47" s="59">
        <v>1</v>
      </c>
      <c r="I47" s="59">
        <v>3</v>
      </c>
      <c r="J47" s="59">
        <v>1</v>
      </c>
      <c r="K47" s="59">
        <v>2</v>
      </c>
      <c r="L47" s="59">
        <v>1</v>
      </c>
      <c r="M47" s="59">
        <v>0</v>
      </c>
    </row>
    <row r="48" spans="1:13" s="8" customFormat="1" ht="11.25" customHeight="1">
      <c r="A48" s="10" t="s">
        <v>35</v>
      </c>
      <c r="B48" s="59">
        <f>COUNTIFS(Jan!$B:$B,2142,Jan!$J:$J,7400)</f>
        <v>0</v>
      </c>
      <c r="C48" s="59">
        <f>COUNTIFS(Feb!$B:$B,2142,Feb!$J:$J,7400)</f>
        <v>0</v>
      </c>
      <c r="D48" s="59">
        <f>COUNTIFS(Mar!$B:$B,2142,Mar!$J:$J,7400)</f>
        <v>0</v>
      </c>
      <c r="E48" s="59">
        <f>COUNTIFS(Apr!$B:$B,2142,Apr!$J:$J,7400)</f>
        <v>0</v>
      </c>
      <c r="F48" s="59">
        <f>COUNTIFS(May!$B:$B,2142,May!$J:$J,7400)</f>
        <v>0</v>
      </c>
      <c r="G48" s="59">
        <v>1</v>
      </c>
      <c r="H48" s="59">
        <f>COUNTIFS(Jul!$B:$B,2142,Jul!$J:$J,7400)</f>
        <v>0</v>
      </c>
      <c r="I48" s="59">
        <f>COUNTIFS(Aug!$B:$B,2142,Aug!$J:$J,7400)</f>
        <v>0</v>
      </c>
      <c r="J48" s="59">
        <f>COUNTIFS(Sep!$B:$B,2142,Sep!$J:$J,7400)</f>
        <v>0</v>
      </c>
      <c r="K48" s="59">
        <f>COUNTIFS(Oct!$B:$B,2142,Oct!$J:$J,7400)</f>
        <v>0</v>
      </c>
      <c r="L48" s="59">
        <f>COUNTIFS(Nov!$B:$B,2142,Nov!$J:$J,7400)</f>
        <v>0</v>
      </c>
      <c r="M48" s="59">
        <v>0</v>
      </c>
    </row>
    <row r="49" spans="1:13" s="8" customFormat="1" ht="11.25" customHeight="1">
      <c r="A49" s="10" t="s">
        <v>2</v>
      </c>
      <c r="B49" s="59">
        <f>COUNTIFS(Jan!$B:$B,2142,Jan!$J:$J,14)</f>
        <v>1</v>
      </c>
      <c r="C49" s="59">
        <v>1</v>
      </c>
      <c r="D49" s="59">
        <v>1</v>
      </c>
      <c r="E49" s="59">
        <v>2</v>
      </c>
      <c r="F49" s="59">
        <f>COUNTIFS(May!$B:$B,2142,May!$J:$J,14)</f>
        <v>0</v>
      </c>
      <c r="G49" s="59">
        <f>COUNTIFS(Jun!$B:$B,2142,Jun!$J:$J,14)</f>
        <v>0</v>
      </c>
      <c r="H49" s="59">
        <f>COUNTIFS(Jul!$B:$B,2142,Jul!$J:$J,14)</f>
        <v>0</v>
      </c>
      <c r="I49" s="59">
        <v>1</v>
      </c>
      <c r="J49" s="59">
        <f>COUNTIFS(Sep!$B:$B,2142,Sep!$J:$J,14)</f>
        <v>0</v>
      </c>
      <c r="K49" s="59">
        <f>COUNTIFS(Oct!$B:$B,2142,Oct!$J:$J,14)</f>
        <v>0</v>
      </c>
      <c r="L49" s="59">
        <f>COUNTIFS(Nov!$B:$B,2142,Nov!$J:$J,14)</f>
        <v>0</v>
      </c>
      <c r="M49" s="59">
        <v>0</v>
      </c>
    </row>
    <row r="50" spans="1:13" s="8" customFormat="1" ht="11.25" customHeight="1">
      <c r="A50" s="10" t="s">
        <v>142</v>
      </c>
      <c r="B50" s="59">
        <f>COUNTIFS(Jan!$B:$B,2142,Jan!$F:$F,466)</f>
        <v>0</v>
      </c>
      <c r="C50" s="59">
        <f>COUNTIFS(Feb!$B:$B,2142,Feb!$F:$F,466)</f>
        <v>0</v>
      </c>
      <c r="D50" s="59">
        <f>COUNTIFS(Mar!$B:$B,2142,Mar!$F:$F,466)</f>
        <v>0</v>
      </c>
      <c r="E50" s="59">
        <f>COUNTIFS(Apr!$B:$B,2142,Apr!$F:$F,466)</f>
        <v>0</v>
      </c>
      <c r="F50" s="59">
        <f>COUNTIFS(May!$B:$B,2142,May!$F:$F,466)</f>
        <v>0</v>
      </c>
      <c r="G50" s="59">
        <f>COUNTIFS(Jun!$B:$B,2142,Jun!$F:$F,466)</f>
        <v>0</v>
      </c>
      <c r="H50" s="59">
        <f>COUNTIFS(Jul!$B:$B,2142,Jul!$F:$F,466)</f>
        <v>0</v>
      </c>
      <c r="I50" s="59">
        <f>COUNTIFS(Aug!$B:$B,2142,Aug!$F:$F,466)</f>
        <v>0</v>
      </c>
      <c r="J50" s="59">
        <f>COUNTIFS(Sep!$B:$B,2142,Sep!$F:$F,466)</f>
        <v>0</v>
      </c>
      <c r="K50" s="59">
        <f>COUNTIFS(Oct!$B:$B,2142,Oct!$F:$F,466)</f>
        <v>0</v>
      </c>
      <c r="L50" s="59">
        <f>COUNTIFS(Nov!$B:$B,2142,Nov!$F:$F,466)</f>
        <v>0</v>
      </c>
      <c r="M50" s="59">
        <v>0</v>
      </c>
    </row>
    <row r="51" spans="1:13" s="8" customFormat="1" ht="11.25" customHeight="1">
      <c r="A51" s="10" t="s">
        <v>27</v>
      </c>
      <c r="B51" s="59">
        <f>COUNTIFS(Jan!$B:$B,2142,Jan!$J:$J,25)</f>
        <v>0</v>
      </c>
      <c r="C51" s="59">
        <f>COUNTIFS(Feb!$B:$B,2142,Feb!$J:$J,25)</f>
        <v>0</v>
      </c>
      <c r="D51" s="59">
        <f>COUNTIFS(Mar!$B:$B,2142,Mar!$J:$J,25)</f>
        <v>0</v>
      </c>
      <c r="E51" s="59">
        <f>COUNTIFS(Apr!$B:$B,2142,Apr!$J:$J,25)</f>
        <v>0</v>
      </c>
      <c r="F51" s="59">
        <f>COUNTIFS(May!$B:$B,2142,May!$J:$J,25)</f>
        <v>0</v>
      </c>
      <c r="G51" s="59">
        <f>COUNTIFS(Jun!$B:$B,2142,Jun!$J:$J,25)</f>
        <v>0</v>
      </c>
      <c r="H51" s="59">
        <f>COUNTIFS(Jul!$B:$B,2142,Jul!$J:$J,25)</f>
        <v>0</v>
      </c>
      <c r="I51" s="59">
        <f>COUNTIFS(Aug!$B:$B,2142,Aug!$J:$J,25)</f>
        <v>0</v>
      </c>
      <c r="J51" s="59">
        <f>COUNTIFS(Sep!$B:$B,2142,Sep!$J:$J,25)</f>
        <v>0</v>
      </c>
      <c r="K51" s="59">
        <f>COUNTIFS(Oct!$B:$B,2142,Oct!$J:$J,25)</f>
        <v>0</v>
      </c>
      <c r="L51" s="59">
        <f>COUNTIFS(Nov!$B:$B,2142,Nov!$J:$J,25)</f>
        <v>0</v>
      </c>
      <c r="M51" s="59">
        <v>0</v>
      </c>
    </row>
    <row r="52" spans="1:13" s="8" customFormat="1" ht="11.25" customHeight="1" thickBot="1">
      <c r="A52" s="11" t="s">
        <v>16</v>
      </c>
      <c r="B52" s="60">
        <f>SUM(B34:B51)</f>
        <v>29</v>
      </c>
      <c r="C52" s="60">
        <f t="shared" ref="C52:M52" si="11">SUM(C34:C51)</f>
        <v>31</v>
      </c>
      <c r="D52" s="60">
        <f>SUM(D34:D51)</f>
        <v>31</v>
      </c>
      <c r="E52" s="60">
        <f>SUM(E34:E51)</f>
        <v>21</v>
      </c>
      <c r="F52" s="60">
        <f>SUM(F34:F51)</f>
        <v>24</v>
      </c>
      <c r="G52" s="60">
        <f>SUM(G34:G51)</f>
        <v>23</v>
      </c>
      <c r="H52" s="60">
        <f t="shared" si="11"/>
        <v>28</v>
      </c>
      <c r="I52" s="60">
        <f t="shared" si="11"/>
        <v>42</v>
      </c>
      <c r="J52" s="60">
        <f t="shared" si="11"/>
        <v>24</v>
      </c>
      <c r="K52" s="60">
        <f t="shared" si="11"/>
        <v>25</v>
      </c>
      <c r="L52" s="159">
        <f t="shared" si="11"/>
        <v>20</v>
      </c>
      <c r="M52" s="170">
        <f t="shared" si="11"/>
        <v>21</v>
      </c>
    </row>
    <row r="53" spans="1:13" ht="12" customHeight="1" thickBot="1">
      <c r="A53" s="55" t="s">
        <v>137</v>
      </c>
      <c r="B53" s="50">
        <v>41275</v>
      </c>
      <c r="C53" s="47">
        <v>41306</v>
      </c>
      <c r="D53" s="47">
        <v>41334</v>
      </c>
      <c r="E53" s="47">
        <v>41365</v>
      </c>
      <c r="F53" s="47">
        <v>41395</v>
      </c>
      <c r="G53" s="47">
        <v>41426</v>
      </c>
      <c r="H53" s="47">
        <v>41456</v>
      </c>
      <c r="I53" s="47">
        <v>41487</v>
      </c>
      <c r="J53" s="47">
        <v>41518</v>
      </c>
      <c r="K53" s="47">
        <v>41548</v>
      </c>
      <c r="L53" s="47">
        <v>41579</v>
      </c>
      <c r="M53" s="51">
        <v>41609</v>
      </c>
    </row>
    <row r="54" spans="1:13" s="8" customFormat="1" ht="11.25" customHeight="1">
      <c r="A54" s="10" t="s">
        <v>30</v>
      </c>
      <c r="B54" s="57">
        <f>COUNTIFS(Jan!$B:$B,2142,Jan!$J:$J,7)</f>
        <v>1</v>
      </c>
      <c r="C54" s="57">
        <v>1</v>
      </c>
      <c r="D54" s="57">
        <f>COUNTIFS(Mar!$B:$B,2142,Mar!$J:$J,7)</f>
        <v>0</v>
      </c>
      <c r="E54" s="57">
        <f>COUNTIFS(Apr!$B:$B,2142,Apr!$J:$J,7)</f>
        <v>0</v>
      </c>
      <c r="F54" s="57">
        <f>COUNTIFS(May!$B:$B,2142,May!$J:$J,7)</f>
        <v>0</v>
      </c>
      <c r="G54" s="57">
        <v>1</v>
      </c>
      <c r="H54" s="57">
        <v>1</v>
      </c>
      <c r="I54" s="57">
        <v>1</v>
      </c>
      <c r="J54" s="57">
        <v>1</v>
      </c>
      <c r="K54" s="57">
        <f>COUNTIFS(Oct!$B:$B,2142,Oct!$J:$J,7)</f>
        <v>0</v>
      </c>
      <c r="L54" s="57">
        <v>1</v>
      </c>
      <c r="M54" s="57">
        <v>0</v>
      </c>
    </row>
    <row r="55" spans="1:13" s="8" customFormat="1" ht="11.25" customHeight="1">
      <c r="A55" s="10" t="s">
        <v>29</v>
      </c>
      <c r="B55" s="59">
        <f>COUNTIFS(Jan!$B:$B,2142,Jan!$J:$J,8)</f>
        <v>0</v>
      </c>
      <c r="C55" s="59">
        <f>COUNTIFS(Feb!$B:$B,2142,Feb!$J:$J,8)</f>
        <v>0</v>
      </c>
      <c r="D55" s="59">
        <f>COUNTIFS(Mar!$B:$B,2142,Mar!$J:$J,8)</f>
        <v>0</v>
      </c>
      <c r="E55" s="59">
        <f>COUNTIFS(Apr!$B:$B,2142,Apr!$J:$J,8)</f>
        <v>0</v>
      </c>
      <c r="F55" s="59">
        <f>COUNTIFS(May!$B:$B,2142,May!$J:$J,8)</f>
        <v>0</v>
      </c>
      <c r="G55" s="59">
        <f>COUNTIFS(Jun!$B:$B,2142,Jun!$J:$J,8)</f>
        <v>0</v>
      </c>
      <c r="H55" s="59">
        <f>COUNTIFS(Jul!$B:$B,2142,Jul!$J:$J,8)</f>
        <v>0</v>
      </c>
      <c r="I55" s="59">
        <f>COUNTIFS(Aug!$B:$B,2142,Aug!$J:$J,8)</f>
        <v>0</v>
      </c>
      <c r="J55" s="59">
        <f>COUNTIFS(Sep!$B:$B,2142,Sep!$J:$J,8)</f>
        <v>0</v>
      </c>
      <c r="K55" s="59">
        <f>COUNTIFS(Oct!$B:$B,2142,Oct!$J:$J,8)</f>
        <v>0</v>
      </c>
      <c r="L55" s="59">
        <f>COUNTIFS(Nov!$B:$B,2142,Nov!$J:$J,8)</f>
        <v>0</v>
      </c>
      <c r="M55" s="59">
        <v>0</v>
      </c>
    </row>
    <row r="56" spans="1:13" s="8" customFormat="1" ht="11.25" customHeight="1">
      <c r="A56" s="10" t="s">
        <v>7</v>
      </c>
      <c r="B56" s="59">
        <f>COUNTIFS(Jan!$B:$B,2142,Jan!$J:$J,12)</f>
        <v>2</v>
      </c>
      <c r="C56" s="59">
        <f>COUNTIFS(Feb!$B:$B,2142,Feb!$J:$J,12)</f>
        <v>0</v>
      </c>
      <c r="D56" s="59">
        <f>COUNTIFS(Mar!$B:$B,2142,Mar!$J:$J,12)</f>
        <v>0</v>
      </c>
      <c r="E56" s="59">
        <v>2</v>
      </c>
      <c r="F56" s="59">
        <v>2</v>
      </c>
      <c r="G56" s="59">
        <v>2</v>
      </c>
      <c r="H56" s="59">
        <v>2</v>
      </c>
      <c r="I56" s="59">
        <v>1</v>
      </c>
      <c r="J56" s="59">
        <v>5</v>
      </c>
      <c r="K56" s="59">
        <v>1</v>
      </c>
      <c r="L56" s="59">
        <v>4</v>
      </c>
      <c r="M56" s="59">
        <v>7</v>
      </c>
    </row>
    <row r="57" spans="1:13" s="8" customFormat="1" ht="11.25" customHeight="1">
      <c r="A57" s="10" t="s">
        <v>10</v>
      </c>
      <c r="B57" s="59">
        <f>COUNTIFS(Jan!$B:$B,2142,Jan!$J:$J,5100)</f>
        <v>0</v>
      </c>
      <c r="C57" s="59">
        <f>COUNTIFS(Feb!$B:$B,2142,Feb!$J:$J,5100)</f>
        <v>0</v>
      </c>
      <c r="D57" s="59">
        <f>COUNTIFS(Mar!$B:$B,2142,Mar!$J:$J,5100)</f>
        <v>0</v>
      </c>
      <c r="E57" s="59">
        <f>COUNTIFS(Apr!$B:$B,2142,Apr!$J:$J,5100)</f>
        <v>0</v>
      </c>
      <c r="F57" s="59">
        <f>COUNTIFS(May!$B:$B,2142,May!$J:$J,5100)</f>
        <v>0</v>
      </c>
      <c r="G57" s="59">
        <f>COUNTIFS(Jun!$B:$B,2142,Jun!$J:$J,5100)</f>
        <v>0</v>
      </c>
      <c r="H57" s="59">
        <v>1</v>
      </c>
      <c r="I57" s="59">
        <f>COUNTIFS(Aug!$B:$B,2142,Aug!$J:$J,5100)</f>
        <v>0</v>
      </c>
      <c r="J57" s="59">
        <f>COUNTIFS(Sep!$B:$B,2142,Sep!$J:$J,5100)</f>
        <v>0</v>
      </c>
      <c r="K57" s="59">
        <f>COUNTIFS(Oct!$B:$B,2142,Oct!$J:$J,5100)</f>
        <v>0</v>
      </c>
      <c r="L57" s="59">
        <f>COUNTIFS(Nov!$B:$B,2142,Nov!$J:$J,5100)</f>
        <v>0</v>
      </c>
      <c r="M57" s="59">
        <v>0</v>
      </c>
    </row>
    <row r="58" spans="1:13" s="8" customFormat="1" ht="11.25" customHeight="1">
      <c r="A58" s="10" t="s">
        <v>36</v>
      </c>
      <c r="B58" s="59">
        <f>COUNTIFS(Jan!$B:$B,2142,Jan!$J:$J,6200)</f>
        <v>1</v>
      </c>
      <c r="C58" s="59">
        <f>COUNTIFS(Feb!$B:$B,2142,Feb!$J:$J,6200)</f>
        <v>0</v>
      </c>
      <c r="D58" s="59">
        <f>COUNTIFS(Mar!$B:$B,2142,Mar!$J:$J,6200)</f>
        <v>0</v>
      </c>
      <c r="E58" s="59">
        <f>COUNTIFS(Apr!$B:$B,2142,Apr!$J:$J,6200)</f>
        <v>0</v>
      </c>
      <c r="F58" s="59">
        <f>COUNTIFS(May!$B:$B,2142,May!$J:$J,6200)</f>
        <v>0</v>
      </c>
      <c r="G58" s="59">
        <v>1</v>
      </c>
      <c r="H58" s="59">
        <f>COUNTIFS(Jul!$B:$B,2142,Jul!$J:$J,6200)</f>
        <v>0</v>
      </c>
      <c r="I58" s="59">
        <f>COUNTIFS(Aug!$B:$B,2142,Aug!$J:$J,6200)</f>
        <v>0</v>
      </c>
      <c r="J58" s="59">
        <f>COUNTIFS(Sep!$B:$B,2142,Sep!$J:$J,6200)</f>
        <v>0</v>
      </c>
      <c r="K58" s="59">
        <f>COUNTIFS(Oct!$B:$B,2142,Oct!$J:$J,6200)</f>
        <v>0</v>
      </c>
      <c r="L58" s="59">
        <f>COUNTIFS(Nov!$B:$B,2142,Nov!$J:$J,6200)</f>
        <v>0</v>
      </c>
      <c r="M58" s="59">
        <v>0</v>
      </c>
    </row>
    <row r="59" spans="1:13" s="8" customFormat="1" ht="11.25" customHeight="1">
      <c r="A59" s="10" t="s">
        <v>145</v>
      </c>
      <c r="B59" s="59">
        <f>COUNTIFS(Jan!$B:$B,2142,Jan!$J:$J,28)</f>
        <v>0</v>
      </c>
      <c r="C59" s="59">
        <f>COUNTIFS(Feb!$B:$B,2142,Feb!$J:$J,28)</f>
        <v>0</v>
      </c>
      <c r="D59" s="59">
        <f>COUNTIFS(Mar!$B:$B,2142,Mar!$J:$J,28)</f>
        <v>0</v>
      </c>
      <c r="E59" s="59">
        <f>COUNTIFS(Apr!$B:$B,2142,Apr!$J:$J,28)</f>
        <v>0</v>
      </c>
      <c r="F59" s="59">
        <f>COUNTIFS(May!$B:$B,2142,May!$J:$J,28)</f>
        <v>0</v>
      </c>
      <c r="G59" s="59">
        <f>COUNTIFS(Jun!$B:$B,2142,Jun!$J:$J,28)</f>
        <v>0</v>
      </c>
      <c r="H59" s="59">
        <f>COUNTIFS(Jul!$B:$B,2142,Jul!$J:$J,28)</f>
        <v>0</v>
      </c>
      <c r="I59" s="59">
        <f>COUNTIFS(Aug!$B:$B,2142,Aug!$J:$J,28)</f>
        <v>0</v>
      </c>
      <c r="J59" s="59">
        <f>COUNTIFS(Sep!$B:$B,2142,Sep!$J:$J,28)</f>
        <v>0</v>
      </c>
      <c r="K59" s="59">
        <f>COUNTIFS(Oct!$B:$B,2142,Oct!$J:$J,28)</f>
        <v>0</v>
      </c>
      <c r="L59" s="59">
        <f>COUNTIFS(Nov!$B:$B,2142,Nov!$J:$J,28)</f>
        <v>0</v>
      </c>
      <c r="M59" s="59">
        <v>0</v>
      </c>
    </row>
    <row r="60" spans="1:13" s="8" customFormat="1" ht="11.25" customHeight="1">
      <c r="A60" s="10" t="s">
        <v>38</v>
      </c>
      <c r="B60" s="59">
        <f>COUNTIFS(Jan!$B:$B,2142,Jan!$J:$J,6100)</f>
        <v>1</v>
      </c>
      <c r="C60" s="59">
        <v>3</v>
      </c>
      <c r="D60" s="59">
        <v>1</v>
      </c>
      <c r="E60" s="59">
        <f>COUNTIFS(Apr!$B:$B,2142,Apr!$J:$J,6100)</f>
        <v>0</v>
      </c>
      <c r="F60" s="59">
        <v>1</v>
      </c>
      <c r="G60" s="59">
        <v>2</v>
      </c>
      <c r="H60" s="59">
        <v>1</v>
      </c>
      <c r="I60" s="59">
        <v>4</v>
      </c>
      <c r="J60" s="59">
        <f>COUNTIFS(Sep!$B:$B,2142,Sep!$J:$J,6100)</f>
        <v>0</v>
      </c>
      <c r="K60" s="59">
        <f>COUNTIFS(Oct!$B:$B,2142,Oct!$J:$J,6100)</f>
        <v>0</v>
      </c>
      <c r="L60" s="59">
        <v>1</v>
      </c>
      <c r="M60" s="59">
        <v>1</v>
      </c>
    </row>
    <row r="61" spans="1:13" s="8" customFormat="1" ht="11.25" customHeight="1">
      <c r="A61" s="10" t="s">
        <v>9</v>
      </c>
      <c r="B61" s="59">
        <f>COUNTIFS(Jan!$B:$B,2142,Jan!$J:$J,6)</f>
        <v>1</v>
      </c>
      <c r="C61" s="59">
        <f>COUNTIFS(Feb!$B:$B,2142,Feb!$J:$J,6)</f>
        <v>0</v>
      </c>
      <c r="D61" s="59">
        <f>COUNTIFS(Mar!$B:$B,2142,Mar!$J:$J,6)</f>
        <v>0</v>
      </c>
      <c r="E61" s="59">
        <f>COUNTIFS(Apr!$B:$B,2142,Apr!$J:$J,6)</f>
        <v>0</v>
      </c>
      <c r="F61" s="59">
        <f>COUNTIFS(May!$B:$B,2142,May!$J:$J,6)</f>
        <v>0</v>
      </c>
      <c r="G61" s="59">
        <f>COUNTIFS(Jun!$B:$B,2142,Jun!$J:$J,6)</f>
        <v>0</v>
      </c>
      <c r="H61" s="59">
        <f>COUNTIFS(Jul!$B:$B,2142,Jul!$J:$J,6)</f>
        <v>0</v>
      </c>
      <c r="I61" s="59">
        <f>COUNTIFS(Aug!$B:$B,2142,Aug!$J:$J,6)</f>
        <v>0</v>
      </c>
      <c r="J61" s="59">
        <f>COUNTIFS(Sep!$B:$B,2142,Sep!$J:$J,6)</f>
        <v>0</v>
      </c>
      <c r="K61" s="59">
        <f>COUNTIFS(Oct!$B:$B,2142,Oct!$J:$J,6)</f>
        <v>0</v>
      </c>
      <c r="L61" s="59">
        <f>COUNTIFS(Nov!$B:$B,2142,Nov!$J:$J,6)</f>
        <v>0</v>
      </c>
      <c r="M61" s="59">
        <v>0</v>
      </c>
    </row>
    <row r="62" spans="1:13" s="8" customFormat="1" ht="11.25" customHeight="1">
      <c r="A62" s="10" t="s">
        <v>8</v>
      </c>
      <c r="B62" s="59">
        <f>COUNTIFS(Jan!$B:$B,2142,Jan!$J:$J,4)</f>
        <v>0</v>
      </c>
      <c r="C62" s="59">
        <f>COUNTIFS(Feb!$B:$B,2142,Feb!$J:$J,4)</f>
        <v>0</v>
      </c>
      <c r="D62" s="59">
        <f>COUNTIFS(Mar!$B:$B,2142,Mar!$J:$J,4)</f>
        <v>0</v>
      </c>
      <c r="E62" s="59">
        <f>COUNTIFS(Apr!$B:$B,2142,Apr!$J:$J,4)</f>
        <v>0</v>
      </c>
      <c r="F62" s="59">
        <f>COUNTIFS(May!$B:$B,2142,May!$J:$J,4)</f>
        <v>0</v>
      </c>
      <c r="G62" s="59">
        <f>COUNTIFS(Jun!$B:$B,2142,Jun!$J:$J,4)</f>
        <v>0</v>
      </c>
      <c r="H62" s="59">
        <f>COUNTIFS(Jul!$B:$B,2142,Jul!$J:$J,4)</f>
        <v>0</v>
      </c>
      <c r="I62" s="59">
        <f>COUNTIFS(Aug!$B:$B,2142,Aug!$J:$J,4)</f>
        <v>0</v>
      </c>
      <c r="J62" s="59">
        <f>COUNTIFS(Sep!$B:$B,2142,Sep!$J:$J,4)</f>
        <v>0</v>
      </c>
      <c r="K62" s="59">
        <f>COUNTIFS(Oct!$B:$B,2142,Oct!$J:$J,4)</f>
        <v>0</v>
      </c>
      <c r="L62" s="59">
        <f>COUNTIFS(Nov!$B:$B,2142,Nov!$J:$J,4)</f>
        <v>0</v>
      </c>
      <c r="M62" s="59">
        <v>0</v>
      </c>
    </row>
    <row r="63" spans="1:13" s="8" customFormat="1" ht="11.25" customHeight="1">
      <c r="A63" s="10" t="s">
        <v>6</v>
      </c>
      <c r="B63" s="59">
        <f>COUNTIFS(Jan!$B:$B,2142,Jan!$J:$J,5)</f>
        <v>0</v>
      </c>
      <c r="C63" s="59">
        <f>COUNTIFS(Feb!$B:$B,2142,Feb!$J:$J,5)</f>
        <v>0</v>
      </c>
      <c r="D63" s="59">
        <f>COUNTIFS(Mar!$B:$B,2142,Mar!$J:$J,5)</f>
        <v>0</v>
      </c>
      <c r="E63" s="59">
        <f>COUNTIFS(Apr!$B:$B,2142,Apr!$J:$J,5)</f>
        <v>0</v>
      </c>
      <c r="F63" s="59">
        <f>COUNTIFS(May!$B:$B,2142,May!$J:$J,5)</f>
        <v>0</v>
      </c>
      <c r="G63" s="59">
        <f>COUNTIFS(Jun!$B:$B,2142,Jun!$J:$J,5)</f>
        <v>0</v>
      </c>
      <c r="H63" s="59">
        <f>COUNTIFS(Jul!$B:$B,2142,Jul!$J:$J,5)</f>
        <v>0</v>
      </c>
      <c r="I63" s="59">
        <f>COUNTIFS(Aug!$B:$B,2142,Aug!$J:$J,5)</f>
        <v>0</v>
      </c>
      <c r="J63" s="59">
        <f>COUNTIFS(Sep!$B:$B,2142,Sep!$J:$J,5)</f>
        <v>0</v>
      </c>
      <c r="K63" s="59">
        <f>COUNTIFS(Oct!$B:$B,2142,Oct!$J:$J,5)</f>
        <v>0</v>
      </c>
      <c r="L63" s="59">
        <f>COUNTIFS(Nov!$B:$B,2142,Nov!$J:$J,5)</f>
        <v>0</v>
      </c>
      <c r="M63" s="59">
        <v>0</v>
      </c>
    </row>
    <row r="64" spans="1:13" s="8" customFormat="1" ht="11.25" customHeight="1">
      <c r="A64" s="52" t="s">
        <v>141</v>
      </c>
      <c r="B64" s="69">
        <f>COUNTIFS(Jan!$B:$B,2142,Jan!$F:$F,456)</f>
        <v>3</v>
      </c>
      <c r="C64" s="69">
        <v>1</v>
      </c>
      <c r="D64" s="69">
        <v>2</v>
      </c>
      <c r="E64" s="69">
        <v>1</v>
      </c>
      <c r="F64" s="69">
        <v>1</v>
      </c>
      <c r="G64" s="69">
        <v>1</v>
      </c>
      <c r="H64" s="69">
        <v>1</v>
      </c>
      <c r="I64" s="69">
        <v>2</v>
      </c>
      <c r="J64" s="69">
        <f>COUNTIFS(Sep!$B:$B,2142,Sep!$F:$F,456)</f>
        <v>0</v>
      </c>
      <c r="K64" s="69">
        <v>1</v>
      </c>
      <c r="L64" s="69">
        <f>COUNTIFS(Nov!$B:$B,2142,Nov!$F:$F,456)</f>
        <v>0</v>
      </c>
      <c r="M64" s="69">
        <v>1</v>
      </c>
    </row>
    <row r="65" spans="1:13" s="8" customFormat="1" ht="11.25" customHeight="1" thickBot="1">
      <c r="A65" s="12" t="s">
        <v>16</v>
      </c>
      <c r="B65" s="70">
        <f>SUM(B54:B64)</f>
        <v>9</v>
      </c>
      <c r="C65" s="70">
        <f t="shared" ref="C65:M65" si="12">SUM(C54:C64)</f>
        <v>5</v>
      </c>
      <c r="D65" s="70">
        <f t="shared" si="12"/>
        <v>3</v>
      </c>
      <c r="E65" s="70">
        <f t="shared" si="12"/>
        <v>3</v>
      </c>
      <c r="F65" s="70">
        <f t="shared" si="12"/>
        <v>4</v>
      </c>
      <c r="G65" s="70">
        <f t="shared" si="12"/>
        <v>7</v>
      </c>
      <c r="H65" s="70">
        <f t="shared" si="12"/>
        <v>6</v>
      </c>
      <c r="I65" s="70">
        <f t="shared" si="12"/>
        <v>8</v>
      </c>
      <c r="J65" s="70">
        <f t="shared" si="12"/>
        <v>6</v>
      </c>
      <c r="K65" s="70">
        <f t="shared" si="12"/>
        <v>2</v>
      </c>
      <c r="L65" s="165">
        <f t="shared" si="12"/>
        <v>6</v>
      </c>
      <c r="M65" s="170">
        <f t="shared" si="12"/>
        <v>9</v>
      </c>
    </row>
    <row r="66" spans="1:13" s="8" customFormat="1" ht="15.75" customHeight="1">
      <c r="A66" s="6"/>
      <c r="B66" s="7"/>
      <c r="C66" s="7"/>
      <c r="D66" s="7"/>
      <c r="E66" s="7"/>
      <c r="F66" s="7"/>
      <c r="G66" s="7"/>
      <c r="H66" s="7"/>
      <c r="I66" s="7"/>
      <c r="J66" s="7"/>
      <c r="K66" s="7"/>
      <c r="L66" s="7"/>
      <c r="M66" s="7"/>
    </row>
    <row r="67" spans="1:13" ht="12" customHeight="1">
      <c r="A67" s="6"/>
      <c r="B67" s="7"/>
      <c r="C67" s="7"/>
      <c r="D67" s="7"/>
      <c r="E67" s="7"/>
      <c r="F67" s="7"/>
      <c r="G67" s="7"/>
      <c r="H67" s="7"/>
      <c r="I67" s="7"/>
      <c r="J67" s="7"/>
      <c r="K67" s="7"/>
      <c r="L67" s="7"/>
      <c r="M67" s="7"/>
    </row>
  </sheetData>
  <phoneticPr fontId="0" type="noConversion"/>
  <printOptions horizontalCentered="1" verticalCentered="1"/>
  <pageMargins left="0.14000000000000001" right="0.16" top="0.25" bottom="0.5" header="0.5" footer="0.25"/>
  <pageSetup scale="95" firstPageNumber="3" orientation="portrait" useFirstPageNumber="1" r:id="rId1"/>
  <headerFooter alignWithMargins="0">
    <oddFooter>&amp;R30 of 51</oddFooter>
  </headerFooter>
  <ignoredErrors>
    <ignoredError sqref="M32 M52 M65" formulaRange="1"/>
  </ignoredErrors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67"/>
  <sheetViews>
    <sheetView view="pageBreakPreview" topLeftCell="A19" zoomScale="90" zoomScaleNormal="100" zoomScaleSheetLayoutView="90" workbookViewId="0">
      <selection activeCell="M47" sqref="M47"/>
    </sheetView>
  </sheetViews>
  <sheetFormatPr defaultRowHeight="12.75"/>
  <cols>
    <col min="1" max="1" width="22.85546875" style="1" customWidth="1"/>
    <col min="2" max="13" width="7.140625" style="1" customWidth="1"/>
    <col min="14" max="14" width="4.42578125" style="1" customWidth="1"/>
    <col min="15" max="16384" width="9.140625" style="1"/>
  </cols>
  <sheetData>
    <row r="1" spans="1:21" ht="18" customHeight="1">
      <c r="A1" s="130"/>
      <c r="B1" s="131"/>
      <c r="C1" s="131"/>
      <c r="D1" s="131"/>
      <c r="E1" s="131"/>
      <c r="F1" s="131"/>
      <c r="G1" s="131"/>
      <c r="H1" s="130"/>
      <c r="I1" s="131"/>
      <c r="J1" s="131"/>
      <c r="K1" s="131"/>
      <c r="L1" s="130"/>
      <c r="M1" s="143" t="s">
        <v>22</v>
      </c>
    </row>
    <row r="2" spans="1:21" ht="18" customHeight="1">
      <c r="A2" s="130"/>
      <c r="B2" s="135"/>
      <c r="C2" s="135"/>
      <c r="D2" s="135"/>
      <c r="E2" s="135"/>
      <c r="F2" s="135"/>
      <c r="G2" s="135"/>
      <c r="H2" s="130"/>
      <c r="I2" s="135"/>
      <c r="J2" s="135"/>
      <c r="K2" s="135"/>
      <c r="L2" s="130"/>
      <c r="M2" s="155" t="s">
        <v>13</v>
      </c>
    </row>
    <row r="3" spans="1:21" s="5" customFormat="1" ht="18" customHeight="1">
      <c r="A3" s="133"/>
      <c r="B3" s="133"/>
      <c r="C3" s="133"/>
      <c r="D3" s="133"/>
      <c r="E3" s="133"/>
      <c r="F3" s="133"/>
      <c r="G3" s="133"/>
      <c r="H3" s="133"/>
      <c r="I3" s="133"/>
      <c r="J3" s="136"/>
      <c r="K3" s="136"/>
      <c r="L3" s="133"/>
      <c r="M3" s="155" t="s">
        <v>71</v>
      </c>
      <c r="N3" s="134"/>
      <c r="O3" s="134"/>
      <c r="P3" s="134"/>
      <c r="Q3" s="134"/>
      <c r="R3" s="134"/>
      <c r="S3" s="134"/>
      <c r="T3" s="134"/>
      <c r="U3" s="134"/>
    </row>
    <row r="4" spans="1:21" s="8" customFormat="1" ht="6.75" customHeight="1" thickBot="1">
      <c r="A4" s="38"/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</row>
    <row r="5" spans="1:21" s="8" customFormat="1" ht="11.25" customHeight="1" thickBot="1">
      <c r="A5" s="53" t="s">
        <v>19</v>
      </c>
      <c r="B5" s="50">
        <v>41275</v>
      </c>
      <c r="C5" s="47">
        <v>41306</v>
      </c>
      <c r="D5" s="47">
        <v>41334</v>
      </c>
      <c r="E5" s="47">
        <v>41365</v>
      </c>
      <c r="F5" s="47">
        <v>41395</v>
      </c>
      <c r="G5" s="47">
        <v>41426</v>
      </c>
      <c r="H5" s="47">
        <v>41456</v>
      </c>
      <c r="I5" s="47">
        <v>41487</v>
      </c>
      <c r="J5" s="47">
        <v>41518</v>
      </c>
      <c r="K5" s="47">
        <v>41548</v>
      </c>
      <c r="L5" s="47">
        <v>41579</v>
      </c>
      <c r="M5" s="51">
        <v>41609</v>
      </c>
    </row>
    <row r="6" spans="1:21" s="8" customFormat="1" ht="11.25" customHeight="1">
      <c r="A6" s="41" t="s">
        <v>129</v>
      </c>
      <c r="B6" s="57">
        <f t="shared" ref="B6:M6" si="0">B32</f>
        <v>21</v>
      </c>
      <c r="C6" s="57">
        <f t="shared" si="0"/>
        <v>9</v>
      </c>
      <c r="D6" s="57">
        <f t="shared" si="0"/>
        <v>9</v>
      </c>
      <c r="E6" s="57">
        <f t="shared" si="0"/>
        <v>8</v>
      </c>
      <c r="F6" s="57">
        <f t="shared" si="0"/>
        <v>14</v>
      </c>
      <c r="G6" s="57">
        <f t="shared" si="0"/>
        <v>6</v>
      </c>
      <c r="H6" s="57">
        <f t="shared" si="0"/>
        <v>15</v>
      </c>
      <c r="I6" s="57">
        <f t="shared" si="0"/>
        <v>21</v>
      </c>
      <c r="J6" s="57">
        <f t="shared" si="0"/>
        <v>20</v>
      </c>
      <c r="K6" s="57">
        <f t="shared" si="0"/>
        <v>6</v>
      </c>
      <c r="L6" s="156">
        <f t="shared" si="0"/>
        <v>8</v>
      </c>
      <c r="M6" s="168">
        <f t="shared" si="0"/>
        <v>13</v>
      </c>
    </row>
    <row r="7" spans="1:21" s="8" customFormat="1" ht="11.25" customHeight="1">
      <c r="A7" s="42" t="s">
        <v>18</v>
      </c>
      <c r="B7" s="57">
        <f t="shared" ref="B7:M7" si="1">SUM(B10:B12)</f>
        <v>98</v>
      </c>
      <c r="C7" s="57">
        <f t="shared" si="1"/>
        <v>103</v>
      </c>
      <c r="D7" s="57">
        <f t="shared" si="1"/>
        <v>133</v>
      </c>
      <c r="E7" s="57">
        <f t="shared" si="1"/>
        <v>121</v>
      </c>
      <c r="F7" s="57">
        <f t="shared" si="1"/>
        <v>115</v>
      </c>
      <c r="G7" s="57">
        <f t="shared" si="1"/>
        <v>91</v>
      </c>
      <c r="H7" s="57">
        <f t="shared" si="1"/>
        <v>121</v>
      </c>
      <c r="I7" s="57">
        <f t="shared" si="1"/>
        <v>122</v>
      </c>
      <c r="J7" s="57">
        <f t="shared" si="1"/>
        <v>119</v>
      </c>
      <c r="K7" s="57">
        <f t="shared" si="1"/>
        <v>78</v>
      </c>
      <c r="L7" s="156">
        <f t="shared" si="1"/>
        <v>89</v>
      </c>
      <c r="M7" s="171">
        <f t="shared" si="1"/>
        <v>139</v>
      </c>
    </row>
    <row r="8" spans="1:21" s="8" customFormat="1" ht="11.25" customHeight="1" thickBot="1">
      <c r="A8" s="43" t="s">
        <v>14</v>
      </c>
      <c r="B8" s="58">
        <f t="shared" ref="B8:M8" si="2">SUM(B6:B7)</f>
        <v>119</v>
      </c>
      <c r="C8" s="58">
        <f t="shared" si="2"/>
        <v>112</v>
      </c>
      <c r="D8" s="58">
        <f t="shared" si="2"/>
        <v>142</v>
      </c>
      <c r="E8" s="58">
        <f t="shared" si="2"/>
        <v>129</v>
      </c>
      <c r="F8" s="58">
        <f t="shared" si="2"/>
        <v>129</v>
      </c>
      <c r="G8" s="58">
        <f t="shared" si="2"/>
        <v>97</v>
      </c>
      <c r="H8" s="58">
        <f t="shared" si="2"/>
        <v>136</v>
      </c>
      <c r="I8" s="58">
        <f t="shared" si="2"/>
        <v>143</v>
      </c>
      <c r="J8" s="58">
        <f t="shared" si="2"/>
        <v>139</v>
      </c>
      <c r="K8" s="58">
        <f t="shared" si="2"/>
        <v>84</v>
      </c>
      <c r="L8" s="157">
        <f t="shared" si="2"/>
        <v>97</v>
      </c>
      <c r="M8" s="172">
        <f t="shared" si="2"/>
        <v>152</v>
      </c>
    </row>
    <row r="9" spans="1:21" s="8" customFormat="1" ht="11.25" customHeight="1" thickBot="1">
      <c r="A9" s="54" t="s">
        <v>18</v>
      </c>
      <c r="B9" s="50">
        <v>41275</v>
      </c>
      <c r="C9" s="47">
        <v>41306</v>
      </c>
      <c r="D9" s="47">
        <v>41334</v>
      </c>
      <c r="E9" s="47">
        <v>41365</v>
      </c>
      <c r="F9" s="47">
        <v>41395</v>
      </c>
      <c r="G9" s="47">
        <v>41426</v>
      </c>
      <c r="H9" s="47">
        <v>41456</v>
      </c>
      <c r="I9" s="47">
        <v>41487</v>
      </c>
      <c r="J9" s="47">
        <v>41518</v>
      </c>
      <c r="K9" s="47">
        <v>41548</v>
      </c>
      <c r="L9" s="47">
        <v>41579</v>
      </c>
      <c r="M9" s="51">
        <v>41609</v>
      </c>
    </row>
    <row r="10" spans="1:21" s="8" customFormat="1" ht="11.25" customHeight="1">
      <c r="A10" s="9" t="s">
        <v>128</v>
      </c>
      <c r="B10" s="57">
        <f t="shared" ref="B10:M10" si="3">B52</f>
        <v>66</v>
      </c>
      <c r="C10" s="57">
        <f t="shared" si="3"/>
        <v>45</v>
      </c>
      <c r="D10" s="57">
        <f t="shared" si="3"/>
        <v>61</v>
      </c>
      <c r="E10" s="57">
        <f t="shared" si="3"/>
        <v>52</v>
      </c>
      <c r="F10" s="57">
        <f t="shared" si="3"/>
        <v>57</v>
      </c>
      <c r="G10" s="59">
        <f t="shared" si="3"/>
        <v>38</v>
      </c>
      <c r="H10" s="59">
        <f t="shared" si="3"/>
        <v>59</v>
      </c>
      <c r="I10" s="59">
        <f t="shared" si="3"/>
        <v>64</v>
      </c>
      <c r="J10" s="59">
        <f t="shared" si="3"/>
        <v>59</v>
      </c>
      <c r="K10" s="59">
        <f t="shared" si="3"/>
        <v>28</v>
      </c>
      <c r="L10" s="158">
        <f t="shared" si="3"/>
        <v>44</v>
      </c>
      <c r="M10" s="168">
        <f t="shared" si="3"/>
        <v>76</v>
      </c>
    </row>
    <row r="11" spans="1:21" s="8" customFormat="1" ht="11.25" customHeight="1">
      <c r="A11" s="9" t="s">
        <v>127</v>
      </c>
      <c r="B11" s="59">
        <f t="shared" ref="B11:M11" si="4">B65</f>
        <v>6</v>
      </c>
      <c r="C11" s="59">
        <f t="shared" si="4"/>
        <v>5</v>
      </c>
      <c r="D11" s="59">
        <f t="shared" si="4"/>
        <v>8</v>
      </c>
      <c r="E11" s="59">
        <f t="shared" si="4"/>
        <v>8</v>
      </c>
      <c r="F11" s="59">
        <f t="shared" si="4"/>
        <v>17</v>
      </c>
      <c r="G11" s="59">
        <f t="shared" si="4"/>
        <v>14</v>
      </c>
      <c r="H11" s="59">
        <f t="shared" si="4"/>
        <v>19</v>
      </c>
      <c r="I11" s="59">
        <f t="shared" si="4"/>
        <v>9</v>
      </c>
      <c r="J11" s="59">
        <f t="shared" si="4"/>
        <v>6</v>
      </c>
      <c r="K11" s="59">
        <f t="shared" si="4"/>
        <v>0</v>
      </c>
      <c r="L11" s="158">
        <f t="shared" si="4"/>
        <v>2</v>
      </c>
      <c r="M11" s="169">
        <f t="shared" si="4"/>
        <v>6</v>
      </c>
    </row>
    <row r="12" spans="1:21" s="8" customFormat="1" ht="11.25" customHeight="1" thickBot="1">
      <c r="A12" s="2" t="s">
        <v>12</v>
      </c>
      <c r="B12" s="60">
        <f>COUNTIFS(Jan!$B:$B,2144,Jan!$F:$F,800)</f>
        <v>26</v>
      </c>
      <c r="C12" s="60">
        <v>53</v>
      </c>
      <c r="D12" s="60">
        <v>64</v>
      </c>
      <c r="E12" s="60">
        <v>61</v>
      </c>
      <c r="F12" s="60">
        <v>41</v>
      </c>
      <c r="G12" s="60">
        <v>39</v>
      </c>
      <c r="H12" s="60">
        <v>43</v>
      </c>
      <c r="I12" s="60">
        <v>49</v>
      </c>
      <c r="J12" s="60">
        <v>54</v>
      </c>
      <c r="K12" s="60">
        <v>50</v>
      </c>
      <c r="L12" s="60">
        <v>43</v>
      </c>
      <c r="M12" s="60">
        <v>57</v>
      </c>
    </row>
    <row r="13" spans="1:21" s="8" customFormat="1" ht="5.0999999999999996" customHeight="1" thickBot="1">
      <c r="A13" s="3"/>
      <c r="B13" s="17"/>
      <c r="C13" s="17"/>
      <c r="D13" s="17"/>
      <c r="E13" s="17"/>
      <c r="F13" s="17"/>
      <c r="G13" s="17"/>
      <c r="H13" s="17"/>
      <c r="I13" s="17"/>
      <c r="J13" s="17"/>
      <c r="K13" s="17"/>
      <c r="L13" s="17"/>
      <c r="M13" s="147"/>
    </row>
    <row r="14" spans="1:21" s="16" customFormat="1" ht="11.25" customHeight="1">
      <c r="A14" s="44" t="s">
        <v>131</v>
      </c>
      <c r="B14" s="120">
        <v>7677</v>
      </c>
      <c r="C14" s="120">
        <v>5791</v>
      </c>
      <c r="D14" s="120">
        <v>7203</v>
      </c>
      <c r="E14" s="120">
        <v>5422</v>
      </c>
      <c r="F14" s="120">
        <v>6256</v>
      </c>
      <c r="G14" s="120">
        <v>6109</v>
      </c>
      <c r="H14" s="119">
        <v>4504</v>
      </c>
      <c r="I14" s="61">
        <v>6103</v>
      </c>
      <c r="J14" s="61">
        <v>5426</v>
      </c>
      <c r="K14" s="118">
        <v>6427</v>
      </c>
      <c r="L14" s="160">
        <v>5320</v>
      </c>
      <c r="M14" s="173">
        <v>5809</v>
      </c>
      <c r="O14" s="22"/>
      <c r="P14" s="22"/>
      <c r="Q14" s="22"/>
    </row>
    <row r="15" spans="1:21" s="8" customFormat="1" ht="11.25" customHeight="1">
      <c r="A15" s="45" t="s">
        <v>132</v>
      </c>
      <c r="B15" s="62">
        <f>IFERROR((SUMIFS(Jan!$N:$N,Jan!$J:$J,1,Jan!$B:$B,2144)+SUMIFS(Jan!$N:$N,Jan!$D:$D,"&gt;1",Jan!$B:$B,2144))/(COUNTIFS(Jan!$J:$J,1,Jan!$B:$B,2144)+COUNTIFS(Jan!$D:$D,"&gt;1",Jan!$B:$B,2144)),"")</f>
        <v>25.322580645161292</v>
      </c>
      <c r="C15" s="62">
        <v>25.82</v>
      </c>
      <c r="D15" s="62">
        <v>25.27</v>
      </c>
      <c r="E15" s="62">
        <v>26.77</v>
      </c>
      <c r="F15" s="62">
        <v>25.97</v>
      </c>
      <c r="G15" s="62">
        <v>26.05</v>
      </c>
      <c r="H15" s="62">
        <v>26.71</v>
      </c>
      <c r="I15" s="62">
        <v>25.79</v>
      </c>
      <c r="J15" s="62">
        <v>25.09</v>
      </c>
      <c r="K15" s="62">
        <v>25.8</v>
      </c>
      <c r="L15" s="62">
        <v>25.8</v>
      </c>
      <c r="M15" s="62">
        <v>25.92</v>
      </c>
      <c r="N15" s="15"/>
      <c r="O15" s="1"/>
      <c r="P15" s="1"/>
      <c r="Q15" s="1"/>
    </row>
    <row r="16" spans="1:21" s="8" customFormat="1" ht="11.25" customHeight="1">
      <c r="A16" s="45" t="s">
        <v>133</v>
      </c>
      <c r="B16" s="62">
        <f>IFERROR(AVERAGEIFS(Jan!$N:$N,Jan!$F:$F,800,Jan!$B:$B,2144),"")</f>
        <v>24.807692307692307</v>
      </c>
      <c r="C16" s="62">
        <v>25.7</v>
      </c>
      <c r="D16" s="62">
        <v>25.39</v>
      </c>
      <c r="E16" s="62">
        <v>27.06</v>
      </c>
      <c r="F16" s="62">
        <v>27.39</v>
      </c>
      <c r="G16" s="62">
        <v>25.9</v>
      </c>
      <c r="H16" s="62">
        <v>25.56</v>
      </c>
      <c r="I16" s="62">
        <v>26.47</v>
      </c>
      <c r="J16" s="62">
        <v>24.98</v>
      </c>
      <c r="K16" s="62">
        <v>25.86</v>
      </c>
      <c r="L16" s="62">
        <v>25.45</v>
      </c>
      <c r="M16" s="62">
        <v>26.92</v>
      </c>
      <c r="O16" s="1"/>
      <c r="P16" s="1"/>
      <c r="Q16" s="1"/>
    </row>
    <row r="17" spans="1:17" s="8" customFormat="1" ht="11.25" customHeight="1">
      <c r="A17" s="45" t="s">
        <v>134</v>
      </c>
      <c r="B17" s="63">
        <f>IFERROR((SUMIFS(Jan!$M:$M,Jan!$J:$J,1,Jan!$B:$B,2144)+SUMIFS(Jan!$M:$M,Jan!$D:$D,"&gt;1",Jan!$B:$B,2144))/(COUNTIFS(Jan!$J:$J,1,Jan!$B:$B,2144)+COUNTIFS(Jan!$D:$D,"&gt;1",Jan!$B:$B,2144)),"")</f>
        <v>1.4645161290322579</v>
      </c>
      <c r="C17" s="63">
        <v>2.09</v>
      </c>
      <c r="D17" s="63">
        <v>2.2599999999999998</v>
      </c>
      <c r="E17" s="63">
        <v>1.62</v>
      </c>
      <c r="F17" s="63">
        <v>2.68</v>
      </c>
      <c r="G17" s="63">
        <v>2.5499999999999998</v>
      </c>
      <c r="H17" s="63">
        <v>1.99</v>
      </c>
      <c r="I17" s="63">
        <v>2.09</v>
      </c>
      <c r="J17" s="63">
        <v>1.64</v>
      </c>
      <c r="K17" s="63">
        <v>2.0699999999999998</v>
      </c>
      <c r="L17" s="63">
        <v>3.03</v>
      </c>
      <c r="M17" s="63">
        <v>2</v>
      </c>
      <c r="O17" s="1"/>
      <c r="P17" s="1"/>
      <c r="Q17" s="1"/>
    </row>
    <row r="18" spans="1:17" s="8" customFormat="1" ht="11.25" customHeight="1" thickBot="1">
      <c r="A18" s="43" t="s">
        <v>135</v>
      </c>
      <c r="B18" s="64">
        <f>IFERROR(AVERAGEIFS(Jan!$M:$M,Jan!$F:$F,800,Jan!$B:$B,2144),"")</f>
        <v>1.6730769230769229</v>
      </c>
      <c r="C18" s="64">
        <v>1.49</v>
      </c>
      <c r="D18" s="64">
        <v>1.69</v>
      </c>
      <c r="E18" s="64">
        <v>0.87</v>
      </c>
      <c r="F18" s="64">
        <v>0.84</v>
      </c>
      <c r="G18" s="64">
        <v>0.78</v>
      </c>
      <c r="H18" s="64">
        <v>0.6</v>
      </c>
      <c r="I18" s="64">
        <v>0.61</v>
      </c>
      <c r="J18" s="64">
        <v>0.69</v>
      </c>
      <c r="K18" s="64">
        <v>1.54</v>
      </c>
      <c r="L18" s="64">
        <v>2.19</v>
      </c>
      <c r="M18" s="64">
        <v>2.15</v>
      </c>
    </row>
    <row r="19" spans="1:17" s="8" customFormat="1" ht="5.0999999999999996" customHeight="1" thickBot="1">
      <c r="A19" s="3"/>
      <c r="B19" s="17"/>
      <c r="C19" s="17"/>
      <c r="D19" s="17"/>
      <c r="E19" s="17"/>
      <c r="F19" s="17"/>
      <c r="G19" s="17"/>
      <c r="H19" s="17"/>
      <c r="I19" s="17"/>
      <c r="J19" s="17"/>
      <c r="K19" s="17"/>
      <c r="L19" s="17"/>
      <c r="M19" s="147"/>
    </row>
    <row r="20" spans="1:17" s="8" customFormat="1" ht="11.25" customHeight="1">
      <c r="A20" s="42" t="s">
        <v>52</v>
      </c>
      <c r="B20" s="65">
        <v>31</v>
      </c>
      <c r="C20" s="65">
        <v>28</v>
      </c>
      <c r="D20" s="65">
        <v>31</v>
      </c>
      <c r="E20" s="65">
        <v>30</v>
      </c>
      <c r="F20" s="65">
        <v>31</v>
      </c>
      <c r="G20" s="65">
        <v>30</v>
      </c>
      <c r="H20" s="65">
        <v>31</v>
      </c>
      <c r="I20" s="65">
        <v>31</v>
      </c>
      <c r="J20" s="65">
        <v>30</v>
      </c>
      <c r="K20" s="65">
        <v>31</v>
      </c>
      <c r="L20" s="161">
        <v>30</v>
      </c>
      <c r="M20" s="174">
        <v>31</v>
      </c>
    </row>
    <row r="21" spans="1:17" s="8" customFormat="1" ht="11.25" customHeight="1">
      <c r="A21" s="9" t="s">
        <v>15</v>
      </c>
      <c r="B21" s="66">
        <f>B12/B20</f>
        <v>0.83870967741935487</v>
      </c>
      <c r="C21" s="66">
        <f t="shared" ref="C21:M21" si="5">C12/C20</f>
        <v>1.8928571428571428</v>
      </c>
      <c r="D21" s="66">
        <f>D12/D20</f>
        <v>2.064516129032258</v>
      </c>
      <c r="E21" s="66">
        <f>E12/E20</f>
        <v>2.0333333333333332</v>
      </c>
      <c r="F21" s="66">
        <f>F12/F20</f>
        <v>1.3225806451612903</v>
      </c>
      <c r="G21" s="66">
        <f>G12/G20</f>
        <v>1.3</v>
      </c>
      <c r="H21" s="66">
        <f t="shared" si="5"/>
        <v>1.3870967741935485</v>
      </c>
      <c r="I21" s="66">
        <f t="shared" si="5"/>
        <v>1.5806451612903225</v>
      </c>
      <c r="J21" s="66">
        <f t="shared" si="5"/>
        <v>1.8</v>
      </c>
      <c r="K21" s="66">
        <f t="shared" si="5"/>
        <v>1.6129032258064515</v>
      </c>
      <c r="L21" s="162">
        <f t="shared" si="5"/>
        <v>1.4333333333333333</v>
      </c>
      <c r="M21" s="175">
        <f t="shared" si="5"/>
        <v>1.8387096774193548</v>
      </c>
    </row>
    <row r="22" spans="1:17" s="8" customFormat="1" ht="11.25" customHeight="1">
      <c r="A22" s="9" t="s">
        <v>130</v>
      </c>
      <c r="B22" s="67">
        <f t="shared" ref="B22:G22" si="6">IFERROR(B12/B7,0)</f>
        <v>0.26530612244897961</v>
      </c>
      <c r="C22" s="67">
        <f t="shared" si="6"/>
        <v>0.5145631067961165</v>
      </c>
      <c r="D22" s="67">
        <f t="shared" si="6"/>
        <v>0.48120300751879697</v>
      </c>
      <c r="E22" s="67">
        <f t="shared" si="6"/>
        <v>0.50413223140495866</v>
      </c>
      <c r="F22" s="67">
        <f t="shared" si="6"/>
        <v>0.35652173913043478</v>
      </c>
      <c r="G22" s="67">
        <f t="shared" si="6"/>
        <v>0.42857142857142855</v>
      </c>
      <c r="H22" s="67">
        <f t="shared" ref="H22:M22" si="7">IFERROR(H12/H7,0)</f>
        <v>0.35537190082644626</v>
      </c>
      <c r="I22" s="67">
        <f t="shared" si="7"/>
        <v>0.40163934426229508</v>
      </c>
      <c r="J22" s="67">
        <f t="shared" si="7"/>
        <v>0.45378151260504201</v>
      </c>
      <c r="K22" s="116">
        <f t="shared" si="7"/>
        <v>0.64102564102564108</v>
      </c>
      <c r="L22" s="67">
        <f t="shared" si="7"/>
        <v>0.48314606741573035</v>
      </c>
      <c r="M22" s="176">
        <f t="shared" si="7"/>
        <v>0.41007194244604317</v>
      </c>
      <c r="N22" s="1"/>
    </row>
    <row r="23" spans="1:17" s="8" customFormat="1" ht="11.25" customHeight="1" thickBot="1">
      <c r="A23" s="9" t="s">
        <v>53</v>
      </c>
      <c r="B23" s="67">
        <f t="shared" ref="B23:G23" si="8">IFERROR(B12/(B11+B12),0)</f>
        <v>0.8125</v>
      </c>
      <c r="C23" s="67">
        <f t="shared" si="8"/>
        <v>0.91379310344827591</v>
      </c>
      <c r="D23" s="67">
        <f t="shared" si="8"/>
        <v>0.88888888888888884</v>
      </c>
      <c r="E23" s="67">
        <f t="shared" si="8"/>
        <v>0.88405797101449279</v>
      </c>
      <c r="F23" s="67">
        <f t="shared" si="8"/>
        <v>0.7068965517241379</v>
      </c>
      <c r="G23" s="67">
        <f t="shared" si="8"/>
        <v>0.73584905660377353</v>
      </c>
      <c r="H23" s="67">
        <f t="shared" ref="H23:M23" si="9">IFERROR(H12/(H11+H12),0)</f>
        <v>0.69354838709677424</v>
      </c>
      <c r="I23" s="67">
        <f t="shared" si="9"/>
        <v>0.84482758620689657</v>
      </c>
      <c r="J23" s="67">
        <f t="shared" si="9"/>
        <v>0.9</v>
      </c>
      <c r="K23" s="117">
        <f t="shared" si="9"/>
        <v>1</v>
      </c>
      <c r="L23" s="163">
        <f t="shared" si="9"/>
        <v>0.9555555555555556</v>
      </c>
      <c r="M23" s="177">
        <f t="shared" si="9"/>
        <v>0.90476190476190477</v>
      </c>
      <c r="N23" s="4"/>
    </row>
    <row r="24" spans="1:17" s="8" customFormat="1" ht="11.25" customHeight="1" thickBot="1">
      <c r="A24" s="56" t="s">
        <v>21</v>
      </c>
      <c r="B24" s="50">
        <v>41275</v>
      </c>
      <c r="C24" s="47">
        <v>41306</v>
      </c>
      <c r="D24" s="47">
        <v>41334</v>
      </c>
      <c r="E24" s="47">
        <v>41365</v>
      </c>
      <c r="F24" s="47">
        <v>41395</v>
      </c>
      <c r="G24" s="47">
        <v>41426</v>
      </c>
      <c r="H24" s="47">
        <v>41456</v>
      </c>
      <c r="I24" s="47">
        <v>41487</v>
      </c>
      <c r="J24" s="47">
        <v>41518</v>
      </c>
      <c r="K24" s="47">
        <v>41548</v>
      </c>
      <c r="L24" s="47">
        <v>41579</v>
      </c>
      <c r="M24" s="51">
        <v>41609</v>
      </c>
    </row>
    <row r="25" spans="1:17" s="8" customFormat="1" ht="11.25" customHeight="1">
      <c r="A25" s="18" t="s">
        <v>5</v>
      </c>
      <c r="B25" s="68">
        <f>COUNTIFS(Jan!$B:$B,2144,Jan!$J:$J,18)</f>
        <v>13</v>
      </c>
      <c r="C25" s="68">
        <v>4</v>
      </c>
      <c r="D25" s="68">
        <v>6</v>
      </c>
      <c r="E25" s="68">
        <v>6</v>
      </c>
      <c r="F25" s="68">
        <v>11</v>
      </c>
      <c r="G25" s="68">
        <v>4</v>
      </c>
      <c r="H25" s="68">
        <v>9</v>
      </c>
      <c r="I25" s="68">
        <v>11</v>
      </c>
      <c r="J25" s="68">
        <v>11</v>
      </c>
      <c r="K25" s="68">
        <v>3</v>
      </c>
      <c r="L25" s="68">
        <v>4</v>
      </c>
      <c r="M25" s="68">
        <v>5</v>
      </c>
    </row>
    <row r="26" spans="1:17" s="8" customFormat="1" ht="11.25" customHeight="1">
      <c r="A26" s="46" t="s">
        <v>40</v>
      </c>
      <c r="B26" s="57">
        <f>COUNTIFS(Jan!$B:$B,2144,Jan!$J:$J,41)</f>
        <v>0</v>
      </c>
      <c r="C26" s="57">
        <f>COUNTIFS(Feb!$B:$B,2144,Feb!$J:$J,41)</f>
        <v>0</v>
      </c>
      <c r="D26" s="57">
        <f>COUNTIFS(Mar!$B:$B,2144,Mar!$J:$J,41)</f>
        <v>0</v>
      </c>
      <c r="E26" s="57">
        <f>COUNTIFS(Apr!$B:$B,2144,Apr!$J:$J,41)</f>
        <v>0</v>
      </c>
      <c r="F26" s="57">
        <f>COUNTIFS(May!$B:$B,2144,May!$J:$J,41)</f>
        <v>0</v>
      </c>
      <c r="G26" s="57">
        <f>COUNTIFS(Jun!$B:$B,2144,Jun!$J:$J,41)</f>
        <v>0</v>
      </c>
      <c r="H26" s="57">
        <f>COUNTIFS(Jul!$B:$B,2144,Jul!$J:$J,41)</f>
        <v>0</v>
      </c>
      <c r="I26" s="57">
        <f>COUNTIFS(Aug!$B:$B,2144,Aug!$J:$J,41)</f>
        <v>0</v>
      </c>
      <c r="J26" s="57">
        <v>4</v>
      </c>
      <c r="K26" s="57">
        <f>COUNTIFS(Oct!$B:$B,2144,Oct!$J:$J,41)</f>
        <v>0</v>
      </c>
      <c r="L26" s="57">
        <f>COUNTIFS(Nov!$B:$B,2144,Nov!$J:$J,41)</f>
        <v>0</v>
      </c>
      <c r="M26" s="57">
        <v>0</v>
      </c>
    </row>
    <row r="27" spans="1:17" s="8" customFormat="1" ht="11.25" customHeight="1">
      <c r="A27" s="9" t="s">
        <v>11</v>
      </c>
      <c r="B27" s="179">
        <f>COUNTIFS(Jan!$B:$B,2144,Jan!$J:$J,17)</f>
        <v>7</v>
      </c>
      <c r="C27" s="206">
        <v>5</v>
      </c>
      <c r="D27" s="206">
        <v>3</v>
      </c>
      <c r="E27" s="206">
        <v>2</v>
      </c>
      <c r="F27" s="206">
        <v>3</v>
      </c>
      <c r="G27" s="206">
        <v>2</v>
      </c>
      <c r="H27" s="206">
        <v>6</v>
      </c>
      <c r="I27" s="206">
        <v>10</v>
      </c>
      <c r="J27" s="206">
        <v>5</v>
      </c>
      <c r="K27" s="206">
        <v>2</v>
      </c>
      <c r="L27" s="206">
        <v>4</v>
      </c>
      <c r="M27" s="206">
        <v>8</v>
      </c>
    </row>
    <row r="28" spans="1:17" s="8" customFormat="1" ht="11.25" customHeight="1">
      <c r="A28" s="9" t="s">
        <v>143</v>
      </c>
      <c r="B28" s="59">
        <f>COUNTIFS(Jan!$B:$B,2144,Jan!$F:$F,455)</f>
        <v>0</v>
      </c>
      <c r="C28" s="59">
        <f>COUNTIFS(Feb!$B:$B,2144,Feb!$F:$F,455)</f>
        <v>0</v>
      </c>
      <c r="D28" s="59">
        <f>COUNTIFS(Mar!$B:$B,2144,Mar!$F:$F,455)</f>
        <v>0</v>
      </c>
      <c r="E28" s="59">
        <f>COUNTIFS(Apr!$B:$B,2144,Apr!$F:$F,455)</f>
        <v>0</v>
      </c>
      <c r="F28" s="59">
        <f>COUNTIFS(May!$B:$B,2144,May!$F:$F,455)</f>
        <v>0</v>
      </c>
      <c r="G28" s="59">
        <f>COUNTIFS(Jun!$B:$B,2144,Jun!$F:$F,455)</f>
        <v>0</v>
      </c>
      <c r="H28" s="59">
        <f>COUNTIFS(Jul!$B:$B,2144,Jul!$F:$F,455)</f>
        <v>0</v>
      </c>
      <c r="I28" s="59">
        <f>COUNTIFS(Aug!$B:$B,2144,Aug!$F:$F,455)</f>
        <v>0</v>
      </c>
      <c r="J28" s="59">
        <f>COUNTIFS(Sep!$B:$B,2144,Sep!$F:$F,455)</f>
        <v>0</v>
      </c>
      <c r="K28" s="59">
        <f>COUNTIFS(Oct!$B:$B,2144,Oct!$F:$F,455)</f>
        <v>0</v>
      </c>
      <c r="L28" s="59">
        <f>COUNTIFS(Nov!$B:$B,2144,Nov!$F:$F,455)</f>
        <v>0</v>
      </c>
      <c r="M28" s="59">
        <v>0</v>
      </c>
    </row>
    <row r="29" spans="1:17" s="8" customFormat="1" ht="11.25" customHeight="1">
      <c r="A29" s="9" t="s">
        <v>23</v>
      </c>
      <c r="B29" s="59">
        <f>COUNTIFS(Jan!$B:$B,2144,Jan!$J:$J,31)</f>
        <v>0</v>
      </c>
      <c r="C29" s="59">
        <f>COUNTIFS(Feb!$B:$B,2144,Feb!$J:$J,31)</f>
        <v>0</v>
      </c>
      <c r="D29" s="59">
        <f>COUNTIFS(Mar!$B:$B,2144,Mar!$J:$J,31)</f>
        <v>0</v>
      </c>
      <c r="E29" s="59">
        <f>COUNTIFS(Apr!$B:$B,2144,Apr!$J:$J,31)</f>
        <v>0</v>
      </c>
      <c r="F29" s="59">
        <f>COUNTIFS(May!$B:$B,2144,May!$J:$J,31)</f>
        <v>0</v>
      </c>
      <c r="G29" s="59">
        <f>COUNTIFS(Jun!$B:$B,2144,Jun!$J:$J,31)</f>
        <v>0</v>
      </c>
      <c r="H29" s="59">
        <f>COUNTIFS(Jul!$B:$B,2144,Jul!$J:$J,31)</f>
        <v>0</v>
      </c>
      <c r="I29" s="59">
        <f>COUNTIFS(Aug!$B:$B,2144,Aug!$J:$J,31)</f>
        <v>0</v>
      </c>
      <c r="J29" s="59">
        <f>COUNTIFS(Sep!$B:$B,2144,Sep!$J:$J,31)</f>
        <v>0</v>
      </c>
      <c r="K29" s="59">
        <v>1</v>
      </c>
      <c r="L29" s="59">
        <f>COUNTIFS(Nov!$B:$B,2144,Nov!$J:$J,31)</f>
        <v>0</v>
      </c>
      <c r="M29" s="59">
        <v>0</v>
      </c>
    </row>
    <row r="30" spans="1:17" s="8" customFormat="1" ht="11.25" customHeight="1">
      <c r="A30" s="9" t="s">
        <v>37</v>
      </c>
      <c r="B30" s="59">
        <f>COUNTIFS(Jan!$B:$B,2144,Jan!$J:$J,4400)</f>
        <v>1</v>
      </c>
      <c r="C30" s="59">
        <f>COUNTIFS(Feb!$B:$B,2144,Feb!$J:$J,4400)</f>
        <v>0</v>
      </c>
      <c r="D30" s="59">
        <f>COUNTIFS(Mar!$B:$B,2144,Mar!$J:$J,4400)</f>
        <v>0</v>
      </c>
      <c r="E30" s="59">
        <f>COUNTIFS(Apr!$B:$B,2144,Apr!$J:$J,4400)</f>
        <v>0</v>
      </c>
      <c r="F30" s="59">
        <f>COUNTIFS(May!$B:$B,2144,May!$J:$J,4400)</f>
        <v>0</v>
      </c>
      <c r="G30" s="59">
        <f>COUNTIFS(Jun!$B:$B,2144,Jun!$J:$J,4400)</f>
        <v>0</v>
      </c>
      <c r="H30" s="59">
        <f>COUNTIFS(Jul!$B:$B,2144,Jul!$J:$J,4400)</f>
        <v>0</v>
      </c>
      <c r="I30" s="59">
        <f>COUNTIFS(Aug!$B:$B,2144,Aug!$J:$J,4400)</f>
        <v>0</v>
      </c>
      <c r="J30" s="59">
        <f>COUNTIFS(Sep!$B:$B,2144,Sep!$J:$J,4400)</f>
        <v>0</v>
      </c>
      <c r="K30" s="59">
        <f>COUNTIFS(Oct!$B:$B,2144,Oct!$J:$J,4400)</f>
        <v>0</v>
      </c>
      <c r="L30" s="59">
        <f>COUNTIFS(Nov!$B:$B,2144,Nov!$J:$J,4400)</f>
        <v>0</v>
      </c>
      <c r="M30" s="59">
        <v>0</v>
      </c>
    </row>
    <row r="31" spans="1:17" s="8" customFormat="1" ht="11.25" customHeight="1">
      <c r="A31" s="10" t="s">
        <v>24</v>
      </c>
      <c r="B31" s="59">
        <f>COUNTIFS(Jan!$B:$B,2144,Jan!$J:$J,30)</f>
        <v>0</v>
      </c>
      <c r="C31" s="59">
        <f>COUNTIFS(Feb!$B:$B,2144,Feb!$J:$J,30)</f>
        <v>0</v>
      </c>
      <c r="D31" s="59">
        <f>COUNTIFS(Mar!$B:$B,2144,Mar!$J:$J,30)</f>
        <v>0</v>
      </c>
      <c r="E31" s="59">
        <f>COUNTIFS(Apr!$B:$B,2144,Apr!$J:$J,30)</f>
        <v>0</v>
      </c>
      <c r="F31" s="59">
        <f>COUNTIFS(May!$B:$B,2144,May!$J:$J,30)</f>
        <v>0</v>
      </c>
      <c r="G31" s="59">
        <f>COUNTIFS(Jun!$B:$B,2144,Jun!$J:$J,30)</f>
        <v>0</v>
      </c>
      <c r="H31" s="59">
        <f>COUNTIFS(Jul!$B:$B,2144,Jul!$J:$J,30)</f>
        <v>0</v>
      </c>
      <c r="I31" s="59">
        <f>COUNTIFS(Aug!$B:$B,2144,Aug!$J:$J,30)</f>
        <v>0</v>
      </c>
      <c r="J31" s="59">
        <f>COUNTIFS(Sep!$B:$B,2144,Sep!$J:$J,30)</f>
        <v>0</v>
      </c>
      <c r="K31" s="59">
        <f>COUNTIFS(Oct!$B:$B,2144,Oct!$J:$J,30)</f>
        <v>0</v>
      </c>
      <c r="L31" s="59">
        <f>COUNTIFS(Nov!$B:$B,2144,Nov!$J:$J,30)</f>
        <v>0</v>
      </c>
      <c r="M31" s="59">
        <v>0</v>
      </c>
    </row>
    <row r="32" spans="1:17" s="14" customFormat="1" ht="11.25" customHeight="1" thickBot="1">
      <c r="A32" s="2" t="s">
        <v>140</v>
      </c>
      <c r="B32" s="60">
        <f>SUM(B25:B31)</f>
        <v>21</v>
      </c>
      <c r="C32" s="60">
        <f t="shared" ref="C32:M32" si="10">SUM(C25:C31)</f>
        <v>9</v>
      </c>
      <c r="D32" s="60">
        <f>SUM(D25:D31)</f>
        <v>9</v>
      </c>
      <c r="E32" s="60">
        <f>SUM(E25:E31)</f>
        <v>8</v>
      </c>
      <c r="F32" s="60">
        <f>SUM(F25:F31)</f>
        <v>14</v>
      </c>
      <c r="G32" s="60">
        <f>SUM(G25:G31)</f>
        <v>6</v>
      </c>
      <c r="H32" s="60">
        <f t="shared" si="10"/>
        <v>15</v>
      </c>
      <c r="I32" s="60">
        <f t="shared" si="10"/>
        <v>21</v>
      </c>
      <c r="J32" s="60">
        <f t="shared" si="10"/>
        <v>20</v>
      </c>
      <c r="K32" s="60">
        <f t="shared" si="10"/>
        <v>6</v>
      </c>
      <c r="L32" s="159">
        <f t="shared" si="10"/>
        <v>8</v>
      </c>
      <c r="M32" s="170">
        <f t="shared" si="10"/>
        <v>13</v>
      </c>
    </row>
    <row r="33" spans="1:13" ht="12" customHeight="1" thickBot="1">
      <c r="A33" s="55" t="s">
        <v>136</v>
      </c>
      <c r="B33" s="50">
        <v>41275</v>
      </c>
      <c r="C33" s="47">
        <v>41306</v>
      </c>
      <c r="D33" s="47">
        <v>41334</v>
      </c>
      <c r="E33" s="47">
        <v>41365</v>
      </c>
      <c r="F33" s="47">
        <v>41395</v>
      </c>
      <c r="G33" s="47">
        <v>41426</v>
      </c>
      <c r="H33" s="47">
        <v>41456</v>
      </c>
      <c r="I33" s="47">
        <v>41487</v>
      </c>
      <c r="J33" s="47">
        <v>41518</v>
      </c>
      <c r="K33" s="47">
        <v>41548</v>
      </c>
      <c r="L33" s="47">
        <v>41579</v>
      </c>
      <c r="M33" s="51">
        <v>41609</v>
      </c>
    </row>
    <row r="34" spans="1:13" s="8" customFormat="1" ht="11.25" customHeight="1">
      <c r="A34" s="46" t="s">
        <v>33</v>
      </c>
      <c r="B34" s="57">
        <f>COUNTIFS(Jan!$B:$B,2144,Jan!$J:$J,40)</f>
        <v>1</v>
      </c>
      <c r="C34" s="57">
        <f>COUNTIFS(Feb!$B:$B,2144,Feb!$J:$J,40)</f>
        <v>0</v>
      </c>
      <c r="D34" s="57">
        <f>COUNTIFS(Mar!$B:$B,2144,Mar!$J:$J,40)</f>
        <v>0</v>
      </c>
      <c r="E34" s="57">
        <f>COUNTIFS(Apr!$B:$B,2144,Apr!$J:$J,40)</f>
        <v>0</v>
      </c>
      <c r="F34" s="57">
        <f>COUNTIFS(May!$B:$B,2144,May!$J:$J,40)</f>
        <v>0</v>
      </c>
      <c r="G34" s="57">
        <f>COUNTIFS(Jun!$B:$B,2144,Jun!$J:$J,40)</f>
        <v>0</v>
      </c>
      <c r="H34" s="57">
        <f>COUNTIFS(Jul!$B:$B,2144,Jul!$J:$J,40)</f>
        <v>0</v>
      </c>
      <c r="I34" s="57">
        <f>COUNTIFS(Aug!$B:$B,2144,Aug!$J:$J,40)</f>
        <v>0</v>
      </c>
      <c r="J34" s="57">
        <f>COUNTIFS(Sep!$B:$B,2144,Sep!$J:$J,40)</f>
        <v>0</v>
      </c>
      <c r="K34" s="57">
        <f>COUNTIFS(Oct!$B:$B,2144,Oct!$J:$J,40)</f>
        <v>0</v>
      </c>
      <c r="L34" s="57">
        <f>COUNTIFS(Nov!$B:$B,2144,Nov!$J:$J,40)</f>
        <v>0</v>
      </c>
      <c r="M34" s="57">
        <v>0</v>
      </c>
    </row>
    <row r="35" spans="1:13" s="8" customFormat="1" ht="11.25" customHeight="1">
      <c r="A35" s="10" t="s">
        <v>4</v>
      </c>
      <c r="B35" s="59">
        <f>COUNTIFS(Jan!$B:$B,2144,Jan!$J:$J,15)</f>
        <v>5</v>
      </c>
      <c r="C35" s="59">
        <v>1</v>
      </c>
      <c r="D35" s="59">
        <v>3</v>
      </c>
      <c r="E35" s="59">
        <v>3</v>
      </c>
      <c r="F35" s="59">
        <v>5</v>
      </c>
      <c r="G35" s="59">
        <v>5</v>
      </c>
      <c r="H35" s="59">
        <v>7</v>
      </c>
      <c r="I35" s="59">
        <v>6</v>
      </c>
      <c r="J35" s="59">
        <v>9</v>
      </c>
      <c r="K35" s="59">
        <f>COUNTIFS(Oct!$B:$B,2144,Oct!$J:$J,15)</f>
        <v>0</v>
      </c>
      <c r="L35" s="59">
        <v>5</v>
      </c>
      <c r="M35" s="59">
        <v>10</v>
      </c>
    </row>
    <row r="36" spans="1:13" s="8" customFormat="1" ht="11.25" customHeight="1">
      <c r="A36" s="10" t="s">
        <v>39</v>
      </c>
      <c r="B36" s="59">
        <f>COUNTIFS(Jan!$B:$B,2144,Jan!$J:$J,29)</f>
        <v>6</v>
      </c>
      <c r="C36" s="59">
        <v>4</v>
      </c>
      <c r="D36" s="59">
        <v>13</v>
      </c>
      <c r="E36" s="59">
        <v>9</v>
      </c>
      <c r="F36" s="59">
        <v>6</v>
      </c>
      <c r="G36" s="59">
        <v>8</v>
      </c>
      <c r="H36" s="59">
        <v>1</v>
      </c>
      <c r="I36" s="59">
        <v>4</v>
      </c>
      <c r="J36" s="59">
        <v>8</v>
      </c>
      <c r="K36" s="59">
        <v>5</v>
      </c>
      <c r="L36" s="59">
        <v>5</v>
      </c>
      <c r="M36" s="59">
        <v>7</v>
      </c>
    </row>
    <row r="37" spans="1:13" s="8" customFormat="1" ht="11.25" customHeight="1">
      <c r="A37" s="10" t="s">
        <v>3</v>
      </c>
      <c r="B37" s="59">
        <f>COUNTIFS(Jan!$B:$B,2144,Jan!$J:$J,13)</f>
        <v>1</v>
      </c>
      <c r="C37" s="59">
        <v>4</v>
      </c>
      <c r="D37" s="59">
        <v>2</v>
      </c>
      <c r="E37" s="59">
        <v>4</v>
      </c>
      <c r="F37" s="59">
        <v>3</v>
      </c>
      <c r="G37" s="59">
        <f>COUNTIFS(Jun!$B:$B,2144,Jun!$J:$J,13)</f>
        <v>0</v>
      </c>
      <c r="H37" s="59">
        <v>1</v>
      </c>
      <c r="I37" s="59">
        <f>COUNTIFS(Aug!$B:$B,2144,Aug!$J:$J,13)</f>
        <v>0</v>
      </c>
      <c r="J37" s="59">
        <v>2</v>
      </c>
      <c r="K37" s="59">
        <v>2</v>
      </c>
      <c r="L37" s="59">
        <v>2</v>
      </c>
      <c r="M37" s="59">
        <v>3</v>
      </c>
    </row>
    <row r="38" spans="1:13" s="8" customFormat="1" ht="11.25" customHeight="1">
      <c r="A38" s="9" t="s">
        <v>218</v>
      </c>
      <c r="B38" s="59">
        <f>COUNTIFS(Jan!$B:$B,2144,Jan!$J:$J,43)</f>
        <v>8</v>
      </c>
      <c r="C38" s="59">
        <v>1</v>
      </c>
      <c r="D38" s="59">
        <v>3</v>
      </c>
      <c r="E38" s="59">
        <f>COUNTIFS(Apr!$B:$B,2144,Apr!$J:$J,43)</f>
        <v>0</v>
      </c>
      <c r="F38" s="59">
        <v>1</v>
      </c>
      <c r="G38" s="59">
        <f>COUNTIFS(Jun!$B:$B,2144,Jun!$J:$J,43)</f>
        <v>0</v>
      </c>
      <c r="H38" s="59">
        <v>0</v>
      </c>
      <c r="I38" s="59">
        <f>COUNTIFS(Aug!$B:$B,2144,Aug!$J:$J,43)</f>
        <v>0</v>
      </c>
      <c r="J38" s="59">
        <f>COUNTIFS(Sep!$B:$B,2144,Sep!$J:$J,43)</f>
        <v>0</v>
      </c>
      <c r="K38" s="59">
        <v>1</v>
      </c>
      <c r="L38" s="59">
        <f>COUNTIFS(Nov!$B:$B,2144,Nov!$J:$J,43)</f>
        <v>0</v>
      </c>
      <c r="M38" s="59">
        <v>2</v>
      </c>
    </row>
    <row r="39" spans="1:13" s="8" customFormat="1" ht="11.25" customHeight="1">
      <c r="A39" s="10" t="s">
        <v>25</v>
      </c>
      <c r="B39" s="59">
        <f>COUNTIFS(Jan!$B:$B,2144,Jan!$J:$J,24)</f>
        <v>12</v>
      </c>
      <c r="C39" s="59">
        <v>10</v>
      </c>
      <c r="D39" s="59">
        <v>11</v>
      </c>
      <c r="E39" s="59">
        <v>10</v>
      </c>
      <c r="F39" s="59">
        <v>10</v>
      </c>
      <c r="G39" s="59">
        <v>7</v>
      </c>
      <c r="H39" s="59">
        <v>11</v>
      </c>
      <c r="I39" s="59">
        <v>12</v>
      </c>
      <c r="J39" s="59">
        <v>5</v>
      </c>
      <c r="K39" s="59">
        <v>7</v>
      </c>
      <c r="L39" s="59">
        <v>13</v>
      </c>
      <c r="M39" s="59">
        <v>10</v>
      </c>
    </row>
    <row r="40" spans="1:13" s="8" customFormat="1" ht="11.25" customHeight="1">
      <c r="A40" s="10" t="s">
        <v>34</v>
      </c>
      <c r="B40" s="59">
        <f>COUNTIFS(Jan!$B:$B,2144,Jan!$J:$J,9)</f>
        <v>0</v>
      </c>
      <c r="C40" s="59">
        <f>COUNTIFS(Feb!$B:$B,2144,Feb!$J:$J,9)</f>
        <v>0</v>
      </c>
      <c r="D40" s="59">
        <f>COUNTIFS(Mar!$B:$B,2144,Mar!$J:$J,9)</f>
        <v>0</v>
      </c>
      <c r="E40" s="59">
        <f>COUNTIFS(Apr!$B:$B,2144,Apr!$J:$J,9)</f>
        <v>0</v>
      </c>
      <c r="F40" s="59">
        <f>COUNTIFS(May!$B:$B,2144,May!$J:$J,9)</f>
        <v>0</v>
      </c>
      <c r="G40" s="59">
        <v>1</v>
      </c>
      <c r="H40" s="59">
        <v>0</v>
      </c>
      <c r="I40" s="59">
        <f>COUNTIFS(Aug!$B:$B,2144,Aug!$J:$J,9)</f>
        <v>0</v>
      </c>
      <c r="J40" s="59">
        <f>COUNTIFS(Sep!$B:$B,2144,Sep!$J:$J,9)</f>
        <v>0</v>
      </c>
      <c r="K40" s="59">
        <f>COUNTIFS(Oct!$B:$B,2144,Oct!$J:$J,9)</f>
        <v>0</v>
      </c>
      <c r="L40" s="59">
        <f>COUNTIFS(Nov!$B:$B,2144,Nov!$J:$J,9)</f>
        <v>0</v>
      </c>
      <c r="M40" s="59">
        <v>0</v>
      </c>
    </row>
    <row r="41" spans="1:13" s="8" customFormat="1" ht="11.25" customHeight="1">
      <c r="A41" s="10" t="s">
        <v>31</v>
      </c>
      <c r="B41" s="59">
        <f>COUNTIFS(Jan!$B:$B,2144,Jan!$J:$J,10)</f>
        <v>1</v>
      </c>
      <c r="C41" s="59">
        <f>COUNTIFS(Feb!$B:$B,2144,Feb!$J:$J,10)</f>
        <v>0</v>
      </c>
      <c r="D41" s="59">
        <v>4</v>
      </c>
      <c r="E41" s="59">
        <v>4</v>
      </c>
      <c r="F41" s="59">
        <v>11</v>
      </c>
      <c r="G41" s="59">
        <v>6</v>
      </c>
      <c r="H41" s="59">
        <v>17</v>
      </c>
      <c r="I41" s="59">
        <v>6</v>
      </c>
      <c r="J41" s="59">
        <v>1</v>
      </c>
      <c r="K41" s="59">
        <f>COUNTIFS(Oct!$B:$B,2144,Oct!$J:$J,10)</f>
        <v>0</v>
      </c>
      <c r="L41" s="59">
        <v>2</v>
      </c>
      <c r="M41" s="59">
        <v>0</v>
      </c>
    </row>
    <row r="42" spans="1:13" s="8" customFormat="1" ht="11.25" customHeight="1">
      <c r="A42" s="10" t="s">
        <v>144</v>
      </c>
      <c r="B42" s="59">
        <f>COUNTIFS(Jan!$B:$B,2144,Jan!$F:$F,462)</f>
        <v>1</v>
      </c>
      <c r="C42" s="59">
        <f>COUNTIFS(Feb!$B:$B,2144,Feb!$F:$F,462)</f>
        <v>0</v>
      </c>
      <c r="D42" s="59">
        <f>COUNTIFS(Mar!$B:$B,2144,Mar!$F:$F,462)</f>
        <v>0</v>
      </c>
      <c r="E42" s="59">
        <f>COUNTIFS(Apr!$B:$B,2144,Apr!$F:$F,462)</f>
        <v>0</v>
      </c>
      <c r="F42" s="59">
        <f>COUNTIFS(May!$B:$B,2144,May!$F:$F,462)</f>
        <v>0</v>
      </c>
      <c r="G42" s="59">
        <f>COUNTIFS(Jun!$B:$B,2144,Jun!$F:$F,462)</f>
        <v>0</v>
      </c>
      <c r="H42" s="59">
        <v>0</v>
      </c>
      <c r="I42" s="59">
        <f>COUNTIFS(Aug!$B:$B,2144,Aug!$F:$F,462)</f>
        <v>0</v>
      </c>
      <c r="J42" s="59">
        <f>COUNTIFS(Sep!$B:$B,2144,Sep!$F:$F,462)</f>
        <v>0</v>
      </c>
      <c r="K42" s="59">
        <f>COUNTIFS(Oct!$B:$B,2144,Oct!$F:$F,462)</f>
        <v>0</v>
      </c>
      <c r="L42" s="59">
        <f>COUNTIFS(Nov!$B:$B,2144,Nov!$F:$F,462)</f>
        <v>0</v>
      </c>
      <c r="M42" s="59">
        <v>0</v>
      </c>
    </row>
    <row r="43" spans="1:13" s="8" customFormat="1" ht="11.25" customHeight="1">
      <c r="A43" s="10" t="s">
        <v>1</v>
      </c>
      <c r="B43" s="59">
        <f>COUNTIFS(Jan!$B:$B,2144,Jan!$J:$J,11)</f>
        <v>10</v>
      </c>
      <c r="C43" s="59">
        <v>7</v>
      </c>
      <c r="D43" s="59">
        <v>7</v>
      </c>
      <c r="E43" s="59">
        <v>6</v>
      </c>
      <c r="F43" s="59">
        <v>6</v>
      </c>
      <c r="G43" s="59">
        <v>2</v>
      </c>
      <c r="H43" s="59">
        <v>2</v>
      </c>
      <c r="I43" s="59">
        <v>17</v>
      </c>
      <c r="J43" s="59">
        <v>20</v>
      </c>
      <c r="K43" s="59">
        <v>5</v>
      </c>
      <c r="L43" s="59">
        <v>6</v>
      </c>
      <c r="M43" s="59">
        <v>22</v>
      </c>
    </row>
    <row r="44" spans="1:13" s="8" customFormat="1" ht="11.25" customHeight="1">
      <c r="A44" s="10" t="s">
        <v>26</v>
      </c>
      <c r="B44" s="59">
        <f>COUNTIFS(Jan!$B:$B,2144,Jan!$J:$J,20)</f>
        <v>0</v>
      </c>
      <c r="C44" s="59">
        <f>COUNTIFS(Feb!$B:$B,2144,Feb!$J:$J,20)</f>
        <v>0</v>
      </c>
      <c r="D44" s="59">
        <f>COUNTIFS(Mar!$B:$B,2144,Mar!$J:$J,20)</f>
        <v>0</v>
      </c>
      <c r="E44" s="59">
        <f>COUNTIFS(Apr!$B:$B,2144,Apr!$J:$J,20)</f>
        <v>0</v>
      </c>
      <c r="F44" s="59">
        <f>COUNTIFS(May!$B:$B,2144,May!$J:$J,20)</f>
        <v>0</v>
      </c>
      <c r="G44" s="59">
        <v>1</v>
      </c>
      <c r="H44" s="59">
        <v>0</v>
      </c>
      <c r="I44" s="59">
        <v>1</v>
      </c>
      <c r="J44" s="59">
        <f>COUNTIFS(Sep!$B:$B,2144,Sep!$J:$J,20)</f>
        <v>0</v>
      </c>
      <c r="K44" s="59">
        <v>1</v>
      </c>
      <c r="L44" s="59">
        <f>COUNTIFS(Nov!$B:$B,2144,Nov!$J:$J,20)</f>
        <v>0</v>
      </c>
      <c r="M44" s="59">
        <v>0</v>
      </c>
    </row>
    <row r="45" spans="1:13" s="8" customFormat="1" ht="11.25" customHeight="1">
      <c r="A45" s="10" t="s">
        <v>32</v>
      </c>
      <c r="B45" s="59">
        <f>COUNTIFS(Jan!$B:$B,2144,Jan!$J:$J,2)</f>
        <v>13</v>
      </c>
      <c r="C45" s="59">
        <v>13</v>
      </c>
      <c r="D45" s="59">
        <v>13</v>
      </c>
      <c r="E45" s="59">
        <v>14</v>
      </c>
      <c r="F45" s="59">
        <v>11</v>
      </c>
      <c r="G45" s="59">
        <v>7</v>
      </c>
      <c r="H45" s="59">
        <v>14</v>
      </c>
      <c r="I45" s="59">
        <v>12</v>
      </c>
      <c r="J45" s="59">
        <v>10</v>
      </c>
      <c r="K45" s="59">
        <v>5</v>
      </c>
      <c r="L45" s="59">
        <v>10</v>
      </c>
      <c r="M45" s="59">
        <v>15</v>
      </c>
    </row>
    <row r="46" spans="1:13" s="8" customFormat="1" ht="11.25" customHeight="1">
      <c r="A46" s="10" t="s">
        <v>28</v>
      </c>
      <c r="B46" s="59">
        <f>COUNTIFS(Jan!$B:$B,2144,Jan!$J:$J,1700)+COUNTIFS(Jan!$B:$B,2144,Jan!$F:$F,1700)+COUNTIFS(Jan!$B:$B,2144,Jan!$J:$J,19)</f>
        <v>0</v>
      </c>
      <c r="C46" s="59">
        <f>COUNTIFS(Feb!$B:$B,2144,Feb!$J:$J,1700)+COUNTIFS(Feb!$B:$B,2144,Feb!$F:$F,1700)+COUNTIFS(Feb!$B:$B,2144,Feb!$J:$J,19)</f>
        <v>0</v>
      </c>
      <c r="D46" s="59">
        <f>COUNTIFS(Mar!$B:$B,2144,Mar!$J:$J,1700)+COUNTIFS(Mar!$B:$B,2144,Mar!$F:$F,1700)+COUNTIFS(Mar!$B:$B,2144,Mar!$J:$J,19)</f>
        <v>0</v>
      </c>
      <c r="E46" s="59">
        <f>COUNTIFS(Apr!$B:$B,2144,Apr!$J:$J,1700)+COUNTIFS(Apr!$B:$B,2144,Apr!$F:$F,1700)+COUNTIFS(Apr!$B:$B,2144,Apr!$J:$J,19)</f>
        <v>0</v>
      </c>
      <c r="F46" s="59">
        <f>COUNTIFS(May!$B:$B,2144,May!$J:$J,1700)+COUNTIFS(May!$B:$B,2144,May!$F:$F,1700)+COUNTIFS(May!$B:$B,2144,May!$J:$J,19)</f>
        <v>0</v>
      </c>
      <c r="G46" s="59">
        <f>COUNTIFS(Jun!$B:$B,2144,Jun!$J:$J,1700)+COUNTIFS(Jun!$B:$B,2144,Jun!$F:$F,1700)+COUNTIFS(Jun!$B:$B,2144,Jun!$J:$J,19)</f>
        <v>0</v>
      </c>
      <c r="H46" s="59">
        <v>0</v>
      </c>
      <c r="I46" s="59">
        <f>COUNTIFS(Aug!$B:$B,2144,Aug!$J:$J,1700)+COUNTIFS(Aug!$B:$B,2144,Aug!$F:$F,1700)+COUNTIFS(Aug!$B:$B,2144,Aug!$J:$J,19)</f>
        <v>0</v>
      </c>
      <c r="J46" s="59">
        <f>COUNTIFS(Sep!$B:$B,2144,Sep!$J:$J,1700)+COUNTIFS(Sep!$B:$B,2144,Sep!$F:$F,1700)+COUNTIFS(Sep!$B:$B,2144,Sep!$J:$J,19)</f>
        <v>0</v>
      </c>
      <c r="K46" s="59">
        <f>COUNTIFS(Oct!$B:$B,2144,Oct!$J:$J,1700)+COUNTIFS(Oct!$B:$B,2144,Oct!$F:$F,1700)+COUNTIFS(Oct!$B:$B,2144,Oct!$J:$J,19)</f>
        <v>0</v>
      </c>
      <c r="L46" s="59">
        <f>COUNTIFS(Nov!$B:$B,2144,Nov!$J:$J,1700)+COUNTIFS(Nov!$B:$B,2144,Nov!$F:$F,1700)+COUNTIFS(Nov!$B:$B,2144,Nov!$J:$J,19)</f>
        <v>0</v>
      </c>
      <c r="M46" s="59">
        <v>1</v>
      </c>
    </row>
    <row r="47" spans="1:13" s="8" customFormat="1" ht="11.25" customHeight="1">
      <c r="A47" s="10" t="s">
        <v>0</v>
      </c>
      <c r="B47" s="59">
        <f>COUNTIFS(Jan!$B:$B,2144,Jan!$J:$J,3)</f>
        <v>1</v>
      </c>
      <c r="C47" s="59">
        <v>4</v>
      </c>
      <c r="D47" s="59">
        <v>2</v>
      </c>
      <c r="E47" s="59">
        <f>COUNTIFS(Apr!$B:$B,2144,Apr!$J:$J,3)</f>
        <v>0</v>
      </c>
      <c r="F47" s="59">
        <v>2</v>
      </c>
      <c r="G47" s="59">
        <f>COUNTIFS(Jun!$B:$B,2144,Jun!$J:$J,3)</f>
        <v>0</v>
      </c>
      <c r="H47" s="59">
        <v>2</v>
      </c>
      <c r="I47" s="59">
        <v>1</v>
      </c>
      <c r="J47" s="59">
        <v>1</v>
      </c>
      <c r="K47" s="59">
        <v>1</v>
      </c>
      <c r="L47" s="59">
        <f>COUNTIFS(Nov!$B:$B,2144,Nov!$J:$J,3)</f>
        <v>0</v>
      </c>
      <c r="M47" s="59">
        <v>3</v>
      </c>
    </row>
    <row r="48" spans="1:13" s="8" customFormat="1" ht="11.25" customHeight="1">
      <c r="A48" s="10" t="s">
        <v>35</v>
      </c>
      <c r="B48" s="59">
        <f>COUNTIFS(Jan!$B:$B,2144,Jan!$J:$J,7400)</f>
        <v>1</v>
      </c>
      <c r="C48" s="59">
        <f>COUNTIFS(Feb!$B:$B,2144,Feb!$J:$J,7400)</f>
        <v>0</v>
      </c>
      <c r="D48" s="59">
        <f>COUNTIFS(Mar!$B:$B,2144,Mar!$J:$J,7400)</f>
        <v>0</v>
      </c>
      <c r="E48" s="59">
        <f>COUNTIFS(Apr!$B:$B,2144,Apr!$J:$J,7400)</f>
        <v>0</v>
      </c>
      <c r="F48" s="59">
        <v>1</v>
      </c>
      <c r="G48" s="59">
        <f>COUNTIFS(Jun!$B:$B,2144,Jun!$J:$J,7400)</f>
        <v>0</v>
      </c>
      <c r="H48" s="59">
        <v>1</v>
      </c>
      <c r="I48" s="59">
        <f>COUNTIFS(Aug!$B:$B,2144,Aug!$J:$J,7400)</f>
        <v>0</v>
      </c>
      <c r="J48" s="59">
        <f>COUNTIFS(Sep!$B:$B,2144,Sep!$J:$J,7400)</f>
        <v>0</v>
      </c>
      <c r="K48" s="59">
        <f>COUNTIFS(Oct!$B:$B,2144,Oct!$J:$J,7400)</f>
        <v>0</v>
      </c>
      <c r="L48" s="59">
        <f>COUNTIFS(Nov!$B:$B,2144,Nov!$J:$J,7400)</f>
        <v>0</v>
      </c>
      <c r="M48" s="59">
        <v>0</v>
      </c>
    </row>
    <row r="49" spans="1:13" s="8" customFormat="1" ht="11.25" customHeight="1">
      <c r="A49" s="10" t="s">
        <v>2</v>
      </c>
      <c r="B49" s="59">
        <f>COUNTIFS(Jan!$B:$B,2144,Jan!$J:$J,14)</f>
        <v>4</v>
      </c>
      <c r="C49" s="59">
        <v>1</v>
      </c>
      <c r="D49" s="59">
        <v>2</v>
      </c>
      <c r="E49" s="59">
        <v>2</v>
      </c>
      <c r="F49" s="59">
        <v>1</v>
      </c>
      <c r="G49" s="59">
        <f>COUNTIFS(Jun!$B:$B,2144,Jun!$J:$J,14)</f>
        <v>0</v>
      </c>
      <c r="H49" s="59">
        <v>3</v>
      </c>
      <c r="I49" s="59">
        <v>5</v>
      </c>
      <c r="J49" s="59">
        <v>3</v>
      </c>
      <c r="K49" s="59">
        <f>COUNTIFS(Oct!$B:$B,2144,Oct!$J:$J,14)</f>
        <v>0</v>
      </c>
      <c r="L49" s="59">
        <v>1</v>
      </c>
      <c r="M49" s="59">
        <v>2</v>
      </c>
    </row>
    <row r="50" spans="1:13" s="8" customFormat="1" ht="11.25" customHeight="1">
      <c r="A50" s="10" t="s">
        <v>142</v>
      </c>
      <c r="B50" s="59">
        <f>COUNTIFS(Jan!$B:$B,2144,Jan!$F:$F,466)</f>
        <v>2</v>
      </c>
      <c r="C50" s="59">
        <f>COUNTIFS(Feb!$B:$B,2144,Feb!$F:$F,466)</f>
        <v>0</v>
      </c>
      <c r="D50" s="59">
        <v>1</v>
      </c>
      <c r="E50" s="59">
        <f>COUNTIFS(Apr!$B:$B,2144,Apr!$F:$F,466)</f>
        <v>0</v>
      </c>
      <c r="F50" s="59">
        <f>COUNTIFS(May!$B:$B,2144,May!$F:$F,466)</f>
        <v>0</v>
      </c>
      <c r="G50" s="59">
        <v>1</v>
      </c>
      <c r="H50" s="59">
        <v>0</v>
      </c>
      <c r="I50" s="59">
        <f>COUNTIFS(Aug!$B:$B,2144,Aug!$F:$F,466)</f>
        <v>0</v>
      </c>
      <c r="J50" s="59">
        <f>COUNTIFS(Sep!$B:$B,2144,Sep!$F:$F,466)</f>
        <v>0</v>
      </c>
      <c r="K50" s="59">
        <v>1</v>
      </c>
      <c r="L50" s="59">
        <f>COUNTIFS(Nov!$B:$B,2144,Nov!$F:$F,466)</f>
        <v>0</v>
      </c>
      <c r="M50" s="59">
        <v>1</v>
      </c>
    </row>
    <row r="51" spans="1:13" s="8" customFormat="1" ht="11.25" customHeight="1">
      <c r="A51" s="10" t="s">
        <v>27</v>
      </c>
      <c r="B51" s="59">
        <f>COUNTIFS(Jan!$B:$B,2144,Jan!$J:$J,25)</f>
        <v>0</v>
      </c>
      <c r="C51" s="59">
        <f>COUNTIFS(Feb!$B:$B,2144,Feb!$J:$J,25)</f>
        <v>0</v>
      </c>
      <c r="D51" s="59">
        <f>COUNTIFS(Mar!$B:$B,2144,Mar!$J:$J,25)</f>
        <v>0</v>
      </c>
      <c r="E51" s="59">
        <f>COUNTIFS(Apr!$B:$B,2144,Apr!$J:$J,25)</f>
        <v>0</v>
      </c>
      <c r="F51" s="59">
        <f>COUNTIFS(May!$B:$B,2144,May!$J:$J,25)</f>
        <v>0</v>
      </c>
      <c r="G51" s="59">
        <f>COUNTIFS(Jun!$B:$B,2144,Jun!$J:$J,25)</f>
        <v>0</v>
      </c>
      <c r="H51" s="59">
        <f>COUNTIFS(Jul!$B:$B,2144,Jul!$J:$J,25)</f>
        <v>0</v>
      </c>
      <c r="I51" s="59">
        <f>COUNTIFS(Aug!$B:$B,2144,Aug!$J:$J,25)</f>
        <v>0</v>
      </c>
      <c r="J51" s="59">
        <f>COUNTIFS(Sep!$B:$B,2144,Sep!$J:$J,25)</f>
        <v>0</v>
      </c>
      <c r="K51" s="59">
        <f>COUNTIFS(Oct!$B:$B,2144,Oct!$J:$J,25)</f>
        <v>0</v>
      </c>
      <c r="L51" s="59">
        <f>COUNTIFS(Nov!$B:$B,2144,Nov!$J:$J,25)</f>
        <v>0</v>
      </c>
      <c r="M51" s="59">
        <v>0</v>
      </c>
    </row>
    <row r="52" spans="1:13" s="8" customFormat="1" ht="11.25" customHeight="1" thickBot="1">
      <c r="A52" s="11" t="s">
        <v>16</v>
      </c>
      <c r="B52" s="60">
        <f>SUM(B34:B51)</f>
        <v>66</v>
      </c>
      <c r="C52" s="60">
        <f t="shared" ref="C52:M52" si="11">SUM(C34:C51)</f>
        <v>45</v>
      </c>
      <c r="D52" s="60">
        <f>SUM(D34:D51)</f>
        <v>61</v>
      </c>
      <c r="E52" s="60">
        <f>SUM(E34:E51)</f>
        <v>52</v>
      </c>
      <c r="F52" s="60">
        <f>SUM(F34:F51)</f>
        <v>57</v>
      </c>
      <c r="G52" s="60">
        <f>SUM(G34:G51)</f>
        <v>38</v>
      </c>
      <c r="H52" s="60">
        <f t="shared" si="11"/>
        <v>59</v>
      </c>
      <c r="I52" s="60">
        <f t="shared" si="11"/>
        <v>64</v>
      </c>
      <c r="J52" s="60">
        <f t="shared" si="11"/>
        <v>59</v>
      </c>
      <c r="K52" s="60">
        <f t="shared" si="11"/>
        <v>28</v>
      </c>
      <c r="L52" s="159">
        <f t="shared" si="11"/>
        <v>44</v>
      </c>
      <c r="M52" s="170">
        <f t="shared" si="11"/>
        <v>76</v>
      </c>
    </row>
    <row r="53" spans="1:13" ht="12" customHeight="1" thickBot="1">
      <c r="A53" s="55" t="s">
        <v>137</v>
      </c>
      <c r="B53" s="50">
        <v>41275</v>
      </c>
      <c r="C53" s="47">
        <v>41306</v>
      </c>
      <c r="D53" s="47">
        <v>41334</v>
      </c>
      <c r="E53" s="47">
        <v>41365</v>
      </c>
      <c r="F53" s="47">
        <v>41395</v>
      </c>
      <c r="G53" s="47">
        <v>41426</v>
      </c>
      <c r="H53" s="47">
        <v>41456</v>
      </c>
      <c r="I53" s="47">
        <v>41487</v>
      </c>
      <c r="J53" s="47">
        <v>41518</v>
      </c>
      <c r="K53" s="47">
        <v>41548</v>
      </c>
      <c r="L53" s="47">
        <v>41579</v>
      </c>
      <c r="M53" s="51">
        <v>41609</v>
      </c>
    </row>
    <row r="54" spans="1:13" s="8" customFormat="1" ht="11.25" customHeight="1">
      <c r="A54" s="10" t="s">
        <v>30</v>
      </c>
      <c r="B54" s="57">
        <f>COUNTIFS(Jan!$B:$B,2144,Jan!$J:$J,7)</f>
        <v>0</v>
      </c>
      <c r="C54" s="57">
        <f>COUNTIFS(Feb!$B:$B,2144,Feb!$J:$J,7)</f>
        <v>0</v>
      </c>
      <c r="D54" s="57">
        <v>2</v>
      </c>
      <c r="E54" s="57">
        <v>2</v>
      </c>
      <c r="F54" s="57">
        <v>2</v>
      </c>
      <c r="G54" s="57">
        <v>4</v>
      </c>
      <c r="H54" s="57">
        <f>COUNTIFS(Jul!$B:$B,2144,Jul!$J:$J,7)</f>
        <v>0</v>
      </c>
      <c r="I54" s="57">
        <v>3</v>
      </c>
      <c r="J54" s="57">
        <v>3</v>
      </c>
      <c r="K54" s="57">
        <f>COUNTIFS(Oct!$B:$B,2144,Oct!$J:$J,7)</f>
        <v>0</v>
      </c>
      <c r="L54" s="57">
        <f>COUNTIFS(Nov!$B:$B,2144,Nov!$J:$J,7)</f>
        <v>0</v>
      </c>
      <c r="M54" s="57">
        <v>1</v>
      </c>
    </row>
    <row r="55" spans="1:13" s="8" customFormat="1" ht="11.25" customHeight="1">
      <c r="A55" s="10" t="s">
        <v>29</v>
      </c>
      <c r="B55" s="59">
        <f>COUNTIFS(Jan!$B:$B,2144,Jan!$J:$J,8)</f>
        <v>0</v>
      </c>
      <c r="C55" s="59">
        <f>COUNTIFS(Feb!$B:$B,2144,Feb!$J:$J,8)</f>
        <v>0</v>
      </c>
      <c r="D55" s="59">
        <f>COUNTIFS(Mar!$B:$B,2144,Mar!$J:$J,8)</f>
        <v>0</v>
      </c>
      <c r="E55" s="59">
        <f>COUNTIFS(Apr!$B:$B,2144,Apr!$J:$J,8)</f>
        <v>0</v>
      </c>
      <c r="F55" s="59">
        <f>COUNTIFS(May!$B:$B,2144,May!$J:$J,8)</f>
        <v>0</v>
      </c>
      <c r="G55" s="59">
        <f>COUNTIFS(Jun!$B:$B,2144,Jun!$J:$J,8)</f>
        <v>0</v>
      </c>
      <c r="H55" s="59">
        <f>COUNTIFS(Jul!$B:$B,2144,Jul!$J:$J,8)</f>
        <v>0</v>
      </c>
      <c r="I55" s="59">
        <v>1</v>
      </c>
      <c r="J55" s="59">
        <f>COUNTIFS(Sep!$B:$B,2144,Sep!$J:$J,8)</f>
        <v>0</v>
      </c>
      <c r="K55" s="59">
        <f>COUNTIFS(Oct!$B:$B,2144,Oct!$J:$J,8)</f>
        <v>0</v>
      </c>
      <c r="L55" s="59">
        <f>COUNTIFS(Nov!$B:$B,2144,Nov!$J:$J,8)</f>
        <v>0</v>
      </c>
      <c r="M55" s="59">
        <v>0</v>
      </c>
    </row>
    <row r="56" spans="1:13" s="8" customFormat="1" ht="11.25" customHeight="1">
      <c r="A56" s="10" t="s">
        <v>7</v>
      </c>
      <c r="B56" s="59">
        <f>COUNTIFS(Jan!$B:$B,2144,Jan!$J:$J,12)</f>
        <v>1</v>
      </c>
      <c r="C56" s="59">
        <f>COUNTIFS(Feb!$B:$B,2144,Feb!$J:$J,12)</f>
        <v>0</v>
      </c>
      <c r="D56" s="59">
        <v>1</v>
      </c>
      <c r="E56" s="59">
        <v>1</v>
      </c>
      <c r="F56" s="59">
        <v>11</v>
      </c>
      <c r="G56" s="59">
        <v>8</v>
      </c>
      <c r="H56" s="59">
        <v>16</v>
      </c>
      <c r="I56" s="59">
        <v>4</v>
      </c>
      <c r="J56" s="59">
        <f>COUNTIFS(Sep!$B:$B,2144,Sep!$J:$J,12)</f>
        <v>0</v>
      </c>
      <c r="K56" s="59">
        <f>COUNTIFS(Oct!$B:$B,2144,Oct!$J:$J,12)</f>
        <v>0</v>
      </c>
      <c r="L56" s="59">
        <f>COUNTIFS(Nov!$B:$B,2144,Nov!$J:$J,12)</f>
        <v>0</v>
      </c>
      <c r="M56" s="59">
        <v>1</v>
      </c>
    </row>
    <row r="57" spans="1:13" s="8" customFormat="1" ht="11.25" customHeight="1">
      <c r="A57" s="10" t="s">
        <v>10</v>
      </c>
      <c r="B57" s="59">
        <f>COUNTIFS(Jan!$B:$B,2144,Jan!$J:$J,5100)</f>
        <v>0</v>
      </c>
      <c r="C57" s="59">
        <f>COUNTIFS(Feb!$B:$B,2144,Feb!$J:$J,5100)</f>
        <v>0</v>
      </c>
      <c r="D57" s="59">
        <f>COUNTIFS(Mar!$B:$B,2144,Mar!$J:$J,5100)</f>
        <v>0</v>
      </c>
      <c r="E57" s="59">
        <f>COUNTIFS(Apr!$B:$B,2144,Apr!$J:$J,5100)</f>
        <v>0</v>
      </c>
      <c r="F57" s="59">
        <f>COUNTIFS(May!$B:$B,2144,May!$J:$J,5100)</f>
        <v>0</v>
      </c>
      <c r="G57" s="59">
        <f>COUNTIFS(Jun!$B:$B,2144,Jun!$J:$J,5100)</f>
        <v>0</v>
      </c>
      <c r="H57" s="59">
        <f>COUNTIFS(Jul!$B:$B,2144,Jul!$J:$J,5100)</f>
        <v>0</v>
      </c>
      <c r="I57" s="59">
        <f>COUNTIFS(Aug!$B:$B,2144,Aug!$J:$J,5100)</f>
        <v>0</v>
      </c>
      <c r="J57" s="59">
        <f>COUNTIFS(Sep!$B:$B,2144,Sep!$J:$J,5100)</f>
        <v>0</v>
      </c>
      <c r="K57" s="59">
        <f>COUNTIFS(Oct!$B:$B,2144,Oct!$J:$J,5100)</f>
        <v>0</v>
      </c>
      <c r="L57" s="59">
        <f>COUNTIFS(Nov!$B:$B,2144,Nov!$J:$J,5100)</f>
        <v>0</v>
      </c>
      <c r="M57" s="59">
        <v>0</v>
      </c>
    </row>
    <row r="58" spans="1:13" s="8" customFormat="1" ht="11.25" customHeight="1">
      <c r="A58" s="10" t="s">
        <v>36</v>
      </c>
      <c r="B58" s="59">
        <f>COUNTIFS(Jan!$B:$B,2144,Jan!$J:$J,6200)</f>
        <v>0</v>
      </c>
      <c r="C58" s="59">
        <f>COUNTIFS(Feb!$B:$B,2144,Feb!$J:$J,6200)</f>
        <v>0</v>
      </c>
      <c r="D58" s="59">
        <f>COUNTIFS(Mar!$B:$B,2144,Mar!$J:$J,6200)</f>
        <v>0</v>
      </c>
      <c r="E58" s="59">
        <f>COUNTIFS(Apr!$B:$B,2144,Apr!$J:$J,6200)</f>
        <v>0</v>
      </c>
      <c r="F58" s="59">
        <f>COUNTIFS(May!$B:$B,2144,May!$J:$J,6200)</f>
        <v>0</v>
      </c>
      <c r="G58" s="59">
        <f>COUNTIFS(Jun!$B:$B,2144,Jun!$J:$J,6200)</f>
        <v>0</v>
      </c>
      <c r="H58" s="59">
        <f>COUNTIFS(Jul!$B:$B,2144,Jul!$J:$J,6200)</f>
        <v>0</v>
      </c>
      <c r="I58" s="59">
        <f>COUNTIFS(Aug!$B:$B,2144,Aug!$J:$J,6200)</f>
        <v>0</v>
      </c>
      <c r="J58" s="59">
        <f>COUNTIFS(Sep!$B:$B,2144,Sep!$J:$J,6200)</f>
        <v>0</v>
      </c>
      <c r="K58" s="59">
        <f>COUNTIFS(Oct!$B:$B,2144,Oct!$J:$J,6200)</f>
        <v>0</v>
      </c>
      <c r="L58" s="59">
        <f>COUNTIFS(Nov!$B:$B,2144,Nov!$J:$J,6200)</f>
        <v>0</v>
      </c>
      <c r="M58" s="59">
        <v>0</v>
      </c>
    </row>
    <row r="59" spans="1:13" s="8" customFormat="1" ht="11.25" customHeight="1">
      <c r="A59" s="10" t="s">
        <v>145</v>
      </c>
      <c r="B59" s="59">
        <f>COUNTIFS(Jan!$B:$B,2144,Jan!$J:$J,28)</f>
        <v>0</v>
      </c>
      <c r="C59" s="59">
        <f>COUNTIFS(Feb!$B:$B,2144,Feb!$J:$J,28)</f>
        <v>0</v>
      </c>
      <c r="D59" s="59">
        <f>COUNTIFS(Mar!$B:$B,2144,Mar!$J:$J,28)</f>
        <v>0</v>
      </c>
      <c r="E59" s="59">
        <f>COUNTIFS(Apr!$B:$B,2144,Apr!$J:$J,28)</f>
        <v>0</v>
      </c>
      <c r="F59" s="59">
        <f>COUNTIFS(May!$B:$B,2144,May!$J:$J,28)</f>
        <v>0</v>
      </c>
      <c r="G59" s="59">
        <f>COUNTIFS(Jun!$B:$B,2144,Jun!$J:$J,28)</f>
        <v>0</v>
      </c>
      <c r="H59" s="59">
        <f>COUNTIFS(Jul!$B:$B,2144,Jul!$J:$J,28)</f>
        <v>0</v>
      </c>
      <c r="I59" s="59">
        <f>COUNTIFS(Aug!$B:$B,2144,Aug!$J:$J,28)</f>
        <v>0</v>
      </c>
      <c r="J59" s="59">
        <f>COUNTIFS(Sep!$B:$B,2144,Sep!$J:$J,28)</f>
        <v>0</v>
      </c>
      <c r="K59" s="59">
        <f>COUNTIFS(Oct!$B:$B,2144,Oct!$J:$J,28)</f>
        <v>0</v>
      </c>
      <c r="L59" s="59">
        <f>COUNTIFS(Nov!$B:$B,2144,Nov!$J:$J,28)</f>
        <v>0</v>
      </c>
      <c r="M59" s="59">
        <v>0</v>
      </c>
    </row>
    <row r="60" spans="1:13" s="8" customFormat="1" ht="11.25" customHeight="1">
      <c r="A60" s="10" t="s">
        <v>38</v>
      </c>
      <c r="B60" s="59">
        <f>COUNTIFS(Jan!$B:$B,2144,Jan!$J:$J,6100)</f>
        <v>0</v>
      </c>
      <c r="C60" s="59">
        <v>2</v>
      </c>
      <c r="D60" s="59">
        <f>COUNTIFS(Mar!$B:$B,2144,Mar!$J:$J,6100)</f>
        <v>0</v>
      </c>
      <c r="E60" s="59">
        <v>1</v>
      </c>
      <c r="F60" s="59">
        <v>1</v>
      </c>
      <c r="G60" s="59">
        <v>1</v>
      </c>
      <c r="H60" s="59">
        <v>1</v>
      </c>
      <c r="I60" s="59">
        <v>1</v>
      </c>
      <c r="J60" s="59">
        <v>3</v>
      </c>
      <c r="K60" s="59">
        <f>COUNTIFS(Oct!$B:$B,2144,Oct!$J:$J,6100)</f>
        <v>0</v>
      </c>
      <c r="L60" s="59">
        <v>1</v>
      </c>
      <c r="M60" s="59">
        <v>1</v>
      </c>
    </row>
    <row r="61" spans="1:13" s="8" customFormat="1" ht="11.25" customHeight="1">
      <c r="A61" s="10" t="s">
        <v>9</v>
      </c>
      <c r="B61" s="59">
        <f>COUNTIFS(Jan!$B:$B,2144,Jan!$J:$J,6)</f>
        <v>3</v>
      </c>
      <c r="C61" s="59">
        <f>COUNTIFS(Feb!$B:$B,2144,Feb!$J:$J,6)</f>
        <v>0</v>
      </c>
      <c r="D61" s="59">
        <f>COUNTIFS(Mar!$B:$B,2144,Mar!$J:$J,6)</f>
        <v>0</v>
      </c>
      <c r="E61" s="59">
        <f>COUNTIFS(Apr!$B:$B,2144,Apr!$J:$J,6)</f>
        <v>0</v>
      </c>
      <c r="F61" s="59">
        <f>COUNTIFS(May!$B:$B,2144,May!$J:$J,6)</f>
        <v>0</v>
      </c>
      <c r="G61" s="59">
        <f>COUNTIFS(Jun!$B:$B,2144,Jun!$J:$J,6)</f>
        <v>0</v>
      </c>
      <c r="H61" s="59">
        <f>COUNTIFS(Jul!$B:$B,2144,Jul!$J:$J,6)</f>
        <v>0</v>
      </c>
      <c r="I61" s="59">
        <f>COUNTIFS(Aug!$B:$B,2144,Aug!$J:$J,6)</f>
        <v>0</v>
      </c>
      <c r="J61" s="59">
        <f>COUNTIFS(Sep!$B:$B,2144,Sep!$J:$J,6)</f>
        <v>0</v>
      </c>
      <c r="K61" s="59">
        <f>COUNTIFS(Oct!$B:$B,2144,Oct!$J:$J,6)</f>
        <v>0</v>
      </c>
      <c r="L61" s="59">
        <f>COUNTIFS(Nov!$B:$B,2144,Nov!$J:$J,6)</f>
        <v>0</v>
      </c>
      <c r="M61" s="59">
        <v>0</v>
      </c>
    </row>
    <row r="62" spans="1:13" s="8" customFormat="1" ht="11.25" customHeight="1">
      <c r="A62" s="10" t="s">
        <v>8</v>
      </c>
      <c r="B62" s="59">
        <f>COUNTIFS(Jan!$B:$B,2144,Jan!$J:$J,4)</f>
        <v>0</v>
      </c>
      <c r="C62" s="59">
        <f>COUNTIFS(Feb!$B:$B,2144,Feb!$J:$J,4)</f>
        <v>0</v>
      </c>
      <c r="D62" s="59">
        <f>COUNTIFS(Mar!$B:$B,2144,Mar!$J:$J,4)</f>
        <v>0</v>
      </c>
      <c r="E62" s="59">
        <f>COUNTIFS(Apr!$B:$B,2144,Apr!$J:$J,4)</f>
        <v>0</v>
      </c>
      <c r="F62" s="59">
        <f>COUNTIFS(May!$B:$B,2144,May!$J:$J,4)</f>
        <v>0</v>
      </c>
      <c r="G62" s="59">
        <f>COUNTIFS(Jun!$B:$B,2144,Jun!$J:$J,4)</f>
        <v>0</v>
      </c>
      <c r="H62" s="59">
        <f>COUNTIFS(Jul!$B:$B,2144,Jul!$J:$J,4)</f>
        <v>0</v>
      </c>
      <c r="I62" s="59">
        <f>COUNTIFS(Aug!$B:$B,2144,Aug!$J:$J,4)</f>
        <v>0</v>
      </c>
      <c r="J62" s="59">
        <f>COUNTIFS(Sep!$B:$B,2144,Sep!$J:$J,4)</f>
        <v>0</v>
      </c>
      <c r="K62" s="59">
        <f>COUNTIFS(Oct!$B:$B,2144,Oct!$J:$J,4)</f>
        <v>0</v>
      </c>
      <c r="L62" s="59">
        <f>COUNTIFS(Nov!$B:$B,2144,Nov!$J:$J,4)</f>
        <v>0</v>
      </c>
      <c r="M62" s="59">
        <v>0</v>
      </c>
    </row>
    <row r="63" spans="1:13" s="8" customFormat="1" ht="11.25" customHeight="1">
      <c r="A63" s="10" t="s">
        <v>6</v>
      </c>
      <c r="B63" s="59">
        <f>COUNTIFS(Jan!$B:$B,2144,Jan!$J:$J,5)</f>
        <v>0</v>
      </c>
      <c r="C63" s="59">
        <f>COUNTIFS(Feb!$B:$B,2144,Feb!$J:$J,5)</f>
        <v>0</v>
      </c>
      <c r="D63" s="59">
        <f>COUNTIFS(Mar!$B:$B,2144,Mar!$J:$J,5)</f>
        <v>0</v>
      </c>
      <c r="E63" s="59">
        <f>COUNTIFS(Apr!$B:$B,2144,Apr!$J:$J,5)</f>
        <v>0</v>
      </c>
      <c r="F63" s="59">
        <f>COUNTIFS(May!$B:$B,2144,May!$J:$J,5)</f>
        <v>0</v>
      </c>
      <c r="G63" s="59">
        <f>COUNTIFS(Jun!$B:$B,2144,Jun!$J:$J,5)</f>
        <v>0</v>
      </c>
      <c r="H63" s="59">
        <f>COUNTIFS(Jul!$B:$B,2144,Jul!$J:$J,5)</f>
        <v>0</v>
      </c>
      <c r="I63" s="59">
        <f>COUNTIFS(Aug!$B:$B,2144,Aug!$J:$J,5)</f>
        <v>0</v>
      </c>
      <c r="J63" s="59">
        <f>COUNTIFS(Sep!$B:$B,2144,Sep!$J:$J,5)</f>
        <v>0</v>
      </c>
      <c r="K63" s="59">
        <f>COUNTIFS(Oct!$B:$B,2144,Oct!$J:$J,5)</f>
        <v>0</v>
      </c>
      <c r="L63" s="59">
        <f>COUNTIFS(Nov!$B:$B,2144,Nov!$J:$J,5)</f>
        <v>0</v>
      </c>
      <c r="M63" s="59">
        <v>0</v>
      </c>
    </row>
    <row r="64" spans="1:13" s="8" customFormat="1" ht="11.25" customHeight="1">
      <c r="A64" s="52" t="s">
        <v>141</v>
      </c>
      <c r="B64" s="69">
        <f>COUNTIFS(Jan!$B:$B,2144,Jan!$F:$F,456)</f>
        <v>2</v>
      </c>
      <c r="C64" s="69">
        <v>3</v>
      </c>
      <c r="D64" s="69">
        <v>5</v>
      </c>
      <c r="E64" s="69">
        <v>4</v>
      </c>
      <c r="F64" s="69">
        <v>3</v>
      </c>
      <c r="G64" s="69">
        <v>1</v>
      </c>
      <c r="H64" s="69">
        <v>2</v>
      </c>
      <c r="I64" s="69">
        <f>COUNTIFS(Aug!$B:$B,2144,Aug!$F:$F,456)</f>
        <v>0</v>
      </c>
      <c r="J64" s="69">
        <f>COUNTIFS(Sep!$B:$B,2144,Sep!$F:$F,456)</f>
        <v>0</v>
      </c>
      <c r="K64" s="69">
        <f>COUNTIFS(Oct!$B:$B,2144,Oct!$F:$F,456)</f>
        <v>0</v>
      </c>
      <c r="L64" s="69">
        <v>1</v>
      </c>
      <c r="M64" s="69">
        <v>3</v>
      </c>
    </row>
    <row r="65" spans="1:13" s="8" customFormat="1" ht="11.25" customHeight="1" thickBot="1">
      <c r="A65" s="12" t="s">
        <v>16</v>
      </c>
      <c r="B65" s="70">
        <f>SUM(B54:B64)</f>
        <v>6</v>
      </c>
      <c r="C65" s="70">
        <f t="shared" ref="C65:M65" si="12">SUM(C54:C64)</f>
        <v>5</v>
      </c>
      <c r="D65" s="70">
        <f t="shared" si="12"/>
        <v>8</v>
      </c>
      <c r="E65" s="70">
        <f t="shared" si="12"/>
        <v>8</v>
      </c>
      <c r="F65" s="70">
        <f t="shared" si="12"/>
        <v>17</v>
      </c>
      <c r="G65" s="70">
        <f t="shared" si="12"/>
        <v>14</v>
      </c>
      <c r="H65" s="70">
        <f t="shared" si="12"/>
        <v>19</v>
      </c>
      <c r="I65" s="70">
        <f t="shared" si="12"/>
        <v>9</v>
      </c>
      <c r="J65" s="70">
        <f t="shared" si="12"/>
        <v>6</v>
      </c>
      <c r="K65" s="70">
        <f t="shared" si="12"/>
        <v>0</v>
      </c>
      <c r="L65" s="165">
        <f t="shared" si="12"/>
        <v>2</v>
      </c>
      <c r="M65" s="170">
        <f t="shared" si="12"/>
        <v>6</v>
      </c>
    </row>
    <row r="66" spans="1:13" s="8" customFormat="1" ht="15.75" customHeight="1">
      <c r="A66" s="6"/>
      <c r="B66" s="7"/>
      <c r="C66" s="7"/>
      <c r="D66" s="7"/>
      <c r="E66" s="7"/>
      <c r="F66" s="7"/>
      <c r="G66" s="7"/>
      <c r="H66" s="7"/>
      <c r="I66" s="7"/>
      <c r="J66" s="7"/>
      <c r="K66" s="7"/>
      <c r="L66" s="7"/>
      <c r="M66" s="7"/>
    </row>
    <row r="67" spans="1:13" ht="12" customHeight="1">
      <c r="A67" s="6"/>
      <c r="B67" s="7"/>
      <c r="C67" s="7"/>
      <c r="D67" s="7"/>
      <c r="E67" s="7"/>
      <c r="F67" s="7"/>
      <c r="G67" s="7"/>
      <c r="H67" s="7"/>
      <c r="I67" s="7"/>
      <c r="J67" s="7"/>
      <c r="K67" s="7"/>
      <c r="L67" s="7"/>
      <c r="M67" s="7"/>
    </row>
  </sheetData>
  <phoneticPr fontId="0" type="noConversion"/>
  <printOptions horizontalCentered="1" verticalCentered="1"/>
  <pageMargins left="0.14000000000000001" right="0.16" top="0.25" bottom="0.5" header="0.5" footer="0.25"/>
  <pageSetup scale="95" firstPageNumber="3" orientation="portrait" useFirstPageNumber="1" r:id="rId1"/>
  <headerFooter alignWithMargins="0">
    <oddFooter>&amp;R31 of 51</oddFooter>
  </headerFooter>
  <ignoredErrors>
    <ignoredError sqref="M32 M52 M65" formulaRange="1"/>
  </ignoredErrors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67"/>
  <sheetViews>
    <sheetView view="pageBreakPreview" topLeftCell="A4" zoomScale="90" zoomScaleNormal="100" zoomScaleSheetLayoutView="90" workbookViewId="0">
      <selection activeCell="M65" sqref="M65"/>
    </sheetView>
  </sheetViews>
  <sheetFormatPr defaultRowHeight="12.75"/>
  <cols>
    <col min="1" max="1" width="22.85546875" style="1" customWidth="1"/>
    <col min="2" max="13" width="7.140625" style="1" customWidth="1"/>
    <col min="14" max="14" width="4.42578125" style="1" customWidth="1"/>
    <col min="15" max="16384" width="9.140625" style="1"/>
  </cols>
  <sheetData>
    <row r="1" spans="1:21" ht="18" customHeight="1">
      <c r="A1" s="130"/>
      <c r="B1" s="131"/>
      <c r="C1" s="131"/>
      <c r="D1" s="131"/>
      <c r="E1" s="131"/>
      <c r="F1" s="131"/>
      <c r="G1" s="131"/>
      <c r="H1" s="130"/>
      <c r="I1" s="131"/>
      <c r="J1" s="131"/>
      <c r="K1" s="131"/>
      <c r="L1" s="130"/>
      <c r="M1" s="143" t="s">
        <v>22</v>
      </c>
    </row>
    <row r="2" spans="1:21" ht="18" customHeight="1">
      <c r="A2" s="130"/>
      <c r="B2" s="135"/>
      <c r="C2" s="135"/>
      <c r="D2" s="135"/>
      <c r="E2" s="135"/>
      <c r="F2" s="135"/>
      <c r="G2" s="135"/>
      <c r="H2" s="130"/>
      <c r="I2" s="135"/>
      <c r="J2" s="135"/>
      <c r="K2" s="135"/>
      <c r="L2" s="130"/>
      <c r="M2" s="155" t="s">
        <v>13</v>
      </c>
    </row>
    <row r="3" spans="1:21" s="5" customFormat="1" ht="18" customHeight="1">
      <c r="A3" s="133"/>
      <c r="B3" s="133"/>
      <c r="C3" s="133"/>
      <c r="D3" s="133"/>
      <c r="E3" s="133"/>
      <c r="F3" s="133"/>
      <c r="G3" s="133"/>
      <c r="H3" s="133"/>
      <c r="I3" s="133"/>
      <c r="J3" s="136"/>
      <c r="K3" s="136"/>
      <c r="L3" s="133"/>
      <c r="M3" s="155" t="s">
        <v>72</v>
      </c>
      <c r="N3" s="134"/>
      <c r="O3" s="134"/>
      <c r="P3" s="134"/>
      <c r="Q3" s="134"/>
      <c r="R3" s="134"/>
      <c r="S3" s="134"/>
      <c r="T3" s="134"/>
      <c r="U3" s="134"/>
    </row>
    <row r="4" spans="1:21" s="8" customFormat="1" ht="6.75" customHeight="1" thickBot="1">
      <c r="A4" s="38"/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</row>
    <row r="5" spans="1:21" s="8" customFormat="1" ht="11.25" customHeight="1" thickBot="1">
      <c r="A5" s="53" t="s">
        <v>19</v>
      </c>
      <c r="B5" s="50">
        <v>41275</v>
      </c>
      <c r="C5" s="47">
        <v>41306</v>
      </c>
      <c r="D5" s="47">
        <v>41334</v>
      </c>
      <c r="E5" s="47">
        <v>41365</v>
      </c>
      <c r="F5" s="47">
        <v>41395</v>
      </c>
      <c r="G5" s="47">
        <v>41426</v>
      </c>
      <c r="H5" s="47">
        <v>41456</v>
      </c>
      <c r="I5" s="47">
        <v>41487</v>
      </c>
      <c r="J5" s="47">
        <v>41518</v>
      </c>
      <c r="K5" s="47">
        <v>41548</v>
      </c>
      <c r="L5" s="47">
        <v>41579</v>
      </c>
      <c r="M5" s="51">
        <v>41609</v>
      </c>
    </row>
    <row r="6" spans="1:21" s="8" customFormat="1" ht="11.25" customHeight="1">
      <c r="A6" s="41" t="s">
        <v>129</v>
      </c>
      <c r="B6" s="57">
        <f t="shared" ref="B6:L6" si="0">B32</f>
        <v>0</v>
      </c>
      <c r="C6" s="57">
        <f t="shared" si="0"/>
        <v>0</v>
      </c>
      <c r="D6" s="57">
        <f t="shared" si="0"/>
        <v>0</v>
      </c>
      <c r="E6" s="57">
        <f t="shared" si="0"/>
        <v>0</v>
      </c>
      <c r="F6" s="57">
        <f t="shared" si="0"/>
        <v>0</v>
      </c>
      <c r="G6" s="57">
        <f t="shared" si="0"/>
        <v>0</v>
      </c>
      <c r="H6" s="57">
        <f t="shared" si="0"/>
        <v>0</v>
      </c>
      <c r="I6" s="57">
        <f t="shared" si="0"/>
        <v>0</v>
      </c>
      <c r="J6" s="57">
        <f t="shared" si="0"/>
        <v>0</v>
      </c>
      <c r="K6" s="57">
        <f t="shared" si="0"/>
        <v>0</v>
      </c>
      <c r="L6" s="156">
        <f t="shared" si="0"/>
        <v>0</v>
      </c>
      <c r="M6" s="168">
        <v>0</v>
      </c>
    </row>
    <row r="7" spans="1:21" s="8" customFormat="1" ht="11.25" customHeight="1">
      <c r="A7" s="42" t="s">
        <v>18</v>
      </c>
      <c r="B7" s="57">
        <f t="shared" ref="B7:L7" si="1">SUM(B10:B12)</f>
        <v>0</v>
      </c>
      <c r="C7" s="57">
        <f t="shared" si="1"/>
        <v>0</v>
      </c>
      <c r="D7" s="57">
        <f t="shared" si="1"/>
        <v>0</v>
      </c>
      <c r="E7" s="57">
        <f t="shared" si="1"/>
        <v>0</v>
      </c>
      <c r="F7" s="57">
        <f t="shared" si="1"/>
        <v>0</v>
      </c>
      <c r="G7" s="57">
        <f t="shared" si="1"/>
        <v>0</v>
      </c>
      <c r="H7" s="57">
        <f t="shared" si="1"/>
        <v>0</v>
      </c>
      <c r="I7" s="57">
        <f t="shared" si="1"/>
        <v>0</v>
      </c>
      <c r="J7" s="57">
        <f t="shared" si="1"/>
        <v>0</v>
      </c>
      <c r="K7" s="57">
        <f t="shared" si="1"/>
        <v>0</v>
      </c>
      <c r="L7" s="156">
        <f t="shared" si="1"/>
        <v>0</v>
      </c>
      <c r="M7" s="171">
        <v>0</v>
      </c>
    </row>
    <row r="8" spans="1:21" s="8" customFormat="1" ht="11.25" customHeight="1" thickBot="1">
      <c r="A8" s="43" t="s">
        <v>14</v>
      </c>
      <c r="B8" s="58">
        <f t="shared" ref="B8:L8" si="2">SUM(B6:B7)</f>
        <v>0</v>
      </c>
      <c r="C8" s="58">
        <f t="shared" si="2"/>
        <v>0</v>
      </c>
      <c r="D8" s="58">
        <f t="shared" si="2"/>
        <v>0</v>
      </c>
      <c r="E8" s="58">
        <f t="shared" si="2"/>
        <v>0</v>
      </c>
      <c r="F8" s="58">
        <f t="shared" si="2"/>
        <v>0</v>
      </c>
      <c r="G8" s="58">
        <f t="shared" si="2"/>
        <v>0</v>
      </c>
      <c r="H8" s="58">
        <f t="shared" si="2"/>
        <v>0</v>
      </c>
      <c r="I8" s="58">
        <f t="shared" si="2"/>
        <v>0</v>
      </c>
      <c r="J8" s="58">
        <f t="shared" si="2"/>
        <v>0</v>
      </c>
      <c r="K8" s="58">
        <f t="shared" si="2"/>
        <v>0</v>
      </c>
      <c r="L8" s="157">
        <f t="shared" si="2"/>
        <v>0</v>
      </c>
      <c r="M8" s="172">
        <v>0</v>
      </c>
    </row>
    <row r="9" spans="1:21" s="8" customFormat="1" ht="11.25" customHeight="1" thickBot="1">
      <c r="A9" s="54" t="s">
        <v>18</v>
      </c>
      <c r="B9" s="50">
        <v>41275</v>
      </c>
      <c r="C9" s="47">
        <v>41306</v>
      </c>
      <c r="D9" s="47">
        <v>41334</v>
      </c>
      <c r="E9" s="47">
        <v>41365</v>
      </c>
      <c r="F9" s="47">
        <v>41395</v>
      </c>
      <c r="G9" s="47">
        <v>41426</v>
      </c>
      <c r="H9" s="47">
        <v>41456</v>
      </c>
      <c r="I9" s="47">
        <v>41487</v>
      </c>
      <c r="J9" s="47">
        <v>41518</v>
      </c>
      <c r="K9" s="47">
        <v>41548</v>
      </c>
      <c r="L9" s="47">
        <v>41579</v>
      </c>
      <c r="M9" s="51">
        <v>41609</v>
      </c>
    </row>
    <row r="10" spans="1:21" s="8" customFormat="1" ht="11.25" customHeight="1">
      <c r="A10" s="9" t="s">
        <v>128</v>
      </c>
      <c r="B10" s="57">
        <f t="shared" ref="B10:L10" si="3">B52</f>
        <v>0</v>
      </c>
      <c r="C10" s="57">
        <f t="shared" si="3"/>
        <v>0</v>
      </c>
      <c r="D10" s="57">
        <f t="shared" si="3"/>
        <v>0</v>
      </c>
      <c r="E10" s="57">
        <f t="shared" si="3"/>
        <v>0</v>
      </c>
      <c r="F10" s="57">
        <f t="shared" si="3"/>
        <v>0</v>
      </c>
      <c r="G10" s="59">
        <f t="shared" si="3"/>
        <v>0</v>
      </c>
      <c r="H10" s="59">
        <f t="shared" si="3"/>
        <v>0</v>
      </c>
      <c r="I10" s="59">
        <f t="shared" si="3"/>
        <v>0</v>
      </c>
      <c r="J10" s="59">
        <f t="shared" si="3"/>
        <v>0</v>
      </c>
      <c r="K10" s="59">
        <f t="shared" si="3"/>
        <v>0</v>
      </c>
      <c r="L10" s="158">
        <f t="shared" si="3"/>
        <v>0</v>
      </c>
      <c r="M10" s="168">
        <v>0</v>
      </c>
    </row>
    <row r="11" spans="1:21" s="8" customFormat="1" ht="11.25" customHeight="1">
      <c r="A11" s="9" t="s">
        <v>127</v>
      </c>
      <c r="B11" s="59">
        <f t="shared" ref="B11:L11" si="4">B65</f>
        <v>0</v>
      </c>
      <c r="C11" s="59">
        <f t="shared" si="4"/>
        <v>0</v>
      </c>
      <c r="D11" s="59">
        <f t="shared" si="4"/>
        <v>0</v>
      </c>
      <c r="E11" s="59">
        <f t="shared" si="4"/>
        <v>0</v>
      </c>
      <c r="F11" s="59">
        <f t="shared" si="4"/>
        <v>0</v>
      </c>
      <c r="G11" s="59">
        <f t="shared" si="4"/>
        <v>0</v>
      </c>
      <c r="H11" s="59">
        <f t="shared" si="4"/>
        <v>0</v>
      </c>
      <c r="I11" s="59">
        <f t="shared" si="4"/>
        <v>0</v>
      </c>
      <c r="J11" s="59">
        <f t="shared" si="4"/>
        <v>0</v>
      </c>
      <c r="K11" s="59">
        <f t="shared" si="4"/>
        <v>0</v>
      </c>
      <c r="L11" s="158">
        <f t="shared" si="4"/>
        <v>0</v>
      </c>
      <c r="M11" s="169">
        <v>0</v>
      </c>
    </row>
    <row r="12" spans="1:21" s="8" customFormat="1" ht="11.25" customHeight="1" thickBot="1">
      <c r="A12" s="2" t="s">
        <v>12</v>
      </c>
      <c r="B12" s="60">
        <f>COUNTIFS(Jan!$B:$B,2152,Jan!$F:$F,800)</f>
        <v>0</v>
      </c>
      <c r="C12" s="60">
        <f>COUNTIFS(Feb!$B:$B,2152,Feb!$F:$F,800)</f>
        <v>0</v>
      </c>
      <c r="D12" s="60">
        <f>COUNTIFS(Mar!$B:$B,2152,Mar!$F:$F,800)</f>
        <v>0</v>
      </c>
      <c r="E12" s="60">
        <f>COUNTIFS(Apr!$B:$B,2152,Apr!$F:$F,800)</f>
        <v>0</v>
      </c>
      <c r="F12" s="60">
        <f>COUNTIFS(May!$B:$B,2152,May!$F:$F,800)</f>
        <v>0</v>
      </c>
      <c r="G12" s="60">
        <f>COUNTIFS(Jun!$B:$B,2152,Jun!$F:$F,800)</f>
        <v>0</v>
      </c>
      <c r="H12" s="60">
        <f>COUNTIFS(Jul!$B:$B,2152,Jul!$F:$F,800)</f>
        <v>0</v>
      </c>
      <c r="I12" s="60">
        <f>COUNTIFS(Aug!$B:$B,2152,Aug!$F:$F,800)</f>
        <v>0</v>
      </c>
      <c r="J12" s="60">
        <f>COUNTIFS(Sep!$B:$B,2152,Sep!$F:$F,800)</f>
        <v>0</v>
      </c>
      <c r="K12" s="60">
        <f>COUNTIFS(Oct!$B:$B,2152,Oct!$F:$F,800)</f>
        <v>0</v>
      </c>
      <c r="L12" s="60">
        <f>COUNTIFS(Nov!$B:$B,2152,Nov!$F:$F,800)</f>
        <v>0</v>
      </c>
      <c r="M12" s="60">
        <v>0</v>
      </c>
    </row>
    <row r="13" spans="1:21" s="8" customFormat="1" ht="5.0999999999999996" customHeight="1" thickBot="1">
      <c r="A13" s="3"/>
      <c r="B13" s="17"/>
      <c r="C13" s="17"/>
      <c r="D13" s="17"/>
      <c r="E13" s="17"/>
      <c r="F13" s="17"/>
      <c r="G13" s="17"/>
      <c r="H13" s="17"/>
      <c r="I13" s="17"/>
      <c r="J13" s="17"/>
      <c r="K13" s="17"/>
      <c r="L13" s="17"/>
      <c r="M13" s="147"/>
    </row>
    <row r="14" spans="1:21" s="16" customFormat="1" ht="11.25" customHeight="1">
      <c r="A14" s="44" t="s">
        <v>131</v>
      </c>
      <c r="B14" s="120"/>
      <c r="C14" s="120"/>
      <c r="D14" s="120"/>
      <c r="E14" s="120"/>
      <c r="F14" s="120"/>
      <c r="G14" s="120"/>
      <c r="H14" s="119"/>
      <c r="I14" s="61"/>
      <c r="J14" s="61"/>
      <c r="K14" s="118"/>
      <c r="L14" s="160"/>
      <c r="M14" s="173"/>
      <c r="O14" s="22"/>
      <c r="P14" s="22"/>
      <c r="Q14" s="22"/>
    </row>
    <row r="15" spans="1:21" s="8" customFormat="1" ht="11.25" customHeight="1">
      <c r="A15" s="45" t="s">
        <v>132</v>
      </c>
      <c r="B15" s="62" t="str">
        <f>IFERROR((SUMIFS(Jan!$N:$N,Jan!$J:$J,1,Jan!$B:$B,2152)+SUMIFS(Jan!$N:$N,Jan!$D:$D,"&gt;1",Jan!$B:$B,2152))/(COUNTIFS(Jan!$J:$J,1,Jan!$B:$B,2152)+COUNTIFS(Jan!$D:$D,"&gt;1",Jan!$B:$B,2152)),"")</f>
        <v/>
      </c>
      <c r="C15" s="62" t="str">
        <f ca="1">IFERROR((SUMIFS(Feb!$N:$N,Feb!$J:$J,1,Feb!$B:$B,2152)+SUMIFS(Feb!$N:$N,Feb!$D:$D,"&gt;1",Feb!$B:$B,2152))/(COUNTIFS(Feb!$J:$J,1,Feb!$B:$B,2152)+COUNTIFS(Feb!$D:$D,"&gt;1",Feb!$B:$B,2152)),"")</f>
        <v/>
      </c>
      <c r="D15" s="62" t="str">
        <f ca="1">IFERROR((SUMIFS(Mar!$N:$N,Mar!$J:$J,1,Mar!$B:$B,2152)+SUMIFS(Mar!$N:$N,Mar!$D:$D,"&gt;1",Mar!$B:$B,2152))/(COUNTIFS(Mar!$J:$J,1,Mar!$B:$B,2152)+COUNTIFS(Mar!$D:$D,"&gt;1",Mar!$B:$B,2152)),"")</f>
        <v/>
      </c>
      <c r="E15" s="62" t="str">
        <f ca="1">IFERROR((SUMIFS(Apr!$N:$N,Apr!$J:$J,1,Apr!$B:$B,2152)+SUMIFS(Apr!$N:$N,Apr!$D:$D,"&gt;1",Apr!$B:$B,2152))/(COUNTIFS(Apr!$J:$J,1,Apr!$B:$B,2152)+COUNTIFS(Apr!$D:$D,"&gt;1",Apr!$B:$B,2152)),"")</f>
        <v/>
      </c>
      <c r="F15" s="62" t="str">
        <f ca="1">IFERROR((SUMIFS(May!$N:$N,May!$J:$J,1,May!$B:$B,2152)+SUMIFS(May!$N:$N,May!$D:$D,"&gt;1",May!$B:$B,2152))/(COUNTIFS(May!$J:$J,1,May!$B:$B,2152)+COUNTIFS(May!$D:$D,"&gt;1",May!$B:$B,2152)),"")</f>
        <v/>
      </c>
      <c r="G15" s="62" t="str">
        <f ca="1">IFERROR((SUMIFS(Jun!$N:$N,Jun!$J:$J,1,Jun!$B:$B,2152)+SUMIFS(Jun!$N:$N,Jun!$D:$D,"&gt;1",Jun!$B:$B,2152))/(COUNTIFS(Jun!$J:$J,1,Jun!$B:$B,2152)+COUNTIFS(Jun!$D:$D,"&gt;1",Jun!$B:$B,2152)),"")</f>
        <v/>
      </c>
      <c r="H15" s="62" t="str">
        <f ca="1">IFERROR((SUMIFS(Jul!$N:$N,Jul!$J:$J,1,Jul!$B:$B,2152)+SUMIFS(Jul!$N:$N,Jul!$D:$D,"&gt;1",Jul!$B:$B,2152))/(COUNTIFS(Jul!$J:$J,1,Jul!$B:$B,2152)+COUNTIFS(Jul!$D:$D,"&gt;1",Jul!$B:$B,2152)),"")</f>
        <v/>
      </c>
      <c r="I15" s="62" t="str">
        <f ca="1">IFERROR((SUMIFS(Aug!$N:$N,Aug!$J:$J,1,Aug!$B:$B,2152)+SUMIFS(Aug!$N:$N,Aug!$D:$D,"&gt;1",Aug!$B:$B,2152))/(COUNTIFS(Aug!$J:$J,1,Aug!$B:$B,2152)+COUNTIFS(Aug!$D:$D,"&gt;1",Aug!$B:$B,2152)),"")</f>
        <v/>
      </c>
      <c r="J15" s="62" t="str">
        <f ca="1">IFERROR((SUMIFS(Sep!$N:$N,Sep!$J:$J,1,Sep!$B:$B,2152)+SUMIFS(Sep!$N:$N,Sep!$D:$D,"&gt;1",Sep!$B:$B,2152))/(COUNTIFS(Sep!$J:$J,1,Sep!$B:$B,2152)+COUNTIFS(Sep!$D:$D,"&gt;1",Sep!$B:$B,2152)),"")</f>
        <v/>
      </c>
      <c r="K15" s="62" t="str">
        <f ca="1">IFERROR((SUMIFS(Oct!$N:$N,Oct!$J:$J,1,Oct!$B:$B,2152)+SUMIFS(Oct!$N:$N,Oct!$D:$D,"&gt;1",Oct!$B:$B,2152))/(COUNTIFS(Oct!$J:$J,1,Oct!$B:$B,2152)+COUNTIFS(Oct!$D:$D,"&gt;1",Oct!$B:$B,2152)),"")</f>
        <v/>
      </c>
      <c r="L15" s="62" t="str">
        <f ca="1">IFERROR((SUMIFS(Nov!$N:$N,Nov!$J:$J,1,Nov!$B:$B,2152)+SUMIFS(Nov!$N:$N,Nov!$D:$D,"&gt;1",Nov!$B:$B,2152))/(COUNTIFS(Nov!$J:$J,1,Nov!$B:$B,2152)+COUNTIFS(Nov!$D:$D,"&gt;1",Nov!$B:$B,2152)),"")</f>
        <v/>
      </c>
      <c r="M15" s="62" t="str">
        <f>IFERROR((SUMIFS(#REF!,#REF!,1,#REF!,2152)+SUMIFS(#REF!,#REF!,"&gt;1",#REF!,2152))/(COUNTIFS(#REF!,1,#REF!,2152)+COUNTIFS(#REF!,"&gt;1",#REF!,2152)),"")</f>
        <v/>
      </c>
      <c r="N15" s="15"/>
      <c r="O15" s="1"/>
      <c r="P15" s="1"/>
      <c r="Q15" s="1"/>
    </row>
    <row r="16" spans="1:21" s="8" customFormat="1" ht="11.25" customHeight="1">
      <c r="A16" s="45" t="s">
        <v>133</v>
      </c>
      <c r="B16" s="62" t="str">
        <f>IFERROR(AVERAGEIFS(Jan!$N:$N,Jan!$F:$F,800,Jan!$B:$B,2152),"")</f>
        <v/>
      </c>
      <c r="C16" s="62" t="str">
        <f ca="1">IFERROR(AVERAGEIFS(Feb!$N:$N,Feb!$F:$F,800,Feb!$B:$B,2152),"")</f>
        <v/>
      </c>
      <c r="D16" s="62" t="str">
        <f ca="1">IFERROR(AVERAGEIFS(Mar!$N:$N,Mar!$F:$F,800,Mar!$B:$B,2152),"")</f>
        <v/>
      </c>
      <c r="E16" s="62" t="str">
        <f ca="1">IFERROR(AVERAGEIFS(Apr!$N:$N,Apr!$F:$F,800,Apr!$B:$B,2152),"")</f>
        <v/>
      </c>
      <c r="F16" s="62" t="str">
        <f ca="1">IFERROR(AVERAGEIFS(May!$N:$N,May!$F:$F,800,May!$B:$B,2152),"")</f>
        <v/>
      </c>
      <c r="G16" s="62" t="str">
        <f ca="1">IFERROR(AVERAGEIFS(Jun!$N:$N,Jun!$F:$F,800,Jun!$B:$B,2152),"")</f>
        <v/>
      </c>
      <c r="H16" s="62" t="str">
        <f ca="1">IFERROR(AVERAGEIFS(Jul!$N:$N,Jul!$F:$F,800,Jul!$B:$B,2152),"")</f>
        <v/>
      </c>
      <c r="I16" s="62" t="str">
        <f ca="1">IFERROR(AVERAGEIFS(Aug!$N:$N,Aug!$F:$F,800,Aug!$B:$B,2152),"")</f>
        <v/>
      </c>
      <c r="J16" s="62" t="str">
        <f ca="1">IFERROR(AVERAGEIFS(Sep!$N:$N,Sep!$F:$F,800,Sep!$B:$B,2152),"")</f>
        <v/>
      </c>
      <c r="K16" s="62" t="str">
        <f ca="1">IFERROR(AVERAGEIFS(Oct!$N:$N,Oct!$F:$F,800,Oct!$B:$B,2152),"")</f>
        <v/>
      </c>
      <c r="L16" s="62" t="str">
        <f ca="1">IFERROR(AVERAGEIFS(Nov!$N:$N,Nov!$F:$F,800,Nov!$B:$B,2152),"")</f>
        <v/>
      </c>
      <c r="M16" s="62" t="str">
        <f>IFERROR(AVERAGEIFS(#REF!,#REF!,800,#REF!,2152),"")</f>
        <v/>
      </c>
      <c r="O16" s="1"/>
      <c r="P16" s="1"/>
      <c r="Q16" s="1"/>
    </row>
    <row r="17" spans="1:17" s="8" customFormat="1" ht="11.25" customHeight="1">
      <c r="A17" s="45" t="s">
        <v>134</v>
      </c>
      <c r="B17" s="63" t="str">
        <f>IFERROR((SUMIFS(Jan!$M:$M,Jan!$J:$J,1,Jan!$B:$B,2152)+SUMIFS(Jan!$M:$M,Jan!$D:$D,"&gt;1",Jan!$B:$B,2152))/(COUNTIFS(Jan!$J:$J,1,Jan!$B:$B,2152)+COUNTIFS(Jan!$D:$D,"&gt;1",Jan!$B:$B,2152)),"")</f>
        <v/>
      </c>
      <c r="C17" s="63" t="str">
        <f ca="1">IFERROR((SUMIFS(Feb!$M:$M,Feb!$J:$J,1,Feb!$B:$B,2152)+SUMIFS(Feb!$M:$M,Feb!$D:$D,"&gt;1",Feb!$B:$B,2152))/(COUNTIFS(Feb!$J:$J,1,Feb!$B:$B,2152)+COUNTIFS(Feb!$D:$D,"&gt;1",Feb!$B:$B,2152)),"")</f>
        <v/>
      </c>
      <c r="D17" s="63" t="str">
        <f ca="1">IFERROR((SUMIFS(Mar!$M:$M,Mar!$J:$J,1,Mar!$B:$B,2152)+SUMIFS(Mar!$M:$M,Mar!$D:$D,"&gt;1",Mar!$B:$B,2152))/(COUNTIFS(Mar!$J:$J,1,Mar!$B:$B,2152)+COUNTIFS(Mar!$D:$D,"&gt;1",Mar!$B:$B,2152)),"")</f>
        <v/>
      </c>
      <c r="E17" s="63" t="str">
        <f ca="1">IFERROR((SUMIFS(Apr!$M:$M,Apr!$J:$J,1,Apr!$B:$B,2152)+SUMIFS(Apr!$M:$M,Apr!$D:$D,"&gt;1",Apr!$B:$B,2152))/(COUNTIFS(Apr!$J:$J,1,Apr!$B:$B,2152)+COUNTIFS(Apr!$D:$D,"&gt;1",Apr!$B:$B,2152)),"")</f>
        <v/>
      </c>
      <c r="F17" s="63" t="str">
        <f ca="1">IFERROR((SUMIFS(May!$M:$M,May!$J:$J,1,May!$B:$B,2152)+SUMIFS(May!$M:$M,May!$D:$D,"&gt;1",May!$B:$B,2152))/(COUNTIFS(May!$J:$J,1,May!$B:$B,2152)+COUNTIFS(May!$D:$D,"&gt;1",May!$B:$B,2152)),"")</f>
        <v/>
      </c>
      <c r="G17" s="63" t="str">
        <f ca="1">IFERROR((SUMIFS(Jun!$M:$M,Jun!$J:$J,1,Jun!$B:$B,2152)+SUMIFS(Jun!$M:$M,Jun!$D:$D,"&gt;1",Jun!$B:$B,2152))/(COUNTIFS(Jun!$J:$J,1,Jun!$B:$B,2152)+COUNTIFS(Jun!$D:$D,"&gt;1",Jun!$B:$B,2152)),"")</f>
        <v/>
      </c>
      <c r="H17" s="63" t="str">
        <f ca="1">IFERROR((SUMIFS(Jul!$M:$M,Jul!$J:$J,1,Jul!$B:$B,2152)+SUMIFS(Jul!$M:$M,Jul!$D:$D,"&gt;1",Jul!$B:$B,2152))/(COUNTIFS(Jul!$J:$J,1,Jul!$B:$B,2152)+COUNTIFS(Jul!$D:$D,"&gt;1",Jul!$B:$B,2152)),"")</f>
        <v/>
      </c>
      <c r="I17" s="63" t="str">
        <f ca="1">IFERROR((SUMIFS(Aug!$M:$M,Aug!$J:$J,1,Aug!$B:$B,2152)+SUMIFS(Aug!$M:$M,Aug!$D:$D,"&gt;1",Aug!$B:$B,2152))/(COUNTIFS(Aug!$J:$J,1,Aug!$B:$B,2152)+COUNTIFS(Aug!$D:$D,"&gt;1",Aug!$B:$B,2152)),"")</f>
        <v/>
      </c>
      <c r="J17" s="63" t="str">
        <f ca="1">IFERROR((SUMIFS(Sep!$M:$M,Sep!$J:$J,1,Sep!$B:$B,2152)+SUMIFS(Sep!$M:$M,Sep!$D:$D,"&gt;1",Sep!$B:$B,2152))/(COUNTIFS(Sep!$J:$J,1,Sep!$B:$B,2152)+COUNTIFS(Sep!$D:$D,"&gt;1",Sep!$B:$B,2152)),"")</f>
        <v/>
      </c>
      <c r="K17" s="63" t="str">
        <f ca="1">IFERROR((SUMIFS(Oct!$M:$M,Oct!$J:$J,1,Oct!$B:$B,2152)+SUMIFS(Oct!$M:$M,Oct!$D:$D,"&gt;1",Oct!$B:$B,2152))/(COUNTIFS(Oct!$J:$J,1,Oct!$B:$B,2152)+COUNTIFS(Oct!$D:$D,"&gt;1",Oct!$B:$B,2152)),"")</f>
        <v/>
      </c>
      <c r="L17" s="63" t="str">
        <f ca="1">IFERROR((SUMIFS(Nov!$M:$M,Nov!$J:$J,1,Nov!$B:$B,2152)+SUMIFS(Nov!$M:$M,Nov!$D:$D,"&gt;1",Nov!$B:$B,2152))/(COUNTIFS(Nov!$J:$J,1,Nov!$B:$B,2152)+COUNTIFS(Nov!$D:$D,"&gt;1",Nov!$B:$B,2152)),"")</f>
        <v/>
      </c>
      <c r="M17" s="63" t="str">
        <f>IFERROR((SUMIFS(#REF!,#REF!,1,#REF!,2152)+SUMIFS(#REF!,#REF!,"&gt;1",#REF!,2152))/(COUNTIFS(#REF!,1,#REF!,2152)+COUNTIFS(#REF!,"&gt;1",#REF!,2152)),"")</f>
        <v/>
      </c>
      <c r="O17" s="1"/>
      <c r="P17" s="1"/>
      <c r="Q17" s="1"/>
    </row>
    <row r="18" spans="1:17" s="8" customFormat="1" ht="11.25" customHeight="1" thickBot="1">
      <c r="A18" s="43" t="s">
        <v>135</v>
      </c>
      <c r="B18" s="64" t="str">
        <f>IFERROR(AVERAGEIFS(Jan!$M:$M,Jan!$F:$F,800,Jan!$B:$B,2152),"")</f>
        <v/>
      </c>
      <c r="C18" s="64" t="str">
        <f ca="1">IFERROR(AVERAGEIFS(Feb!$M:$M,Feb!$F:$F,800,Feb!$B:$B,2152),"")</f>
        <v/>
      </c>
      <c r="D18" s="64" t="str">
        <f ca="1">IFERROR(AVERAGEIFS(Mar!$M:$M,Mar!$F:$F,800,Mar!$B:$B,2152),"")</f>
        <v/>
      </c>
      <c r="E18" s="64" t="str">
        <f ca="1">IFERROR(AVERAGEIFS(Apr!$M:$M,Apr!$F:$F,800,Apr!$B:$B,2152),"")</f>
        <v/>
      </c>
      <c r="F18" s="64" t="str">
        <f ca="1">IFERROR(AVERAGEIFS(May!$M:$M,May!$F:$F,800,May!$B:$B,2152),"")</f>
        <v/>
      </c>
      <c r="G18" s="64" t="str">
        <f ca="1">IFERROR(AVERAGEIFS(Jun!$M:$M,Jun!$F:$F,800,Jun!$B:$B,2152),"")</f>
        <v/>
      </c>
      <c r="H18" s="64" t="str">
        <f ca="1">IFERROR(AVERAGEIFS(Jul!$M:$M,Jul!$F:$F,800,Jul!$B:$B,2152),"")</f>
        <v/>
      </c>
      <c r="I18" s="64" t="str">
        <f ca="1">IFERROR(AVERAGEIFS(Aug!$M:$M,Aug!$F:$F,800,Aug!$B:$B,2152),"")</f>
        <v/>
      </c>
      <c r="J18" s="64" t="str">
        <f ca="1">IFERROR(AVERAGEIFS(Sep!$M:$M,Sep!$F:$F,800,Sep!$B:$B,2152),"")</f>
        <v/>
      </c>
      <c r="K18" s="64" t="str">
        <f ca="1">IFERROR(AVERAGEIFS(Oct!$M:$M,Oct!$F:$F,800,Oct!$B:$B,2152),"")</f>
        <v/>
      </c>
      <c r="L18" s="64" t="str">
        <f ca="1">IFERROR(AVERAGEIFS(Nov!$M:$M,Nov!$F:$F,800,Nov!$B:$B,2152),"")</f>
        <v/>
      </c>
      <c r="M18" s="64" t="str">
        <f>IFERROR(AVERAGEIFS(#REF!,#REF!,800,#REF!,2152),"")</f>
        <v/>
      </c>
    </row>
    <row r="19" spans="1:17" s="8" customFormat="1" ht="5.0999999999999996" customHeight="1" thickBot="1">
      <c r="A19" s="3"/>
      <c r="B19" s="17"/>
      <c r="C19" s="17"/>
      <c r="D19" s="17"/>
      <c r="E19" s="17"/>
      <c r="F19" s="17"/>
      <c r="G19" s="17"/>
      <c r="H19" s="17"/>
      <c r="I19" s="17"/>
      <c r="J19" s="17"/>
      <c r="K19" s="17"/>
      <c r="L19" s="17"/>
      <c r="M19" s="147"/>
    </row>
    <row r="20" spans="1:17" s="8" customFormat="1" ht="11.25" customHeight="1">
      <c r="A20" s="42" t="s">
        <v>52</v>
      </c>
      <c r="B20" s="65">
        <v>31</v>
      </c>
      <c r="C20" s="65">
        <v>28</v>
      </c>
      <c r="D20" s="65">
        <v>31</v>
      </c>
      <c r="E20" s="65">
        <v>30</v>
      </c>
      <c r="F20" s="65">
        <v>31</v>
      </c>
      <c r="G20" s="65">
        <v>30</v>
      </c>
      <c r="H20" s="65">
        <v>31</v>
      </c>
      <c r="I20" s="65">
        <v>31</v>
      </c>
      <c r="J20" s="65">
        <v>30</v>
      </c>
      <c r="K20" s="65">
        <v>31</v>
      </c>
      <c r="L20" s="161">
        <v>30</v>
      </c>
      <c r="M20" s="174">
        <v>31</v>
      </c>
    </row>
    <row r="21" spans="1:17" s="8" customFormat="1" ht="11.25" customHeight="1">
      <c r="A21" s="9" t="s">
        <v>15</v>
      </c>
      <c r="B21" s="66">
        <f>B12/B20</f>
        <v>0</v>
      </c>
      <c r="C21" s="66">
        <f t="shared" ref="C21:M21" si="5">C12/C20</f>
        <v>0</v>
      </c>
      <c r="D21" s="66">
        <f>D12/D20</f>
        <v>0</v>
      </c>
      <c r="E21" s="66">
        <f>E12/E20</f>
        <v>0</v>
      </c>
      <c r="F21" s="66">
        <f>F12/F20</f>
        <v>0</v>
      </c>
      <c r="G21" s="66">
        <f>G12/G20</f>
        <v>0</v>
      </c>
      <c r="H21" s="66">
        <f t="shared" si="5"/>
        <v>0</v>
      </c>
      <c r="I21" s="66">
        <f t="shared" si="5"/>
        <v>0</v>
      </c>
      <c r="J21" s="66">
        <f t="shared" si="5"/>
        <v>0</v>
      </c>
      <c r="K21" s="66">
        <f t="shared" si="5"/>
        <v>0</v>
      </c>
      <c r="L21" s="162">
        <f t="shared" si="5"/>
        <v>0</v>
      </c>
      <c r="M21" s="175">
        <f t="shared" si="5"/>
        <v>0</v>
      </c>
    </row>
    <row r="22" spans="1:17" s="8" customFormat="1" ht="11.25" customHeight="1">
      <c r="A22" s="9" t="s">
        <v>130</v>
      </c>
      <c r="B22" s="67">
        <f t="shared" ref="B22:G22" si="6">IFERROR(B12/B7,0)</f>
        <v>0</v>
      </c>
      <c r="C22" s="67">
        <f t="shared" si="6"/>
        <v>0</v>
      </c>
      <c r="D22" s="67">
        <f t="shared" si="6"/>
        <v>0</v>
      </c>
      <c r="E22" s="67">
        <f t="shared" si="6"/>
        <v>0</v>
      </c>
      <c r="F22" s="67">
        <f t="shared" si="6"/>
        <v>0</v>
      </c>
      <c r="G22" s="67">
        <f t="shared" si="6"/>
        <v>0</v>
      </c>
      <c r="H22" s="67">
        <f t="shared" ref="H22:M22" si="7">IFERROR(H12/H7,0)</f>
        <v>0</v>
      </c>
      <c r="I22" s="67">
        <f t="shared" si="7"/>
        <v>0</v>
      </c>
      <c r="J22" s="67">
        <f t="shared" si="7"/>
        <v>0</v>
      </c>
      <c r="K22" s="116">
        <f t="shared" si="7"/>
        <v>0</v>
      </c>
      <c r="L22" s="67">
        <f t="shared" si="7"/>
        <v>0</v>
      </c>
      <c r="M22" s="176">
        <f t="shared" si="7"/>
        <v>0</v>
      </c>
      <c r="N22" s="1"/>
    </row>
    <row r="23" spans="1:17" s="8" customFormat="1" ht="11.25" customHeight="1" thickBot="1">
      <c r="A23" s="9" t="s">
        <v>53</v>
      </c>
      <c r="B23" s="67">
        <f t="shared" ref="B23:G23" si="8">IFERROR(B12/(B11+B12),0)</f>
        <v>0</v>
      </c>
      <c r="C23" s="67">
        <f t="shared" si="8"/>
        <v>0</v>
      </c>
      <c r="D23" s="67">
        <f t="shared" si="8"/>
        <v>0</v>
      </c>
      <c r="E23" s="67">
        <f t="shared" si="8"/>
        <v>0</v>
      </c>
      <c r="F23" s="67">
        <f t="shared" si="8"/>
        <v>0</v>
      </c>
      <c r="G23" s="67">
        <f t="shared" si="8"/>
        <v>0</v>
      </c>
      <c r="H23" s="67">
        <f t="shared" ref="H23:M23" si="9">IFERROR(H12/(H11+H12),0)</f>
        <v>0</v>
      </c>
      <c r="I23" s="67">
        <f t="shared" si="9"/>
        <v>0</v>
      </c>
      <c r="J23" s="67">
        <f t="shared" si="9"/>
        <v>0</v>
      </c>
      <c r="K23" s="117">
        <f t="shared" si="9"/>
        <v>0</v>
      </c>
      <c r="L23" s="163">
        <f t="shared" si="9"/>
        <v>0</v>
      </c>
      <c r="M23" s="177">
        <f t="shared" si="9"/>
        <v>0</v>
      </c>
      <c r="N23" s="4"/>
    </row>
    <row r="24" spans="1:17" s="8" customFormat="1" ht="11.25" customHeight="1" thickBot="1">
      <c r="A24" s="56" t="s">
        <v>21</v>
      </c>
      <c r="B24" s="50">
        <v>41275</v>
      </c>
      <c r="C24" s="47">
        <v>41306</v>
      </c>
      <c r="D24" s="47">
        <v>41334</v>
      </c>
      <c r="E24" s="47">
        <v>41365</v>
      </c>
      <c r="F24" s="47">
        <v>41395</v>
      </c>
      <c r="G24" s="47">
        <v>41426</v>
      </c>
      <c r="H24" s="47">
        <v>41456</v>
      </c>
      <c r="I24" s="47">
        <v>41487</v>
      </c>
      <c r="J24" s="47">
        <v>41518</v>
      </c>
      <c r="K24" s="47">
        <v>41548</v>
      </c>
      <c r="L24" s="47">
        <v>41579</v>
      </c>
      <c r="M24" s="51">
        <v>41609</v>
      </c>
    </row>
    <row r="25" spans="1:17" s="8" customFormat="1" ht="11.25" customHeight="1">
      <c r="A25" s="18" t="s">
        <v>5</v>
      </c>
      <c r="B25" s="68">
        <f>COUNTIFS(Jan!$B:$B,2152,Jan!$J:$J,18)</f>
        <v>0</v>
      </c>
      <c r="C25" s="68">
        <f>COUNTIFS(Feb!$B:$B,2152,Feb!$J:$J,18)</f>
        <v>0</v>
      </c>
      <c r="D25" s="68">
        <f>COUNTIFS(Mar!$B:$B,2152,Mar!$J:$J,18)</f>
        <v>0</v>
      </c>
      <c r="E25" s="68">
        <f>COUNTIFS(Apr!$B:$B,2152,Apr!$J:$J,18)</f>
        <v>0</v>
      </c>
      <c r="F25" s="68">
        <f>COUNTIFS(May!$B:$B,2152,May!$J:$J,18)</f>
        <v>0</v>
      </c>
      <c r="G25" s="68">
        <f>COUNTIFS(Jun!$B:$B,2152,Jun!$J:$J,18)</f>
        <v>0</v>
      </c>
      <c r="H25" s="68">
        <f>COUNTIFS(Jul!$B:$B,2152,Jul!$J:$J,18)</f>
        <v>0</v>
      </c>
      <c r="I25" s="68">
        <f>COUNTIFS(Aug!$B:$B,2152,Aug!$J:$J,18)</f>
        <v>0</v>
      </c>
      <c r="J25" s="68">
        <f>COUNTIFS(Sep!$B:$B,2152,Sep!$J:$J,18)</f>
        <v>0</v>
      </c>
      <c r="K25" s="68">
        <f>COUNTIFS(Oct!$B:$B,2152,Oct!$J:$J,18)</f>
        <v>0</v>
      </c>
      <c r="L25" s="68">
        <f>COUNTIFS(Nov!$B:$B,2152,Nov!$J:$J,18)</f>
        <v>0</v>
      </c>
      <c r="M25" s="68">
        <v>0</v>
      </c>
    </row>
    <row r="26" spans="1:17" s="8" customFormat="1" ht="11.25" customHeight="1">
      <c r="A26" s="46" t="s">
        <v>40</v>
      </c>
      <c r="B26" s="57">
        <f>COUNTIFS(Jan!$B:$B,2152,Jan!$J:$J,41)</f>
        <v>0</v>
      </c>
      <c r="C26" s="57">
        <f>COUNTIFS(Feb!$B:$B,2152,Feb!$J:$J,41)</f>
        <v>0</v>
      </c>
      <c r="D26" s="57">
        <f>COUNTIFS(Mar!$B:$B,2152,Mar!$J:$J,41)</f>
        <v>0</v>
      </c>
      <c r="E26" s="57">
        <f>COUNTIFS(Apr!$B:$B,2152,Apr!$J:$J,41)</f>
        <v>0</v>
      </c>
      <c r="F26" s="57">
        <f>COUNTIFS(May!$B:$B,2152,May!$J:$J,41)</f>
        <v>0</v>
      </c>
      <c r="G26" s="57">
        <f>COUNTIFS(Jun!$B:$B,2152,Jun!$J:$J,41)</f>
        <v>0</v>
      </c>
      <c r="H26" s="57">
        <f>COUNTIFS(Jul!$B:$B,2152,Jul!$J:$J,41)</f>
        <v>0</v>
      </c>
      <c r="I26" s="57">
        <f>COUNTIFS(Aug!$B:$B,2152,Aug!$J:$J,41)</f>
        <v>0</v>
      </c>
      <c r="J26" s="57">
        <f>COUNTIFS(Sep!$B:$B,2152,Sep!$J:$J,41)</f>
        <v>0</v>
      </c>
      <c r="K26" s="57">
        <f>COUNTIFS(Oct!$B:$B,2152,Oct!$J:$J,41)</f>
        <v>0</v>
      </c>
      <c r="L26" s="57">
        <f>COUNTIFS(Nov!$B:$B,2152,Nov!$J:$J,41)</f>
        <v>0</v>
      </c>
      <c r="M26" s="57">
        <v>0</v>
      </c>
    </row>
    <row r="27" spans="1:17" s="8" customFormat="1" ht="11.25" customHeight="1">
      <c r="A27" s="9" t="s">
        <v>11</v>
      </c>
      <c r="B27" s="179">
        <f>COUNTIFS(Jan!$B:$B,2152,Jan!$J:$J,17)</f>
        <v>0</v>
      </c>
      <c r="C27" s="179">
        <f>COUNTIFS(Feb!$B:$B,2152,Feb!$J:$J,17)</f>
        <v>0</v>
      </c>
      <c r="D27" s="179">
        <f>COUNTIFS(Mar!$B:$B,2152,Mar!$J:$J,17)</f>
        <v>0</v>
      </c>
      <c r="E27" s="179">
        <f>COUNTIFS(Apr!$B:$B,2152,Apr!$J:$J,17)</f>
        <v>0</v>
      </c>
      <c r="F27" s="179">
        <f>COUNTIFS(May!$B:$B,2152,May!$J:$J,17)</f>
        <v>0</v>
      </c>
      <c r="G27" s="179">
        <f>COUNTIFS(Jun!$B:$B,2152,Jun!$J:$J,17)</f>
        <v>0</v>
      </c>
      <c r="H27" s="179">
        <f>COUNTIFS(Jul!$B:$B,2152,Jul!$J:$J,17)</f>
        <v>0</v>
      </c>
      <c r="I27" s="179">
        <f>COUNTIFS(Aug!$B:$B,2152,Aug!$J:$J,17)</f>
        <v>0</v>
      </c>
      <c r="J27" s="179">
        <f>COUNTIFS(Sep!$B:$B,2152,Sep!$J:$J,17)</f>
        <v>0</v>
      </c>
      <c r="K27" s="179">
        <f>COUNTIFS(Oct!$B:$B,2152,Oct!$J:$J,17)</f>
        <v>0</v>
      </c>
      <c r="L27" s="179">
        <f>COUNTIFS(Nov!$B:$B,2152,Nov!$J:$J,17)</f>
        <v>0</v>
      </c>
      <c r="M27" s="206">
        <v>0</v>
      </c>
    </row>
    <row r="28" spans="1:17" s="8" customFormat="1" ht="11.25" customHeight="1">
      <c r="A28" s="9" t="s">
        <v>143</v>
      </c>
      <c r="B28" s="59">
        <f>COUNTIFS(Jan!$B:$B,2152,Jan!$F:$F,455)</f>
        <v>0</v>
      </c>
      <c r="C28" s="59">
        <f>COUNTIFS(Feb!$B:$B,2152,Feb!$F:$F,455)</f>
        <v>0</v>
      </c>
      <c r="D28" s="59">
        <f>COUNTIFS(Mar!$B:$B,2152,Mar!$F:$F,455)</f>
        <v>0</v>
      </c>
      <c r="E28" s="59">
        <f>COUNTIFS(Apr!$B:$B,2152,Apr!$F:$F,455)</f>
        <v>0</v>
      </c>
      <c r="F28" s="59">
        <f>COUNTIFS(May!$B:$B,2152,May!$F:$F,455)</f>
        <v>0</v>
      </c>
      <c r="G28" s="59">
        <f>COUNTIFS(Jun!$B:$B,2152,Jun!$F:$F,455)</f>
        <v>0</v>
      </c>
      <c r="H28" s="59">
        <f>COUNTIFS(Jul!$B:$B,2152,Jul!$F:$F,455)</f>
        <v>0</v>
      </c>
      <c r="I28" s="59">
        <f>COUNTIFS(Aug!$B:$B,2152,Aug!$F:$F,455)</f>
        <v>0</v>
      </c>
      <c r="J28" s="59">
        <f>COUNTIFS(Sep!$B:$B,2152,Sep!$F:$F,455)</f>
        <v>0</v>
      </c>
      <c r="K28" s="59">
        <f>COUNTIFS(Oct!$B:$B,2152,Oct!$F:$F,455)</f>
        <v>0</v>
      </c>
      <c r="L28" s="59">
        <f>COUNTIFS(Nov!$B:$B,2152,Nov!$F:$F,455)</f>
        <v>0</v>
      </c>
      <c r="M28" s="59">
        <v>0</v>
      </c>
    </row>
    <row r="29" spans="1:17" s="8" customFormat="1" ht="11.25" customHeight="1">
      <c r="A29" s="9" t="s">
        <v>23</v>
      </c>
      <c r="B29" s="59">
        <f>COUNTIFS(Jan!$B:$B,2152,Jan!$J:$J,31)</f>
        <v>0</v>
      </c>
      <c r="C29" s="59">
        <f>COUNTIFS(Feb!$B:$B,2152,Feb!$J:$J,31)</f>
        <v>0</v>
      </c>
      <c r="D29" s="59">
        <f>COUNTIFS(Mar!$B:$B,2152,Mar!$J:$J,31)</f>
        <v>0</v>
      </c>
      <c r="E29" s="59">
        <f>COUNTIFS(Apr!$B:$B,2152,Apr!$J:$J,31)</f>
        <v>0</v>
      </c>
      <c r="F29" s="59">
        <f>COUNTIFS(May!$B:$B,2152,May!$J:$J,31)</f>
        <v>0</v>
      </c>
      <c r="G29" s="59">
        <f>COUNTIFS(Jun!$B:$B,2152,Jun!$J:$J,31)</f>
        <v>0</v>
      </c>
      <c r="H29" s="59">
        <f>COUNTIFS(Jul!$B:$B,2152,Jul!$J:$J,31)</f>
        <v>0</v>
      </c>
      <c r="I29" s="59">
        <f>COUNTIFS(Aug!$B:$B,2152,Aug!$J:$J,31)</f>
        <v>0</v>
      </c>
      <c r="J29" s="59">
        <f>COUNTIFS(Sep!$B:$B,2152,Sep!$J:$J,31)</f>
        <v>0</v>
      </c>
      <c r="K29" s="59">
        <f>COUNTIFS(Oct!$B:$B,2152,Oct!$J:$J,31)</f>
        <v>0</v>
      </c>
      <c r="L29" s="59">
        <f>COUNTIFS(Nov!$B:$B,2152,Nov!$J:$J,31)</f>
        <v>0</v>
      </c>
      <c r="M29" s="59">
        <v>0</v>
      </c>
    </row>
    <row r="30" spans="1:17" s="8" customFormat="1" ht="11.25" customHeight="1">
      <c r="A30" s="9" t="s">
        <v>37</v>
      </c>
      <c r="B30" s="59">
        <f>COUNTIFS(Jan!$B:$B,2152,Jan!$J:$J,4400)</f>
        <v>0</v>
      </c>
      <c r="C30" s="59">
        <f>COUNTIFS(Feb!$B:$B,2152,Feb!$J:$J,4400)</f>
        <v>0</v>
      </c>
      <c r="D30" s="59">
        <f>COUNTIFS(Mar!$B:$B,2152,Mar!$J:$J,4400)</f>
        <v>0</v>
      </c>
      <c r="E30" s="59">
        <f>COUNTIFS(Apr!$B:$B,2152,Apr!$J:$J,4400)</f>
        <v>0</v>
      </c>
      <c r="F30" s="59">
        <f>COUNTIFS(May!$B:$B,2152,May!$J:$J,4400)</f>
        <v>0</v>
      </c>
      <c r="G30" s="59">
        <f>COUNTIFS(Jun!$B:$B,2152,Jun!$J:$J,4400)</f>
        <v>0</v>
      </c>
      <c r="H30" s="59">
        <f>COUNTIFS(Jul!$B:$B,2152,Jul!$J:$J,4400)</f>
        <v>0</v>
      </c>
      <c r="I30" s="59">
        <f>COUNTIFS(Aug!$B:$B,2152,Aug!$J:$J,4400)</f>
        <v>0</v>
      </c>
      <c r="J30" s="59">
        <f>COUNTIFS(Sep!$B:$B,2152,Sep!$J:$J,4400)</f>
        <v>0</v>
      </c>
      <c r="K30" s="59">
        <f>COUNTIFS(Oct!$B:$B,2152,Oct!$J:$J,4400)</f>
        <v>0</v>
      </c>
      <c r="L30" s="59">
        <f>COUNTIFS(Nov!$B:$B,2152,Nov!$J:$J,4400)</f>
        <v>0</v>
      </c>
      <c r="M30" s="59">
        <v>0</v>
      </c>
    </row>
    <row r="31" spans="1:17" s="8" customFormat="1" ht="11.25" customHeight="1">
      <c r="A31" s="10" t="s">
        <v>24</v>
      </c>
      <c r="B31" s="59">
        <f>COUNTIFS(Jan!$B:$B,2152,Jan!$J:$J,30)</f>
        <v>0</v>
      </c>
      <c r="C31" s="59">
        <f>COUNTIFS(Feb!$B:$B,2152,Feb!$J:$J,30)</f>
        <v>0</v>
      </c>
      <c r="D31" s="59">
        <f>COUNTIFS(Mar!$B:$B,2152,Mar!$J:$J,30)</f>
        <v>0</v>
      </c>
      <c r="E31" s="59">
        <f>COUNTIFS(Apr!$B:$B,2152,Apr!$J:$J,30)</f>
        <v>0</v>
      </c>
      <c r="F31" s="59">
        <f>COUNTIFS(May!$B:$B,2152,May!$J:$J,30)</f>
        <v>0</v>
      </c>
      <c r="G31" s="59">
        <f>COUNTIFS(Jun!$B:$B,2152,Jun!$J:$J,30)</f>
        <v>0</v>
      </c>
      <c r="H31" s="59">
        <f>COUNTIFS(Jul!$B:$B,2152,Jul!$J:$J,30)</f>
        <v>0</v>
      </c>
      <c r="I31" s="59">
        <f>COUNTIFS(Aug!$B:$B,2152,Aug!$J:$J,30)</f>
        <v>0</v>
      </c>
      <c r="J31" s="59">
        <f>COUNTIFS(Sep!$B:$B,2152,Sep!$J:$J,30)</f>
        <v>0</v>
      </c>
      <c r="K31" s="59">
        <f>COUNTIFS(Oct!$B:$B,2152,Oct!$J:$J,30)</f>
        <v>0</v>
      </c>
      <c r="L31" s="59">
        <f>COUNTIFS(Nov!$B:$B,2152,Nov!$J:$J,30)</f>
        <v>0</v>
      </c>
      <c r="M31" s="59">
        <v>0</v>
      </c>
    </row>
    <row r="32" spans="1:17" s="14" customFormat="1" ht="11.25" customHeight="1" thickBot="1">
      <c r="A32" s="2" t="s">
        <v>140</v>
      </c>
      <c r="B32" s="60">
        <f>SUM(B25:B31)</f>
        <v>0</v>
      </c>
      <c r="C32" s="60">
        <f t="shared" ref="C32:M32" si="10">SUM(C25:C31)</f>
        <v>0</v>
      </c>
      <c r="D32" s="60">
        <f>SUM(D25:D31)</f>
        <v>0</v>
      </c>
      <c r="E32" s="60">
        <f>SUM(E25:E31)</f>
        <v>0</v>
      </c>
      <c r="F32" s="60">
        <f>SUM(F25:F31)</f>
        <v>0</v>
      </c>
      <c r="G32" s="60">
        <f>SUM(G25:G31)</f>
        <v>0</v>
      </c>
      <c r="H32" s="60">
        <f t="shared" si="10"/>
        <v>0</v>
      </c>
      <c r="I32" s="60">
        <f t="shared" si="10"/>
        <v>0</v>
      </c>
      <c r="J32" s="60">
        <f t="shared" si="10"/>
        <v>0</v>
      </c>
      <c r="K32" s="60">
        <f t="shared" si="10"/>
        <v>0</v>
      </c>
      <c r="L32" s="159">
        <f t="shared" si="10"/>
        <v>0</v>
      </c>
      <c r="M32" s="170">
        <f t="shared" si="10"/>
        <v>0</v>
      </c>
    </row>
    <row r="33" spans="1:13" ht="12" customHeight="1" thickBot="1">
      <c r="A33" s="55" t="s">
        <v>136</v>
      </c>
      <c r="B33" s="50">
        <v>41275</v>
      </c>
      <c r="C33" s="47">
        <v>41306</v>
      </c>
      <c r="D33" s="47">
        <v>41334</v>
      </c>
      <c r="E33" s="47">
        <v>41365</v>
      </c>
      <c r="F33" s="47">
        <v>41395</v>
      </c>
      <c r="G33" s="47">
        <v>41426</v>
      </c>
      <c r="H33" s="47">
        <v>41456</v>
      </c>
      <c r="I33" s="47">
        <v>41487</v>
      </c>
      <c r="J33" s="47">
        <v>41518</v>
      </c>
      <c r="K33" s="47">
        <v>41548</v>
      </c>
      <c r="L33" s="47">
        <v>41579</v>
      </c>
      <c r="M33" s="51">
        <v>41609</v>
      </c>
    </row>
    <row r="34" spans="1:13" s="8" customFormat="1" ht="11.25" customHeight="1">
      <c r="A34" s="46" t="s">
        <v>33</v>
      </c>
      <c r="B34" s="57">
        <f>COUNTIFS(Jan!$B:$B,2152,Jan!$J:$J,40)</f>
        <v>0</v>
      </c>
      <c r="C34" s="57">
        <f>COUNTIFS(Feb!$B:$B,2152,Feb!$J:$J,40)</f>
        <v>0</v>
      </c>
      <c r="D34" s="57">
        <f>COUNTIFS(Mar!$B:$B,2152,Mar!$J:$J,40)</f>
        <v>0</v>
      </c>
      <c r="E34" s="57">
        <f>COUNTIFS(Apr!$B:$B,2152,Apr!$J:$J,40)</f>
        <v>0</v>
      </c>
      <c r="F34" s="57">
        <f>COUNTIFS(May!$B:$B,2152,May!$J:$J,40)</f>
        <v>0</v>
      </c>
      <c r="G34" s="57">
        <f>COUNTIFS(Jun!$B:$B,2152,Jun!$J:$J,40)</f>
        <v>0</v>
      </c>
      <c r="H34" s="57">
        <f>COUNTIFS(Jul!$B:$B,2152,Jul!$J:$J,40)</f>
        <v>0</v>
      </c>
      <c r="I34" s="57">
        <f>COUNTIFS(Aug!$B:$B,2152,Aug!$J:$J,40)</f>
        <v>0</v>
      </c>
      <c r="J34" s="57">
        <f>COUNTIFS(Sep!$B:$B,2152,Sep!$J:$J,40)</f>
        <v>0</v>
      </c>
      <c r="K34" s="57">
        <f>COUNTIFS(Oct!$B:$B,2152,Oct!$J:$J,40)</f>
        <v>0</v>
      </c>
      <c r="L34" s="57">
        <f>COUNTIFS(Nov!$B:$B,2152,Nov!$J:$J,40)</f>
        <v>0</v>
      </c>
      <c r="M34" s="57">
        <v>0</v>
      </c>
    </row>
    <row r="35" spans="1:13" s="8" customFormat="1" ht="11.25" customHeight="1">
      <c r="A35" s="10" t="s">
        <v>4</v>
      </c>
      <c r="B35" s="59">
        <f>COUNTIFS(Jan!$B:$B,2152,Jan!$J:$J,15)</f>
        <v>0</v>
      </c>
      <c r="C35" s="59">
        <f>COUNTIFS(Feb!$B:$B,2152,Feb!$J:$J,15)</f>
        <v>0</v>
      </c>
      <c r="D35" s="59">
        <f>COUNTIFS(Mar!$B:$B,2152,Mar!$J:$J,15)</f>
        <v>0</v>
      </c>
      <c r="E35" s="59">
        <f>COUNTIFS(Apr!$B:$B,2152,Apr!$J:$J,15)</f>
        <v>0</v>
      </c>
      <c r="F35" s="59">
        <f>COUNTIFS(May!$B:$B,2152,May!$J:$J,15)</f>
        <v>0</v>
      </c>
      <c r="G35" s="59">
        <f>COUNTIFS(Jun!$B:$B,2152,Jun!$J:$J,15)</f>
        <v>0</v>
      </c>
      <c r="H35" s="59">
        <f>COUNTIFS(Jul!$B:$B,2152,Jul!$J:$J,15)</f>
        <v>0</v>
      </c>
      <c r="I35" s="59">
        <f>COUNTIFS(Aug!$B:$B,2152,Aug!$J:$J,15)</f>
        <v>0</v>
      </c>
      <c r="J35" s="59">
        <f>COUNTIFS(Sep!$B:$B,2152,Sep!$J:$J,15)</f>
        <v>0</v>
      </c>
      <c r="K35" s="59">
        <f>COUNTIFS(Oct!$B:$B,2152,Oct!$J:$J,15)</f>
        <v>0</v>
      </c>
      <c r="L35" s="59">
        <f>COUNTIFS(Nov!$B:$B,2152,Nov!$J:$J,15)</f>
        <v>0</v>
      </c>
      <c r="M35" s="59">
        <v>0</v>
      </c>
    </row>
    <row r="36" spans="1:13" s="8" customFormat="1" ht="11.25" customHeight="1">
      <c r="A36" s="10" t="s">
        <v>39</v>
      </c>
      <c r="B36" s="59">
        <f>COUNTIFS(Jan!$B:$B,2152,Jan!$J:$J,29)</f>
        <v>0</v>
      </c>
      <c r="C36" s="59">
        <f>COUNTIFS(Feb!$B:$B,2152,Feb!$J:$J,29)</f>
        <v>0</v>
      </c>
      <c r="D36" s="59">
        <f>COUNTIFS(Mar!$B:$B,2152,Mar!$J:$J,29)</f>
        <v>0</v>
      </c>
      <c r="E36" s="59">
        <f>COUNTIFS(Apr!$B:$B,2152,Apr!$J:$J,29)</f>
        <v>0</v>
      </c>
      <c r="F36" s="59">
        <f>COUNTIFS(May!$B:$B,2152,May!$J:$J,29)</f>
        <v>0</v>
      </c>
      <c r="G36" s="59">
        <f>COUNTIFS(Jun!$B:$B,2152,Jun!$J:$J,29)</f>
        <v>0</v>
      </c>
      <c r="H36" s="59">
        <f>COUNTIFS(Jul!$B:$B,2152,Jul!$J:$J,29)</f>
        <v>0</v>
      </c>
      <c r="I36" s="59">
        <f>COUNTIFS(Aug!$B:$B,2152,Aug!$J:$J,29)</f>
        <v>0</v>
      </c>
      <c r="J36" s="59">
        <f>COUNTIFS(Sep!$B:$B,2152,Sep!$J:$J,29)</f>
        <v>0</v>
      </c>
      <c r="K36" s="59">
        <f>COUNTIFS(Oct!$B:$B,2152,Oct!$J:$J,29)</f>
        <v>0</v>
      </c>
      <c r="L36" s="59">
        <f>COUNTIFS(Nov!$B:$B,2152,Nov!$J:$J,29)</f>
        <v>0</v>
      </c>
      <c r="M36" s="59">
        <v>0</v>
      </c>
    </row>
    <row r="37" spans="1:13" s="8" customFormat="1" ht="11.25" customHeight="1">
      <c r="A37" s="10" t="s">
        <v>3</v>
      </c>
      <c r="B37" s="59">
        <f>COUNTIFS(Jan!$B:$B,2152,Jan!$J:$J,13)</f>
        <v>0</v>
      </c>
      <c r="C37" s="59">
        <f>COUNTIFS(Feb!$B:$B,2152,Feb!$J:$J,13)</f>
        <v>0</v>
      </c>
      <c r="D37" s="59">
        <f>COUNTIFS(Mar!$B:$B,2152,Mar!$J:$J,13)</f>
        <v>0</v>
      </c>
      <c r="E37" s="59">
        <f>COUNTIFS(Apr!$B:$B,2152,Apr!$J:$J,13)</f>
        <v>0</v>
      </c>
      <c r="F37" s="59">
        <f>COUNTIFS(May!$B:$B,2152,May!$J:$J,13)</f>
        <v>0</v>
      </c>
      <c r="G37" s="59">
        <f>COUNTIFS(Jun!$B:$B,2152,Jun!$J:$J,13)</f>
        <v>0</v>
      </c>
      <c r="H37" s="59">
        <f>COUNTIFS(Jul!$B:$B,2152,Jul!$J:$J,13)</f>
        <v>0</v>
      </c>
      <c r="I37" s="59">
        <f>COUNTIFS(Aug!$B:$B,2152,Aug!$J:$J,13)</f>
        <v>0</v>
      </c>
      <c r="J37" s="59">
        <f>COUNTIFS(Sep!$B:$B,2152,Sep!$J:$J,13)</f>
        <v>0</v>
      </c>
      <c r="K37" s="59">
        <f>COUNTIFS(Oct!$B:$B,2152,Oct!$J:$J,13)</f>
        <v>0</v>
      </c>
      <c r="L37" s="59">
        <f>COUNTIFS(Nov!$B:$B,2152,Nov!$J:$J,13)</f>
        <v>0</v>
      </c>
      <c r="M37" s="59">
        <v>0</v>
      </c>
    </row>
    <row r="38" spans="1:13" s="8" customFormat="1" ht="11.25" customHeight="1">
      <c r="A38" s="9" t="s">
        <v>218</v>
      </c>
      <c r="B38" s="59">
        <f>COUNTIFS(Jan!$B:$B,2152,Jan!$J:$J,43)</f>
        <v>0</v>
      </c>
      <c r="C38" s="59">
        <f>COUNTIFS(Feb!$B:$B,2152,Feb!$J:$J,43)</f>
        <v>0</v>
      </c>
      <c r="D38" s="59">
        <f>COUNTIFS(Mar!$B:$B,2152,Mar!$J:$J,43)</f>
        <v>0</v>
      </c>
      <c r="E38" s="59">
        <f>COUNTIFS(Apr!$B:$B,2152,Apr!$J:$J,43)</f>
        <v>0</v>
      </c>
      <c r="F38" s="59">
        <f>COUNTIFS(May!$B:$B,2152,May!$J:$J,43)</f>
        <v>0</v>
      </c>
      <c r="G38" s="59">
        <f>COUNTIFS(Jun!$B:$B,2152,Jun!$J:$J,43)</f>
        <v>0</v>
      </c>
      <c r="H38" s="59">
        <f>COUNTIFS(Jul!$B:$B,2152,Jul!$J:$J,43)</f>
        <v>0</v>
      </c>
      <c r="I38" s="59">
        <f>COUNTIFS(Aug!$B:$B,2152,Aug!$J:$J,43)</f>
        <v>0</v>
      </c>
      <c r="J38" s="59">
        <f>COUNTIFS(Sep!$B:$B,2152,Sep!$J:$J,43)</f>
        <v>0</v>
      </c>
      <c r="K38" s="59">
        <f>COUNTIFS(Oct!$B:$B,2152,Oct!$J:$J,43)</f>
        <v>0</v>
      </c>
      <c r="L38" s="59">
        <f>COUNTIFS(Nov!$B:$B,2152,Nov!$J:$J,43)</f>
        <v>0</v>
      </c>
      <c r="M38" s="59">
        <v>0</v>
      </c>
    </row>
    <row r="39" spans="1:13" s="8" customFormat="1" ht="11.25" customHeight="1">
      <c r="A39" s="10" t="s">
        <v>25</v>
      </c>
      <c r="B39" s="59">
        <f>COUNTIFS(Jan!$B:$B,2152,Jan!$J:$J,24)</f>
        <v>0</v>
      </c>
      <c r="C39" s="59">
        <f>COUNTIFS(Feb!$B:$B,2152,Feb!$J:$J,24)</f>
        <v>0</v>
      </c>
      <c r="D39" s="59">
        <f>COUNTIFS(Mar!$B:$B,2152,Mar!$J:$J,24)</f>
        <v>0</v>
      </c>
      <c r="E39" s="59">
        <f>COUNTIFS(Apr!$B:$B,2152,Apr!$J:$J,24)</f>
        <v>0</v>
      </c>
      <c r="F39" s="59">
        <f>COUNTIFS(May!$B:$B,2152,May!$J:$J,24)</f>
        <v>0</v>
      </c>
      <c r="G39" s="59">
        <f>COUNTIFS(Jun!$B:$B,2152,Jun!$J:$J,24)</f>
        <v>0</v>
      </c>
      <c r="H39" s="59">
        <f>COUNTIFS(Jul!$B:$B,2152,Jul!$J:$J,24)</f>
        <v>0</v>
      </c>
      <c r="I39" s="59">
        <f>COUNTIFS(Aug!$B:$B,2152,Aug!$J:$J,24)</f>
        <v>0</v>
      </c>
      <c r="J39" s="59">
        <f>COUNTIFS(Sep!$B:$B,2152,Sep!$J:$J,24)</f>
        <v>0</v>
      </c>
      <c r="K39" s="59">
        <f>COUNTIFS(Oct!$B:$B,2152,Oct!$J:$J,24)</f>
        <v>0</v>
      </c>
      <c r="L39" s="59">
        <f>COUNTIFS(Nov!$B:$B,2152,Nov!$J:$J,24)</f>
        <v>0</v>
      </c>
      <c r="M39" s="59">
        <v>0</v>
      </c>
    </row>
    <row r="40" spans="1:13" s="8" customFormat="1" ht="11.25" customHeight="1">
      <c r="A40" s="10" t="s">
        <v>34</v>
      </c>
      <c r="B40" s="59">
        <f>COUNTIFS(Jan!$B:$B,2152,Jan!$J:$J,9)</f>
        <v>0</v>
      </c>
      <c r="C40" s="59">
        <f>COUNTIFS(Feb!$B:$B,2152,Feb!$J:$J,9)</f>
        <v>0</v>
      </c>
      <c r="D40" s="59">
        <f>COUNTIFS(Mar!$B:$B,2152,Mar!$J:$J,9)</f>
        <v>0</v>
      </c>
      <c r="E40" s="59">
        <f>COUNTIFS(Apr!$B:$B,2152,Apr!$J:$J,9)</f>
        <v>0</v>
      </c>
      <c r="F40" s="59">
        <f>COUNTIFS(May!$B:$B,2152,May!$J:$J,9)</f>
        <v>0</v>
      </c>
      <c r="G40" s="59">
        <f>COUNTIFS(Jun!$B:$B,2152,Jun!$J:$J,9)</f>
        <v>0</v>
      </c>
      <c r="H40" s="59">
        <f>COUNTIFS(Jul!$B:$B,2152,Jul!$J:$J,9)</f>
        <v>0</v>
      </c>
      <c r="I40" s="59">
        <f>COUNTIFS(Aug!$B:$B,2152,Aug!$J:$J,9)</f>
        <v>0</v>
      </c>
      <c r="J40" s="59">
        <f>COUNTIFS(Sep!$B:$B,2152,Sep!$J:$J,9)</f>
        <v>0</v>
      </c>
      <c r="K40" s="59">
        <f>COUNTIFS(Oct!$B:$B,2152,Oct!$J:$J,9)</f>
        <v>0</v>
      </c>
      <c r="L40" s="59">
        <f>COUNTIFS(Nov!$B:$B,2152,Nov!$J:$J,9)</f>
        <v>0</v>
      </c>
      <c r="M40" s="59">
        <v>0</v>
      </c>
    </row>
    <row r="41" spans="1:13" s="8" customFormat="1" ht="11.25" customHeight="1">
      <c r="A41" s="10" t="s">
        <v>31</v>
      </c>
      <c r="B41" s="59">
        <f>COUNTIFS(Jan!$B:$B,2152,Jan!$J:$J,10)</f>
        <v>0</v>
      </c>
      <c r="C41" s="59">
        <f>COUNTIFS(Feb!$B:$B,2152,Feb!$J:$J,10)</f>
        <v>0</v>
      </c>
      <c r="D41" s="59">
        <f>COUNTIFS(Mar!$B:$B,2152,Mar!$J:$J,10)</f>
        <v>0</v>
      </c>
      <c r="E41" s="59">
        <f>COUNTIFS(Apr!$B:$B,2152,Apr!$J:$J,10)</f>
        <v>0</v>
      </c>
      <c r="F41" s="59">
        <f>COUNTIFS(May!$B:$B,2152,May!$J:$J,10)</f>
        <v>0</v>
      </c>
      <c r="G41" s="59">
        <f>COUNTIFS(Jun!$B:$B,2152,Jun!$J:$J,10)</f>
        <v>0</v>
      </c>
      <c r="H41" s="59">
        <f>COUNTIFS(Jul!$B:$B,2152,Jul!$J:$J,10)</f>
        <v>0</v>
      </c>
      <c r="I41" s="59">
        <f>COUNTIFS(Aug!$B:$B,2152,Aug!$J:$J,10)</f>
        <v>0</v>
      </c>
      <c r="J41" s="59">
        <f>COUNTIFS(Sep!$B:$B,2152,Sep!$J:$J,10)</f>
        <v>0</v>
      </c>
      <c r="K41" s="59">
        <f>COUNTIFS(Oct!$B:$B,2152,Oct!$J:$J,10)</f>
        <v>0</v>
      </c>
      <c r="L41" s="59">
        <f>COUNTIFS(Nov!$B:$B,2152,Nov!$J:$J,10)</f>
        <v>0</v>
      </c>
      <c r="M41" s="59">
        <v>0</v>
      </c>
    </row>
    <row r="42" spans="1:13" s="8" customFormat="1" ht="11.25" customHeight="1">
      <c r="A42" s="10" t="s">
        <v>144</v>
      </c>
      <c r="B42" s="59">
        <f>COUNTIFS(Jan!$B:$B,2152,Jan!$F:$F,462)</f>
        <v>0</v>
      </c>
      <c r="C42" s="59">
        <f>COUNTIFS(Feb!$B:$B,2152,Feb!$F:$F,462)</f>
        <v>0</v>
      </c>
      <c r="D42" s="59">
        <f>COUNTIFS(Mar!$B:$B,2152,Mar!$F:$F,462)</f>
        <v>0</v>
      </c>
      <c r="E42" s="59">
        <f>COUNTIFS(Apr!$B:$B,2152,Apr!$F:$F,462)</f>
        <v>0</v>
      </c>
      <c r="F42" s="59">
        <f>COUNTIFS(May!$B:$B,2152,May!$F:$F,462)</f>
        <v>0</v>
      </c>
      <c r="G42" s="59">
        <f>COUNTIFS(Jun!$B:$B,2152,Jun!$F:$F,462)</f>
        <v>0</v>
      </c>
      <c r="H42" s="59">
        <f>COUNTIFS(Jul!$B:$B,2152,Jul!$F:$F,462)</f>
        <v>0</v>
      </c>
      <c r="I42" s="59">
        <f>COUNTIFS(Aug!$B:$B,2152,Aug!$F:$F,462)</f>
        <v>0</v>
      </c>
      <c r="J42" s="59">
        <f>COUNTIFS(Sep!$B:$B,2152,Sep!$F:$F,462)</f>
        <v>0</v>
      </c>
      <c r="K42" s="59">
        <f>COUNTIFS(Oct!$B:$B,2152,Oct!$F:$F,462)</f>
        <v>0</v>
      </c>
      <c r="L42" s="59">
        <f>COUNTIFS(Nov!$B:$B,2152,Nov!$F:$F,462)</f>
        <v>0</v>
      </c>
      <c r="M42" s="59">
        <v>0</v>
      </c>
    </row>
    <row r="43" spans="1:13" s="8" customFormat="1" ht="11.25" customHeight="1">
      <c r="A43" s="10" t="s">
        <v>1</v>
      </c>
      <c r="B43" s="59">
        <f>COUNTIFS(Jan!$B:$B,2152,Jan!$J:$J,11)</f>
        <v>0</v>
      </c>
      <c r="C43" s="59">
        <f>COUNTIFS(Feb!$B:$B,2152,Feb!$J:$J,11)</f>
        <v>0</v>
      </c>
      <c r="D43" s="59">
        <f>COUNTIFS(Mar!$B:$B,2152,Mar!$J:$J,11)</f>
        <v>0</v>
      </c>
      <c r="E43" s="59">
        <f>COUNTIFS(Apr!$B:$B,2152,Apr!$J:$J,11)</f>
        <v>0</v>
      </c>
      <c r="F43" s="59">
        <f>COUNTIFS(May!$B:$B,2152,May!$J:$J,11)</f>
        <v>0</v>
      </c>
      <c r="G43" s="59">
        <f>COUNTIFS(Jun!$B:$B,2152,Jun!$J:$J,11)</f>
        <v>0</v>
      </c>
      <c r="H43" s="59">
        <f>COUNTIFS(Jul!$B:$B,2152,Jul!$J:$J,11)</f>
        <v>0</v>
      </c>
      <c r="I43" s="59">
        <f>COUNTIFS(Aug!$B:$B,2152,Aug!$J:$J,11)</f>
        <v>0</v>
      </c>
      <c r="J43" s="59">
        <f>COUNTIFS(Sep!$B:$B,2152,Sep!$J:$J,11)</f>
        <v>0</v>
      </c>
      <c r="K43" s="59">
        <f>COUNTIFS(Oct!$B:$B,2152,Oct!$J:$J,11)</f>
        <v>0</v>
      </c>
      <c r="L43" s="59">
        <f>COUNTIFS(Nov!$B:$B,2152,Nov!$J:$J,11)</f>
        <v>0</v>
      </c>
      <c r="M43" s="59">
        <v>0</v>
      </c>
    </row>
    <row r="44" spans="1:13" s="8" customFormat="1" ht="11.25" customHeight="1">
      <c r="A44" s="10" t="s">
        <v>26</v>
      </c>
      <c r="B44" s="59">
        <f>COUNTIFS(Jan!$B:$B,2152,Jan!$J:$J,20)</f>
        <v>0</v>
      </c>
      <c r="C44" s="59">
        <f>COUNTIFS(Feb!$B:$B,2152,Feb!$J:$J,20)</f>
        <v>0</v>
      </c>
      <c r="D44" s="59">
        <f>COUNTIFS(Mar!$B:$B,2152,Mar!$J:$J,20)</f>
        <v>0</v>
      </c>
      <c r="E44" s="59">
        <f>COUNTIFS(Apr!$B:$B,2152,Apr!$J:$J,20)</f>
        <v>0</v>
      </c>
      <c r="F44" s="59">
        <f>COUNTIFS(May!$B:$B,2152,May!$J:$J,20)</f>
        <v>0</v>
      </c>
      <c r="G44" s="59">
        <f>COUNTIFS(Jun!$B:$B,2152,Jun!$J:$J,20)</f>
        <v>0</v>
      </c>
      <c r="H44" s="59">
        <f>COUNTIFS(Jul!$B:$B,2152,Jul!$J:$J,20)</f>
        <v>0</v>
      </c>
      <c r="I44" s="59">
        <f>COUNTIFS(Aug!$B:$B,2152,Aug!$J:$J,20)</f>
        <v>0</v>
      </c>
      <c r="J44" s="59">
        <f>COUNTIFS(Sep!$B:$B,2152,Sep!$J:$J,20)</f>
        <v>0</v>
      </c>
      <c r="K44" s="59">
        <f>COUNTIFS(Oct!$B:$B,2152,Oct!$J:$J,20)</f>
        <v>0</v>
      </c>
      <c r="L44" s="59">
        <f>COUNTIFS(Nov!$B:$B,2152,Nov!$J:$J,20)</f>
        <v>0</v>
      </c>
      <c r="M44" s="59">
        <v>0</v>
      </c>
    </row>
    <row r="45" spans="1:13" s="8" customFormat="1" ht="11.25" customHeight="1">
      <c r="A45" s="10" t="s">
        <v>32</v>
      </c>
      <c r="B45" s="59">
        <f>COUNTIFS(Jan!$B:$B,2152,Jan!$J:$J,2)</f>
        <v>0</v>
      </c>
      <c r="C45" s="59">
        <f>COUNTIFS(Feb!$B:$B,2152,Feb!$J:$J,2)</f>
        <v>0</v>
      </c>
      <c r="D45" s="59">
        <f>COUNTIFS(Mar!$B:$B,2152,Mar!$J:$J,2)</f>
        <v>0</v>
      </c>
      <c r="E45" s="59">
        <f>COUNTIFS(Apr!$B:$B,2152,Apr!$J:$J,2)</f>
        <v>0</v>
      </c>
      <c r="F45" s="59">
        <f>COUNTIFS(May!$B:$B,2152,May!$J:$J,2)</f>
        <v>0</v>
      </c>
      <c r="G45" s="59">
        <f>COUNTIFS(Jun!$B:$B,2152,Jun!$J:$J,2)</f>
        <v>0</v>
      </c>
      <c r="H45" s="59">
        <f>COUNTIFS(Jul!$B:$B,2152,Jul!$J:$J,2)</f>
        <v>0</v>
      </c>
      <c r="I45" s="59">
        <f>COUNTIFS(Aug!$B:$B,2152,Aug!$J:$J,2)</f>
        <v>0</v>
      </c>
      <c r="J45" s="59">
        <f>COUNTIFS(Sep!$B:$B,2152,Sep!$J:$J,2)</f>
        <v>0</v>
      </c>
      <c r="K45" s="59">
        <f>COUNTIFS(Oct!$B:$B,2152,Oct!$J:$J,2)</f>
        <v>0</v>
      </c>
      <c r="L45" s="59">
        <f>COUNTIFS(Nov!$B:$B,2152,Nov!$J:$J,2)</f>
        <v>0</v>
      </c>
      <c r="M45" s="59">
        <v>0</v>
      </c>
    </row>
    <row r="46" spans="1:13" s="8" customFormat="1" ht="11.25" customHeight="1">
      <c r="A46" s="10" t="s">
        <v>28</v>
      </c>
      <c r="B46" s="59">
        <f>COUNTIFS(Jan!$B:$B,2152,Jan!$J:$J,1700)+COUNTIFS(Jan!$B:$B,2152,Jan!$F:$F,1700)+COUNTIFS(Jan!$B:$B,2152,Jan!$J:$J,19)</f>
        <v>0</v>
      </c>
      <c r="C46" s="59">
        <f>COUNTIFS(Feb!$B:$B,2152,Feb!$J:$J,1700)+COUNTIFS(Feb!$B:$B,2152,Feb!$F:$F,1700)+COUNTIFS(Feb!$B:$B,2152,Feb!$J:$J,19)</f>
        <v>0</v>
      </c>
      <c r="D46" s="59">
        <f>COUNTIFS(Mar!$B:$B,2152,Mar!$J:$J,1700)+COUNTIFS(Mar!$B:$B,2152,Mar!$F:$F,1700)+COUNTIFS(Mar!$B:$B,2152,Mar!$J:$J,19)</f>
        <v>0</v>
      </c>
      <c r="E46" s="59">
        <f>COUNTIFS(Apr!$B:$B,2152,Apr!$J:$J,1700)+COUNTIFS(Apr!$B:$B,2152,Apr!$F:$F,1700)+COUNTIFS(Apr!$B:$B,2152,Apr!$J:$J,19)</f>
        <v>0</v>
      </c>
      <c r="F46" s="59">
        <f>COUNTIFS(May!$B:$B,2152,May!$J:$J,1700)+COUNTIFS(May!$B:$B,2152,May!$F:$F,1700)+COUNTIFS(May!$B:$B,2152,May!$J:$J,19)</f>
        <v>0</v>
      </c>
      <c r="G46" s="59">
        <f>COUNTIFS(Jun!$B:$B,2152,Jun!$J:$J,1700)+COUNTIFS(Jun!$B:$B,2152,Jun!$F:$F,1700)+COUNTIFS(Jun!$B:$B,2152,Jun!$J:$J,19)</f>
        <v>0</v>
      </c>
      <c r="H46" s="59">
        <f>COUNTIFS(Jul!$B:$B,2152,Jul!$J:$J,1700)+COUNTIFS(Jul!$B:$B,2152,Jul!$F:$F,1700)+COUNTIFS(Jul!$B:$B,2152,Jul!$J:$J,19)</f>
        <v>0</v>
      </c>
      <c r="I46" s="59">
        <f>COUNTIFS(Aug!$B:$B,2152,Aug!$J:$J,1700)+COUNTIFS(Aug!$B:$B,2152,Aug!$F:$F,1700)+COUNTIFS(Aug!$B:$B,2152,Aug!$J:$J,19)</f>
        <v>0</v>
      </c>
      <c r="J46" s="59">
        <f>COUNTIFS(Sep!$B:$B,2152,Sep!$J:$J,1700)+COUNTIFS(Sep!$B:$B,2152,Sep!$F:$F,1700)+COUNTIFS(Sep!$B:$B,2152,Sep!$J:$J,19)</f>
        <v>0</v>
      </c>
      <c r="K46" s="59">
        <f>COUNTIFS(Oct!$B:$B,2152,Oct!$J:$J,1700)+COUNTIFS(Oct!$B:$B,2152,Oct!$F:$F,1700)+COUNTIFS(Oct!$B:$B,2152,Oct!$J:$J,19)</f>
        <v>0</v>
      </c>
      <c r="L46" s="59">
        <f>COUNTIFS(Nov!$B:$B,2152,Nov!$J:$J,1700)+COUNTIFS(Nov!$B:$B,2152,Nov!$F:$F,1700)+COUNTIFS(Nov!$B:$B,2152,Nov!$J:$J,19)</f>
        <v>0</v>
      </c>
      <c r="M46" s="59">
        <v>0</v>
      </c>
    </row>
    <row r="47" spans="1:13" s="8" customFormat="1" ht="11.25" customHeight="1">
      <c r="A47" s="10" t="s">
        <v>0</v>
      </c>
      <c r="B47" s="59">
        <f>COUNTIFS(Jan!$B:$B,2152,Jan!$J:$J,3)</f>
        <v>0</v>
      </c>
      <c r="C47" s="59">
        <f>COUNTIFS(Feb!$B:$B,2152,Feb!$J:$J,3)</f>
        <v>0</v>
      </c>
      <c r="D47" s="59">
        <f>COUNTIFS(Mar!$B:$B,2152,Mar!$J:$J,3)</f>
        <v>0</v>
      </c>
      <c r="E47" s="59">
        <f>COUNTIFS(Apr!$B:$B,2152,Apr!$J:$J,3)</f>
        <v>0</v>
      </c>
      <c r="F47" s="59">
        <f>COUNTIFS(May!$B:$B,2152,May!$J:$J,3)</f>
        <v>0</v>
      </c>
      <c r="G47" s="59">
        <f>COUNTIFS(Jun!$B:$B,2152,Jun!$J:$J,3)</f>
        <v>0</v>
      </c>
      <c r="H47" s="59">
        <f>COUNTIFS(Jul!$B:$B,2152,Jul!$J:$J,3)</f>
        <v>0</v>
      </c>
      <c r="I47" s="59">
        <f>COUNTIFS(Aug!$B:$B,2152,Aug!$J:$J,3)</f>
        <v>0</v>
      </c>
      <c r="J47" s="59">
        <f>COUNTIFS(Sep!$B:$B,2152,Sep!$J:$J,3)</f>
        <v>0</v>
      </c>
      <c r="K47" s="59">
        <f>COUNTIFS(Oct!$B:$B,2152,Oct!$J:$J,3)</f>
        <v>0</v>
      </c>
      <c r="L47" s="59">
        <f>COUNTIFS(Nov!$B:$B,2152,Nov!$J:$J,3)</f>
        <v>0</v>
      </c>
      <c r="M47" s="59">
        <v>0</v>
      </c>
    </row>
    <row r="48" spans="1:13" s="8" customFormat="1" ht="11.25" customHeight="1">
      <c r="A48" s="10" t="s">
        <v>35</v>
      </c>
      <c r="B48" s="59">
        <f>COUNTIFS(Jan!$B:$B,2152,Jan!$J:$J,7400)</f>
        <v>0</v>
      </c>
      <c r="C48" s="59">
        <f>COUNTIFS(Feb!$B:$B,2152,Feb!$J:$J,7400)</f>
        <v>0</v>
      </c>
      <c r="D48" s="59">
        <f>COUNTIFS(Mar!$B:$B,2152,Mar!$J:$J,7400)</f>
        <v>0</v>
      </c>
      <c r="E48" s="59">
        <f>COUNTIFS(Apr!$B:$B,2152,Apr!$J:$J,7400)</f>
        <v>0</v>
      </c>
      <c r="F48" s="59">
        <f>COUNTIFS(May!$B:$B,2152,May!$J:$J,7400)</f>
        <v>0</v>
      </c>
      <c r="G48" s="59">
        <f>COUNTIFS(Jun!$B:$B,2152,Jun!$J:$J,7400)</f>
        <v>0</v>
      </c>
      <c r="H48" s="59">
        <f>COUNTIFS(Jul!$B:$B,2152,Jul!$J:$J,7400)</f>
        <v>0</v>
      </c>
      <c r="I48" s="59">
        <f>COUNTIFS(Aug!$B:$B,2152,Aug!$J:$J,7400)</f>
        <v>0</v>
      </c>
      <c r="J48" s="59">
        <f>COUNTIFS(Sep!$B:$B,2152,Sep!$J:$J,7400)</f>
        <v>0</v>
      </c>
      <c r="K48" s="59">
        <f>COUNTIFS(Oct!$B:$B,2152,Oct!$J:$J,7400)</f>
        <v>0</v>
      </c>
      <c r="L48" s="59">
        <f>COUNTIFS(Nov!$B:$B,2152,Nov!$J:$J,7400)</f>
        <v>0</v>
      </c>
      <c r="M48" s="59">
        <v>0</v>
      </c>
    </row>
    <row r="49" spans="1:13" s="8" customFormat="1" ht="11.25" customHeight="1">
      <c r="A49" s="10" t="s">
        <v>2</v>
      </c>
      <c r="B49" s="59">
        <f>COUNTIFS(Jan!$B:$B,2152,Jan!$J:$J,14)</f>
        <v>0</v>
      </c>
      <c r="C49" s="59">
        <f>COUNTIFS(Feb!$B:$B,2152,Feb!$J:$J,14)</f>
        <v>0</v>
      </c>
      <c r="D49" s="59">
        <f>COUNTIFS(Mar!$B:$B,2152,Mar!$J:$J,14)</f>
        <v>0</v>
      </c>
      <c r="E49" s="59">
        <f>COUNTIFS(Apr!$B:$B,2152,Apr!$J:$J,14)</f>
        <v>0</v>
      </c>
      <c r="F49" s="59">
        <f>COUNTIFS(May!$B:$B,2152,May!$J:$J,14)</f>
        <v>0</v>
      </c>
      <c r="G49" s="59">
        <f>COUNTIFS(Jun!$B:$B,2152,Jun!$J:$J,14)</f>
        <v>0</v>
      </c>
      <c r="H49" s="59">
        <f>COUNTIFS(Jul!$B:$B,2152,Jul!$J:$J,14)</f>
        <v>0</v>
      </c>
      <c r="I49" s="59">
        <f>COUNTIFS(Aug!$B:$B,2152,Aug!$J:$J,14)</f>
        <v>0</v>
      </c>
      <c r="J49" s="59">
        <f>COUNTIFS(Sep!$B:$B,2152,Sep!$J:$J,14)</f>
        <v>0</v>
      </c>
      <c r="K49" s="59">
        <f>COUNTIFS(Oct!$B:$B,2152,Oct!$J:$J,14)</f>
        <v>0</v>
      </c>
      <c r="L49" s="59">
        <f>COUNTIFS(Nov!$B:$B,2152,Nov!$J:$J,14)</f>
        <v>0</v>
      </c>
      <c r="M49" s="59">
        <v>0</v>
      </c>
    </row>
    <row r="50" spans="1:13" s="8" customFormat="1" ht="11.25" customHeight="1">
      <c r="A50" s="10" t="s">
        <v>142</v>
      </c>
      <c r="B50" s="59">
        <f>COUNTIFS(Jan!$B:$B,2152,Jan!$F:$F,466)</f>
        <v>0</v>
      </c>
      <c r="C50" s="59">
        <f>COUNTIFS(Feb!$B:$B,2152,Feb!$F:$F,466)</f>
        <v>0</v>
      </c>
      <c r="D50" s="59">
        <f>COUNTIFS(Mar!$B:$B,2152,Mar!$F:$F,466)</f>
        <v>0</v>
      </c>
      <c r="E50" s="59">
        <f>COUNTIFS(Apr!$B:$B,2152,Apr!$F:$F,466)</f>
        <v>0</v>
      </c>
      <c r="F50" s="59">
        <f>COUNTIFS(May!$B:$B,2152,May!$F:$F,466)</f>
        <v>0</v>
      </c>
      <c r="G50" s="59">
        <f>COUNTIFS(Jun!$B:$B,2152,Jun!$F:$F,466)</f>
        <v>0</v>
      </c>
      <c r="H50" s="59">
        <f>COUNTIFS(Jul!$B:$B,2152,Jul!$F:$F,466)</f>
        <v>0</v>
      </c>
      <c r="I50" s="59">
        <f>COUNTIFS(Aug!$B:$B,2152,Aug!$F:$F,466)</f>
        <v>0</v>
      </c>
      <c r="J50" s="59">
        <f>COUNTIFS(Sep!$B:$B,2152,Sep!$F:$F,466)</f>
        <v>0</v>
      </c>
      <c r="K50" s="59">
        <f>COUNTIFS(Oct!$B:$B,2152,Oct!$F:$F,466)</f>
        <v>0</v>
      </c>
      <c r="L50" s="59">
        <f>COUNTIFS(Nov!$B:$B,2152,Nov!$F:$F,466)</f>
        <v>0</v>
      </c>
      <c r="M50" s="59">
        <v>0</v>
      </c>
    </row>
    <row r="51" spans="1:13" s="8" customFormat="1" ht="11.25" customHeight="1">
      <c r="A51" s="10" t="s">
        <v>27</v>
      </c>
      <c r="B51" s="59">
        <f>COUNTIFS(Jan!$B:$B,2152,Jan!$J:$J,25)</f>
        <v>0</v>
      </c>
      <c r="C51" s="59">
        <f>COUNTIFS(Feb!$B:$B,2152,Feb!$J:$J,25)</f>
        <v>0</v>
      </c>
      <c r="D51" s="59">
        <f>COUNTIFS(Mar!$B:$B,2152,Mar!$J:$J,25)</f>
        <v>0</v>
      </c>
      <c r="E51" s="59">
        <f>COUNTIFS(Apr!$B:$B,2152,Apr!$J:$J,25)</f>
        <v>0</v>
      </c>
      <c r="F51" s="59">
        <f>COUNTIFS(May!$B:$B,2152,May!$J:$J,25)</f>
        <v>0</v>
      </c>
      <c r="G51" s="59">
        <f>COUNTIFS(Jun!$B:$B,2152,Jun!$J:$J,25)</f>
        <v>0</v>
      </c>
      <c r="H51" s="59">
        <f>COUNTIFS(Jul!$B:$B,2152,Jul!$J:$J,25)</f>
        <v>0</v>
      </c>
      <c r="I51" s="59">
        <f>COUNTIFS(Aug!$B:$B,2152,Aug!$J:$J,25)</f>
        <v>0</v>
      </c>
      <c r="J51" s="59">
        <f>COUNTIFS(Sep!$B:$B,2152,Sep!$J:$J,25)</f>
        <v>0</v>
      </c>
      <c r="K51" s="59">
        <f>COUNTIFS(Oct!$B:$B,2152,Oct!$J:$J,25)</f>
        <v>0</v>
      </c>
      <c r="L51" s="59">
        <f>COUNTIFS(Nov!$B:$B,2152,Nov!$J:$J,25)</f>
        <v>0</v>
      </c>
      <c r="M51" s="59">
        <v>0</v>
      </c>
    </row>
    <row r="52" spans="1:13" s="8" customFormat="1" ht="11.25" customHeight="1" thickBot="1">
      <c r="A52" s="11" t="s">
        <v>16</v>
      </c>
      <c r="B52" s="60">
        <f>SUM(B34:B51)</f>
        <v>0</v>
      </c>
      <c r="C52" s="60">
        <f t="shared" ref="C52:M52" si="11">SUM(C34:C51)</f>
        <v>0</v>
      </c>
      <c r="D52" s="60">
        <f>SUM(D34:D51)</f>
        <v>0</v>
      </c>
      <c r="E52" s="60">
        <f>SUM(E34:E51)</f>
        <v>0</v>
      </c>
      <c r="F52" s="60">
        <f>SUM(F34:F51)</f>
        <v>0</v>
      </c>
      <c r="G52" s="60">
        <f>SUM(G34:G51)</f>
        <v>0</v>
      </c>
      <c r="H52" s="60">
        <f t="shared" si="11"/>
        <v>0</v>
      </c>
      <c r="I52" s="60">
        <f t="shared" si="11"/>
        <v>0</v>
      </c>
      <c r="J52" s="60">
        <f t="shared" si="11"/>
        <v>0</v>
      </c>
      <c r="K52" s="60">
        <f t="shared" si="11"/>
        <v>0</v>
      </c>
      <c r="L52" s="159">
        <f t="shared" si="11"/>
        <v>0</v>
      </c>
      <c r="M52" s="170">
        <f t="shared" si="11"/>
        <v>0</v>
      </c>
    </row>
    <row r="53" spans="1:13" ht="12" customHeight="1" thickBot="1">
      <c r="A53" s="55" t="s">
        <v>137</v>
      </c>
      <c r="B53" s="50">
        <v>41275</v>
      </c>
      <c r="C53" s="47">
        <v>41306</v>
      </c>
      <c r="D53" s="47">
        <v>41334</v>
      </c>
      <c r="E53" s="47">
        <v>41365</v>
      </c>
      <c r="F53" s="47">
        <v>41395</v>
      </c>
      <c r="G53" s="47">
        <v>41426</v>
      </c>
      <c r="H53" s="47">
        <v>41456</v>
      </c>
      <c r="I53" s="47">
        <v>41487</v>
      </c>
      <c r="J53" s="47">
        <v>41518</v>
      </c>
      <c r="K53" s="47">
        <v>41548</v>
      </c>
      <c r="L53" s="47">
        <v>41579</v>
      </c>
      <c r="M53" s="51">
        <v>41609</v>
      </c>
    </row>
    <row r="54" spans="1:13" s="8" customFormat="1" ht="11.25" customHeight="1">
      <c r="A54" s="10" t="s">
        <v>30</v>
      </c>
      <c r="B54" s="57">
        <f>COUNTIFS(Jan!$B:$B,2152,Jan!$J:$J,7)</f>
        <v>0</v>
      </c>
      <c r="C54" s="57">
        <f>COUNTIFS(Feb!$B:$B,2152,Feb!$J:$J,7)</f>
        <v>0</v>
      </c>
      <c r="D54" s="57">
        <f>COUNTIFS(Mar!$B:$B,2152,Mar!$J:$J,7)</f>
        <v>0</v>
      </c>
      <c r="E54" s="57">
        <f>COUNTIFS(Apr!$B:$B,2152,Apr!$J:$J,7)</f>
        <v>0</v>
      </c>
      <c r="F54" s="57">
        <f>COUNTIFS(May!$B:$B,2152,May!$J:$J,7)</f>
        <v>0</v>
      </c>
      <c r="G54" s="57">
        <f>COUNTIFS(Jun!$B:$B,2152,Jun!$J:$J,7)</f>
        <v>0</v>
      </c>
      <c r="H54" s="57">
        <f>COUNTIFS(Jul!$B:$B,2152,Jul!$J:$J,7)</f>
        <v>0</v>
      </c>
      <c r="I54" s="57">
        <f>COUNTIFS(Aug!$B:$B,2152,Aug!$J:$J,7)</f>
        <v>0</v>
      </c>
      <c r="J54" s="57">
        <f>COUNTIFS(Sep!$B:$B,2152,Sep!$J:$J,7)</f>
        <v>0</v>
      </c>
      <c r="K54" s="57">
        <f>COUNTIFS(Oct!$B:$B,2152,Oct!$J:$J,7)</f>
        <v>0</v>
      </c>
      <c r="L54" s="57">
        <f>COUNTIFS(Nov!$B:$B,2152,Nov!$J:$J,7)</f>
        <v>0</v>
      </c>
      <c r="M54" s="57">
        <v>0</v>
      </c>
    </row>
    <row r="55" spans="1:13" s="8" customFormat="1" ht="11.25" customHeight="1">
      <c r="A55" s="10" t="s">
        <v>29</v>
      </c>
      <c r="B55" s="59">
        <f>COUNTIFS(Jan!$B:$B,2152,Jan!$J:$J,8)</f>
        <v>0</v>
      </c>
      <c r="C55" s="59">
        <f>COUNTIFS(Feb!$B:$B,2152,Feb!$J:$J,8)</f>
        <v>0</v>
      </c>
      <c r="D55" s="59">
        <f>COUNTIFS(Mar!$B:$B,2152,Mar!$J:$J,8)</f>
        <v>0</v>
      </c>
      <c r="E55" s="59">
        <f>COUNTIFS(Apr!$B:$B,2152,Apr!$J:$J,8)</f>
        <v>0</v>
      </c>
      <c r="F55" s="59">
        <f>COUNTIFS(May!$B:$B,2152,May!$J:$J,8)</f>
        <v>0</v>
      </c>
      <c r="G55" s="59">
        <f>COUNTIFS(Jun!$B:$B,2152,Jun!$J:$J,8)</f>
        <v>0</v>
      </c>
      <c r="H55" s="59">
        <f>COUNTIFS(Jul!$B:$B,2152,Jul!$J:$J,8)</f>
        <v>0</v>
      </c>
      <c r="I55" s="59">
        <f>COUNTIFS(Aug!$B:$B,2152,Aug!$J:$J,8)</f>
        <v>0</v>
      </c>
      <c r="J55" s="59">
        <f>COUNTIFS(Sep!$B:$B,2152,Sep!$J:$J,8)</f>
        <v>0</v>
      </c>
      <c r="K55" s="59">
        <f>COUNTIFS(Oct!$B:$B,2152,Oct!$J:$J,8)</f>
        <v>0</v>
      </c>
      <c r="L55" s="59">
        <f>COUNTIFS(Nov!$B:$B,2152,Nov!$J:$J,8)</f>
        <v>0</v>
      </c>
      <c r="M55" s="59">
        <v>0</v>
      </c>
    </row>
    <row r="56" spans="1:13" s="8" customFormat="1" ht="11.25" customHeight="1">
      <c r="A56" s="10" t="s">
        <v>7</v>
      </c>
      <c r="B56" s="59">
        <f>COUNTIFS(Jan!$B:$B,2152,Jan!$J:$J,12)</f>
        <v>0</v>
      </c>
      <c r="C56" s="59">
        <f>COUNTIFS(Feb!$B:$B,2152,Feb!$J:$J,12)</f>
        <v>0</v>
      </c>
      <c r="D56" s="59">
        <f>COUNTIFS(Mar!$B:$B,2152,Mar!$J:$J,12)</f>
        <v>0</v>
      </c>
      <c r="E56" s="59">
        <f>COUNTIFS(Apr!$B:$B,2152,Apr!$J:$J,12)</f>
        <v>0</v>
      </c>
      <c r="F56" s="59">
        <f>COUNTIFS(May!$B:$B,2152,May!$J:$J,12)</f>
        <v>0</v>
      </c>
      <c r="G56" s="59">
        <f>COUNTIFS(Jun!$B:$B,2152,Jun!$J:$J,12)</f>
        <v>0</v>
      </c>
      <c r="H56" s="59">
        <f>COUNTIFS(Jul!$B:$B,2152,Jul!$J:$J,12)</f>
        <v>0</v>
      </c>
      <c r="I56" s="59">
        <f>COUNTIFS(Aug!$B:$B,2152,Aug!$J:$J,12)</f>
        <v>0</v>
      </c>
      <c r="J56" s="59">
        <f>COUNTIFS(Sep!$B:$B,2152,Sep!$J:$J,12)</f>
        <v>0</v>
      </c>
      <c r="K56" s="59">
        <f>COUNTIFS(Oct!$B:$B,2152,Oct!$J:$J,12)</f>
        <v>0</v>
      </c>
      <c r="L56" s="59">
        <f>COUNTIFS(Nov!$B:$B,2152,Nov!$J:$J,12)</f>
        <v>0</v>
      </c>
      <c r="M56" s="59">
        <v>0</v>
      </c>
    </row>
    <row r="57" spans="1:13" s="8" customFormat="1" ht="11.25" customHeight="1">
      <c r="A57" s="10" t="s">
        <v>10</v>
      </c>
      <c r="B57" s="59">
        <f>COUNTIFS(Jan!$B:$B,2152,Jan!$J:$J,5100)</f>
        <v>0</v>
      </c>
      <c r="C57" s="59">
        <f>COUNTIFS(Feb!$B:$B,2152,Feb!$J:$J,5100)</f>
        <v>0</v>
      </c>
      <c r="D57" s="59">
        <f>COUNTIFS(Mar!$B:$B,2152,Mar!$J:$J,5100)</f>
        <v>0</v>
      </c>
      <c r="E57" s="59">
        <f>COUNTIFS(Apr!$B:$B,2152,Apr!$J:$J,5100)</f>
        <v>0</v>
      </c>
      <c r="F57" s="59">
        <f>COUNTIFS(May!$B:$B,2152,May!$J:$J,5100)</f>
        <v>0</v>
      </c>
      <c r="G57" s="59">
        <f>COUNTIFS(Jun!$B:$B,2152,Jun!$J:$J,5100)</f>
        <v>0</v>
      </c>
      <c r="H57" s="59">
        <f>COUNTIFS(Jul!$B:$B,2152,Jul!$J:$J,5100)</f>
        <v>0</v>
      </c>
      <c r="I57" s="59">
        <f>COUNTIFS(Aug!$B:$B,2152,Aug!$J:$J,5100)</f>
        <v>0</v>
      </c>
      <c r="J57" s="59">
        <f>COUNTIFS(Sep!$B:$B,2152,Sep!$J:$J,5100)</f>
        <v>0</v>
      </c>
      <c r="K57" s="59">
        <f>COUNTIFS(Oct!$B:$B,2152,Oct!$J:$J,5100)</f>
        <v>0</v>
      </c>
      <c r="L57" s="59">
        <f>COUNTIFS(Nov!$B:$B,2152,Nov!$J:$J,5100)</f>
        <v>0</v>
      </c>
      <c r="M57" s="59">
        <v>0</v>
      </c>
    </row>
    <row r="58" spans="1:13" s="8" customFormat="1" ht="11.25" customHeight="1">
      <c r="A58" s="10" t="s">
        <v>36</v>
      </c>
      <c r="B58" s="59">
        <f>COUNTIFS(Jan!$B:$B,2152,Jan!$J:$J,6200)</f>
        <v>0</v>
      </c>
      <c r="C58" s="59">
        <f>COUNTIFS(Feb!$B:$B,2152,Feb!$J:$J,6200)</f>
        <v>0</v>
      </c>
      <c r="D58" s="59">
        <f>COUNTIFS(Mar!$B:$B,2152,Mar!$J:$J,6200)</f>
        <v>0</v>
      </c>
      <c r="E58" s="59">
        <f>COUNTIFS(Apr!$B:$B,2152,Apr!$J:$J,6200)</f>
        <v>0</v>
      </c>
      <c r="F58" s="59">
        <f>COUNTIFS(May!$B:$B,2152,May!$J:$J,6200)</f>
        <v>0</v>
      </c>
      <c r="G58" s="59">
        <f>COUNTIFS(Jun!$B:$B,2152,Jun!$J:$J,6200)</f>
        <v>0</v>
      </c>
      <c r="H58" s="59">
        <f>COUNTIFS(Jul!$B:$B,2152,Jul!$J:$J,6200)</f>
        <v>0</v>
      </c>
      <c r="I58" s="59">
        <f>COUNTIFS(Aug!$B:$B,2152,Aug!$J:$J,6200)</f>
        <v>0</v>
      </c>
      <c r="J58" s="59">
        <f>COUNTIFS(Sep!$B:$B,2152,Sep!$J:$J,6200)</f>
        <v>0</v>
      </c>
      <c r="K58" s="59">
        <f>COUNTIFS(Oct!$B:$B,2152,Oct!$J:$J,6200)</f>
        <v>0</v>
      </c>
      <c r="L58" s="59">
        <f>COUNTIFS(Nov!$B:$B,2152,Nov!$J:$J,6200)</f>
        <v>0</v>
      </c>
      <c r="M58" s="59">
        <v>0</v>
      </c>
    </row>
    <row r="59" spans="1:13" s="8" customFormat="1" ht="11.25" customHeight="1">
      <c r="A59" s="10" t="s">
        <v>145</v>
      </c>
      <c r="B59" s="59">
        <f>COUNTIFS(Jan!$B:$B,2152,Jan!$J:$J,28)</f>
        <v>0</v>
      </c>
      <c r="C59" s="59">
        <f>COUNTIFS(Feb!$B:$B,2152,Feb!$J:$J,28)</f>
        <v>0</v>
      </c>
      <c r="D59" s="59">
        <f>COUNTIFS(Mar!$B:$B,2152,Mar!$J:$J,28)</f>
        <v>0</v>
      </c>
      <c r="E59" s="59">
        <f>COUNTIFS(Apr!$B:$B,2152,Apr!$J:$J,28)</f>
        <v>0</v>
      </c>
      <c r="F59" s="59">
        <f>COUNTIFS(May!$B:$B,2152,May!$J:$J,28)</f>
        <v>0</v>
      </c>
      <c r="G59" s="59">
        <f>COUNTIFS(Jun!$B:$B,2152,Jun!$J:$J,28)</f>
        <v>0</v>
      </c>
      <c r="H59" s="59">
        <f>COUNTIFS(Jul!$B:$B,2152,Jul!$J:$J,28)</f>
        <v>0</v>
      </c>
      <c r="I59" s="59">
        <f>COUNTIFS(Aug!$B:$B,2152,Aug!$J:$J,28)</f>
        <v>0</v>
      </c>
      <c r="J59" s="59">
        <f>COUNTIFS(Sep!$B:$B,2152,Sep!$J:$J,28)</f>
        <v>0</v>
      </c>
      <c r="K59" s="59">
        <f>COUNTIFS(Oct!$B:$B,2152,Oct!$J:$J,28)</f>
        <v>0</v>
      </c>
      <c r="L59" s="59">
        <f>COUNTIFS(Nov!$B:$B,2152,Nov!$J:$J,28)</f>
        <v>0</v>
      </c>
      <c r="M59" s="59">
        <v>0</v>
      </c>
    </row>
    <row r="60" spans="1:13" s="8" customFormat="1" ht="11.25" customHeight="1">
      <c r="A60" s="10" t="s">
        <v>38</v>
      </c>
      <c r="B60" s="59">
        <f>COUNTIFS(Jan!$B:$B,2152,Jan!$J:$J,6100)</f>
        <v>0</v>
      </c>
      <c r="C60" s="59">
        <f>COUNTIFS(Feb!$B:$B,2152,Feb!$J:$J,6100)</f>
        <v>0</v>
      </c>
      <c r="D60" s="59">
        <f>COUNTIFS(Mar!$B:$B,2152,Mar!$J:$J,6100)</f>
        <v>0</v>
      </c>
      <c r="E60" s="59">
        <f>COUNTIFS(Apr!$B:$B,2152,Apr!$J:$J,6100)</f>
        <v>0</v>
      </c>
      <c r="F60" s="59">
        <f>COUNTIFS(May!$B:$B,2152,May!$J:$J,6100)</f>
        <v>0</v>
      </c>
      <c r="G60" s="59">
        <f>COUNTIFS(Jun!$B:$B,2152,Jun!$J:$J,6100)</f>
        <v>0</v>
      </c>
      <c r="H60" s="59">
        <f>COUNTIFS(Jul!$B:$B,2152,Jul!$J:$J,6100)</f>
        <v>0</v>
      </c>
      <c r="I60" s="59">
        <f>COUNTIFS(Aug!$B:$B,2152,Aug!$J:$J,6100)</f>
        <v>0</v>
      </c>
      <c r="J60" s="59">
        <f>COUNTIFS(Sep!$B:$B,2152,Sep!$J:$J,6100)</f>
        <v>0</v>
      </c>
      <c r="K60" s="59">
        <f>COUNTIFS(Oct!$B:$B,2152,Oct!$J:$J,6100)</f>
        <v>0</v>
      </c>
      <c r="L60" s="59">
        <f>COUNTIFS(Nov!$B:$B,2152,Nov!$J:$J,6100)</f>
        <v>0</v>
      </c>
      <c r="M60" s="59">
        <v>0</v>
      </c>
    </row>
    <row r="61" spans="1:13" s="8" customFormat="1" ht="11.25" customHeight="1">
      <c r="A61" s="10" t="s">
        <v>9</v>
      </c>
      <c r="B61" s="59">
        <f>COUNTIFS(Jan!$B:$B,2152,Jan!$J:$J,6)</f>
        <v>0</v>
      </c>
      <c r="C61" s="59">
        <f>COUNTIFS(Feb!$B:$B,2152,Feb!$J:$J,6)</f>
        <v>0</v>
      </c>
      <c r="D61" s="59">
        <f>COUNTIFS(Mar!$B:$B,2152,Mar!$J:$J,6)</f>
        <v>0</v>
      </c>
      <c r="E61" s="59">
        <f>COUNTIFS(Apr!$B:$B,2152,Apr!$J:$J,6)</f>
        <v>0</v>
      </c>
      <c r="F61" s="59">
        <f>COUNTIFS(May!$B:$B,2152,May!$J:$J,6)</f>
        <v>0</v>
      </c>
      <c r="G61" s="59">
        <f>COUNTIFS(Jun!$B:$B,2152,Jun!$J:$J,6)</f>
        <v>0</v>
      </c>
      <c r="H61" s="59">
        <f>COUNTIFS(Jul!$B:$B,2152,Jul!$J:$J,6)</f>
        <v>0</v>
      </c>
      <c r="I61" s="59">
        <f>COUNTIFS(Aug!$B:$B,2152,Aug!$J:$J,6)</f>
        <v>0</v>
      </c>
      <c r="J61" s="59">
        <f>COUNTIFS(Sep!$B:$B,2152,Sep!$J:$J,6)</f>
        <v>0</v>
      </c>
      <c r="K61" s="59">
        <f>COUNTIFS(Oct!$B:$B,2152,Oct!$J:$J,6)</f>
        <v>0</v>
      </c>
      <c r="L61" s="59">
        <f>COUNTIFS(Nov!$B:$B,2152,Nov!$J:$J,6)</f>
        <v>0</v>
      </c>
      <c r="M61" s="59">
        <v>0</v>
      </c>
    </row>
    <row r="62" spans="1:13" s="8" customFormat="1" ht="11.25" customHeight="1">
      <c r="A62" s="10" t="s">
        <v>8</v>
      </c>
      <c r="B62" s="59">
        <f>COUNTIFS(Jan!$B:$B,2152,Jan!$J:$J,4)</f>
        <v>0</v>
      </c>
      <c r="C62" s="59">
        <f>COUNTIFS(Feb!$B:$B,2152,Feb!$J:$J,4)</f>
        <v>0</v>
      </c>
      <c r="D62" s="59">
        <f>COUNTIFS(Mar!$B:$B,2152,Mar!$J:$J,4)</f>
        <v>0</v>
      </c>
      <c r="E62" s="59">
        <f>COUNTIFS(Apr!$B:$B,2152,Apr!$J:$J,4)</f>
        <v>0</v>
      </c>
      <c r="F62" s="59">
        <f>COUNTIFS(May!$B:$B,2152,May!$J:$J,4)</f>
        <v>0</v>
      </c>
      <c r="G62" s="59">
        <f>COUNTIFS(Jun!$B:$B,2152,Jun!$J:$J,4)</f>
        <v>0</v>
      </c>
      <c r="H62" s="59">
        <f>COUNTIFS(Jul!$B:$B,2152,Jul!$J:$J,4)</f>
        <v>0</v>
      </c>
      <c r="I62" s="59">
        <f>COUNTIFS(Aug!$B:$B,2152,Aug!$J:$J,4)</f>
        <v>0</v>
      </c>
      <c r="J62" s="59">
        <f>COUNTIFS(Sep!$B:$B,2152,Sep!$J:$J,4)</f>
        <v>0</v>
      </c>
      <c r="K62" s="59">
        <f>COUNTIFS(Oct!$B:$B,2152,Oct!$J:$J,4)</f>
        <v>0</v>
      </c>
      <c r="L62" s="59">
        <f>COUNTIFS(Nov!$B:$B,2152,Nov!$J:$J,4)</f>
        <v>0</v>
      </c>
      <c r="M62" s="59">
        <v>0</v>
      </c>
    </row>
    <row r="63" spans="1:13" s="8" customFormat="1" ht="11.25" customHeight="1">
      <c r="A63" s="10" t="s">
        <v>6</v>
      </c>
      <c r="B63" s="59">
        <f>COUNTIFS(Jan!$B:$B,2152,Jan!$J:$J,5)</f>
        <v>0</v>
      </c>
      <c r="C63" s="59">
        <f>COUNTIFS(Feb!$B:$B,2152,Feb!$J:$J,5)</f>
        <v>0</v>
      </c>
      <c r="D63" s="59">
        <f>COUNTIFS(Mar!$B:$B,2152,Mar!$J:$J,5)</f>
        <v>0</v>
      </c>
      <c r="E63" s="59">
        <f>COUNTIFS(Apr!$B:$B,2152,Apr!$J:$J,5)</f>
        <v>0</v>
      </c>
      <c r="F63" s="59">
        <f>COUNTIFS(May!$B:$B,2152,May!$J:$J,5)</f>
        <v>0</v>
      </c>
      <c r="G63" s="59">
        <f>COUNTIFS(Jun!$B:$B,2152,Jun!$J:$J,5)</f>
        <v>0</v>
      </c>
      <c r="H63" s="59">
        <f>COUNTIFS(Jul!$B:$B,2152,Jul!$J:$J,5)</f>
        <v>0</v>
      </c>
      <c r="I63" s="59">
        <f>COUNTIFS(Aug!$B:$B,2152,Aug!$J:$J,5)</f>
        <v>0</v>
      </c>
      <c r="J63" s="59">
        <f>COUNTIFS(Sep!$B:$B,2152,Sep!$J:$J,5)</f>
        <v>0</v>
      </c>
      <c r="K63" s="59">
        <f>COUNTIFS(Oct!$B:$B,2152,Oct!$J:$J,5)</f>
        <v>0</v>
      </c>
      <c r="L63" s="59">
        <f>COUNTIFS(Nov!$B:$B,2152,Nov!$J:$J,5)</f>
        <v>0</v>
      </c>
      <c r="M63" s="59">
        <v>0</v>
      </c>
    </row>
    <row r="64" spans="1:13" s="8" customFormat="1" ht="11.25" customHeight="1">
      <c r="A64" s="52" t="s">
        <v>141</v>
      </c>
      <c r="B64" s="69">
        <f>COUNTIFS(Jan!$B:$B,2152,Jan!$F:$F,456)</f>
        <v>0</v>
      </c>
      <c r="C64" s="69">
        <f>COUNTIFS(Feb!$B:$B,2152,Feb!$F:$F,456)</f>
        <v>0</v>
      </c>
      <c r="D64" s="69">
        <f>COUNTIFS(Mar!$B:$B,2152,Mar!$F:$F,456)</f>
        <v>0</v>
      </c>
      <c r="E64" s="69">
        <f>COUNTIFS(Apr!$B:$B,2152,Apr!$F:$F,456)</f>
        <v>0</v>
      </c>
      <c r="F64" s="69">
        <f>COUNTIFS(May!$B:$B,2152,May!$F:$F,456)</f>
        <v>0</v>
      </c>
      <c r="G64" s="69">
        <f>COUNTIFS(Jun!$B:$B,2152,Jun!$F:$F,456)</f>
        <v>0</v>
      </c>
      <c r="H64" s="69">
        <f>COUNTIFS(Jul!$B:$B,2152,Jul!$F:$F,456)</f>
        <v>0</v>
      </c>
      <c r="I64" s="69">
        <f>COUNTIFS(Aug!$B:$B,2152,Aug!$F:$F,456)</f>
        <v>0</v>
      </c>
      <c r="J64" s="69">
        <f>COUNTIFS(Sep!$B:$B,2152,Sep!$F:$F,456)</f>
        <v>0</v>
      </c>
      <c r="K64" s="69">
        <f>COUNTIFS(Oct!$B:$B,2152,Oct!$F:$F,456)</f>
        <v>0</v>
      </c>
      <c r="L64" s="69">
        <f>COUNTIFS(Nov!$B:$B,2152,Nov!$F:$F,456)</f>
        <v>0</v>
      </c>
      <c r="M64" s="69">
        <v>0</v>
      </c>
    </row>
    <row r="65" spans="1:13" s="8" customFormat="1" ht="11.25" customHeight="1" thickBot="1">
      <c r="A65" s="12" t="s">
        <v>16</v>
      </c>
      <c r="B65" s="70">
        <f>SUM(B54:B64)</f>
        <v>0</v>
      </c>
      <c r="C65" s="70">
        <f t="shared" ref="C65:M65" si="12">SUM(C54:C64)</f>
        <v>0</v>
      </c>
      <c r="D65" s="70">
        <f t="shared" si="12"/>
        <v>0</v>
      </c>
      <c r="E65" s="70">
        <f t="shared" si="12"/>
        <v>0</v>
      </c>
      <c r="F65" s="70">
        <f t="shared" si="12"/>
        <v>0</v>
      </c>
      <c r="G65" s="70">
        <f t="shared" si="12"/>
        <v>0</v>
      </c>
      <c r="H65" s="70">
        <f t="shared" si="12"/>
        <v>0</v>
      </c>
      <c r="I65" s="70">
        <f t="shared" si="12"/>
        <v>0</v>
      </c>
      <c r="J65" s="70">
        <f t="shared" si="12"/>
        <v>0</v>
      </c>
      <c r="K65" s="70">
        <f t="shared" si="12"/>
        <v>0</v>
      </c>
      <c r="L65" s="165">
        <f t="shared" si="12"/>
        <v>0</v>
      </c>
      <c r="M65" s="170">
        <f t="shared" si="12"/>
        <v>0</v>
      </c>
    </row>
    <row r="66" spans="1:13" s="8" customFormat="1" ht="15.75" customHeight="1">
      <c r="A66" s="6"/>
      <c r="B66" s="7"/>
      <c r="C66" s="7"/>
      <c r="D66" s="7"/>
      <c r="E66" s="7"/>
      <c r="F66" s="7"/>
      <c r="G66" s="7"/>
      <c r="H66" s="7"/>
      <c r="I66" s="7"/>
      <c r="J66" s="7"/>
      <c r="K66" s="7"/>
      <c r="L66" s="7"/>
      <c r="M66" s="7"/>
    </row>
    <row r="67" spans="1:13" ht="12" customHeight="1">
      <c r="A67" s="6"/>
      <c r="B67" s="7"/>
      <c r="C67" s="7"/>
      <c r="D67" s="7"/>
      <c r="E67" s="7"/>
      <c r="F67" s="7"/>
      <c r="G67" s="7"/>
      <c r="H67" s="7"/>
      <c r="I67" s="7"/>
      <c r="J67" s="7"/>
      <c r="K67" s="7"/>
      <c r="L67" s="7"/>
      <c r="M67" s="7"/>
    </row>
  </sheetData>
  <phoneticPr fontId="0" type="noConversion"/>
  <printOptions horizontalCentered="1" verticalCentered="1"/>
  <pageMargins left="0.14000000000000001" right="0.16" top="0.25" bottom="0.5" header="0.5" footer="0.25"/>
  <pageSetup scale="95" firstPageNumber="3" orientation="portrait" useFirstPageNumber="1" r:id="rId1"/>
  <headerFooter alignWithMargins="0">
    <oddFooter>&amp;R32 of 51</oddFooter>
  </headerFooter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67"/>
  <sheetViews>
    <sheetView view="pageBreakPreview" topLeftCell="A4" zoomScale="90" zoomScaleNormal="100" zoomScaleSheetLayoutView="90" workbookViewId="0">
      <selection activeCell="M65" sqref="M65"/>
    </sheetView>
  </sheetViews>
  <sheetFormatPr defaultRowHeight="12.75"/>
  <cols>
    <col min="1" max="1" width="22.85546875" style="1" customWidth="1"/>
    <col min="2" max="13" width="7.140625" style="1" customWidth="1"/>
    <col min="14" max="14" width="4.42578125" style="1" customWidth="1"/>
    <col min="15" max="16384" width="9.140625" style="1"/>
  </cols>
  <sheetData>
    <row r="1" spans="1:21" ht="18" customHeight="1">
      <c r="A1" s="130"/>
      <c r="B1" s="131"/>
      <c r="C1" s="131"/>
      <c r="D1" s="131"/>
      <c r="E1" s="131"/>
      <c r="F1" s="131"/>
      <c r="G1" s="131"/>
      <c r="H1" s="130"/>
      <c r="I1" s="131"/>
      <c r="J1" s="131"/>
      <c r="K1" s="131"/>
      <c r="L1" s="130"/>
      <c r="M1" s="143" t="s">
        <v>22</v>
      </c>
    </row>
    <row r="2" spans="1:21" ht="18" customHeight="1">
      <c r="A2" s="130"/>
      <c r="B2" s="135"/>
      <c r="C2" s="135"/>
      <c r="D2" s="135"/>
      <c r="E2" s="135"/>
      <c r="F2" s="135"/>
      <c r="G2" s="135"/>
      <c r="H2" s="130"/>
      <c r="I2" s="135"/>
      <c r="J2" s="135"/>
      <c r="K2" s="135"/>
      <c r="L2" s="130"/>
      <c r="M2" s="155" t="s">
        <v>13</v>
      </c>
    </row>
    <row r="3" spans="1:21" s="5" customFormat="1" ht="18" customHeight="1">
      <c r="A3" s="133"/>
      <c r="B3" s="133"/>
      <c r="C3" s="133"/>
      <c r="D3" s="133"/>
      <c r="E3" s="133"/>
      <c r="F3" s="133"/>
      <c r="G3" s="133"/>
      <c r="H3" s="133"/>
      <c r="I3" s="133"/>
      <c r="J3" s="136"/>
      <c r="K3" s="136"/>
      <c r="L3" s="133"/>
      <c r="M3" s="155" t="s">
        <v>73</v>
      </c>
      <c r="N3" s="134"/>
      <c r="O3" s="134"/>
      <c r="P3" s="134"/>
      <c r="Q3" s="134"/>
      <c r="R3" s="134"/>
      <c r="S3" s="134"/>
      <c r="T3" s="134"/>
      <c r="U3" s="134"/>
    </row>
    <row r="4" spans="1:21" s="8" customFormat="1" ht="6.75" customHeight="1" thickBot="1">
      <c r="A4" s="38"/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</row>
    <row r="5" spans="1:21" s="8" customFormat="1" ht="11.25" customHeight="1" thickBot="1">
      <c r="A5" s="53" t="s">
        <v>19</v>
      </c>
      <c r="B5" s="50">
        <v>41275</v>
      </c>
      <c r="C5" s="47">
        <v>41306</v>
      </c>
      <c r="D5" s="47">
        <v>41334</v>
      </c>
      <c r="E5" s="47">
        <v>41365</v>
      </c>
      <c r="F5" s="47">
        <v>41395</v>
      </c>
      <c r="G5" s="47">
        <v>41426</v>
      </c>
      <c r="H5" s="47">
        <v>41456</v>
      </c>
      <c r="I5" s="47">
        <v>41487</v>
      </c>
      <c r="J5" s="47">
        <v>41518</v>
      </c>
      <c r="K5" s="47">
        <v>41548</v>
      </c>
      <c r="L5" s="47">
        <v>41579</v>
      </c>
      <c r="M5" s="51">
        <v>41609</v>
      </c>
    </row>
    <row r="6" spans="1:21" s="8" customFormat="1" ht="11.25" customHeight="1">
      <c r="A6" s="41" t="s">
        <v>129</v>
      </c>
      <c r="B6" s="57">
        <f t="shared" ref="B6:L6" si="0">B32</f>
        <v>0</v>
      </c>
      <c r="C6" s="57">
        <f t="shared" si="0"/>
        <v>0</v>
      </c>
      <c r="D6" s="57">
        <f t="shared" si="0"/>
        <v>0</v>
      </c>
      <c r="E6" s="57">
        <f t="shared" si="0"/>
        <v>0</v>
      </c>
      <c r="F6" s="57">
        <f t="shared" si="0"/>
        <v>0</v>
      </c>
      <c r="G6" s="57">
        <f t="shared" si="0"/>
        <v>0</v>
      </c>
      <c r="H6" s="57">
        <f t="shared" si="0"/>
        <v>0</v>
      </c>
      <c r="I6" s="57">
        <f t="shared" si="0"/>
        <v>0</v>
      </c>
      <c r="J6" s="57">
        <f t="shared" si="0"/>
        <v>0</v>
      </c>
      <c r="K6" s="57">
        <f t="shared" si="0"/>
        <v>0</v>
      </c>
      <c r="L6" s="156">
        <f t="shared" si="0"/>
        <v>0</v>
      </c>
      <c r="M6" s="168">
        <v>0</v>
      </c>
    </row>
    <row r="7" spans="1:21" s="8" customFormat="1" ht="11.25" customHeight="1">
      <c r="A7" s="42" t="s">
        <v>18</v>
      </c>
      <c r="B7" s="57">
        <f t="shared" ref="B7:L7" si="1">SUM(B10:B12)</f>
        <v>0</v>
      </c>
      <c r="C7" s="57">
        <f t="shared" si="1"/>
        <v>0</v>
      </c>
      <c r="D7" s="57">
        <f t="shared" si="1"/>
        <v>0</v>
      </c>
      <c r="E7" s="57">
        <f t="shared" si="1"/>
        <v>0</v>
      </c>
      <c r="F7" s="57">
        <f t="shared" si="1"/>
        <v>0</v>
      </c>
      <c r="G7" s="57">
        <f t="shared" si="1"/>
        <v>0</v>
      </c>
      <c r="H7" s="57">
        <f t="shared" si="1"/>
        <v>0</v>
      </c>
      <c r="I7" s="57">
        <f t="shared" si="1"/>
        <v>0</v>
      </c>
      <c r="J7" s="57">
        <f t="shared" si="1"/>
        <v>0</v>
      </c>
      <c r="K7" s="57">
        <f t="shared" si="1"/>
        <v>0</v>
      </c>
      <c r="L7" s="156">
        <f t="shared" si="1"/>
        <v>0</v>
      </c>
      <c r="M7" s="171">
        <v>0</v>
      </c>
    </row>
    <row r="8" spans="1:21" s="8" customFormat="1" ht="11.25" customHeight="1" thickBot="1">
      <c r="A8" s="43" t="s">
        <v>14</v>
      </c>
      <c r="B8" s="58">
        <f t="shared" ref="B8:L8" si="2">SUM(B6:B7)</f>
        <v>0</v>
      </c>
      <c r="C8" s="58">
        <f t="shared" si="2"/>
        <v>0</v>
      </c>
      <c r="D8" s="58">
        <f t="shared" si="2"/>
        <v>0</v>
      </c>
      <c r="E8" s="58">
        <f t="shared" si="2"/>
        <v>0</v>
      </c>
      <c r="F8" s="58">
        <f t="shared" si="2"/>
        <v>0</v>
      </c>
      <c r="G8" s="58">
        <f t="shared" si="2"/>
        <v>0</v>
      </c>
      <c r="H8" s="58">
        <f t="shared" si="2"/>
        <v>0</v>
      </c>
      <c r="I8" s="58">
        <f t="shared" si="2"/>
        <v>0</v>
      </c>
      <c r="J8" s="58">
        <f t="shared" si="2"/>
        <v>0</v>
      </c>
      <c r="K8" s="58">
        <f t="shared" si="2"/>
        <v>0</v>
      </c>
      <c r="L8" s="157">
        <f t="shared" si="2"/>
        <v>0</v>
      </c>
      <c r="M8" s="172">
        <v>0</v>
      </c>
    </row>
    <row r="9" spans="1:21" s="8" customFormat="1" ht="11.25" customHeight="1" thickBot="1">
      <c r="A9" s="54" t="s">
        <v>18</v>
      </c>
      <c r="B9" s="50">
        <v>41275</v>
      </c>
      <c r="C9" s="47">
        <v>41306</v>
      </c>
      <c r="D9" s="47">
        <v>41334</v>
      </c>
      <c r="E9" s="47">
        <v>41365</v>
      </c>
      <c r="F9" s="47">
        <v>41395</v>
      </c>
      <c r="G9" s="47">
        <v>41426</v>
      </c>
      <c r="H9" s="47">
        <v>41456</v>
      </c>
      <c r="I9" s="47">
        <v>41487</v>
      </c>
      <c r="J9" s="47">
        <v>41518</v>
      </c>
      <c r="K9" s="47">
        <v>41548</v>
      </c>
      <c r="L9" s="47">
        <v>41579</v>
      </c>
      <c r="M9" s="51">
        <v>41609</v>
      </c>
    </row>
    <row r="10" spans="1:21" s="8" customFormat="1" ht="11.25" customHeight="1">
      <c r="A10" s="9" t="s">
        <v>128</v>
      </c>
      <c r="B10" s="57">
        <f t="shared" ref="B10:L10" si="3">B52</f>
        <v>0</v>
      </c>
      <c r="C10" s="57">
        <f t="shared" si="3"/>
        <v>0</v>
      </c>
      <c r="D10" s="57">
        <f t="shared" si="3"/>
        <v>0</v>
      </c>
      <c r="E10" s="57">
        <f t="shared" si="3"/>
        <v>0</v>
      </c>
      <c r="F10" s="57">
        <f t="shared" si="3"/>
        <v>0</v>
      </c>
      <c r="G10" s="59">
        <f t="shared" si="3"/>
        <v>0</v>
      </c>
      <c r="H10" s="59">
        <f t="shared" si="3"/>
        <v>0</v>
      </c>
      <c r="I10" s="59">
        <f t="shared" si="3"/>
        <v>0</v>
      </c>
      <c r="J10" s="59">
        <f t="shared" si="3"/>
        <v>0</v>
      </c>
      <c r="K10" s="59">
        <f t="shared" si="3"/>
        <v>0</v>
      </c>
      <c r="L10" s="158">
        <f t="shared" si="3"/>
        <v>0</v>
      </c>
      <c r="M10" s="168">
        <v>0</v>
      </c>
    </row>
    <row r="11" spans="1:21" s="8" customFormat="1" ht="11.25" customHeight="1">
      <c r="A11" s="9" t="s">
        <v>127</v>
      </c>
      <c r="B11" s="59">
        <f t="shared" ref="B11:L11" si="4">B65</f>
        <v>0</v>
      </c>
      <c r="C11" s="59">
        <f t="shared" si="4"/>
        <v>0</v>
      </c>
      <c r="D11" s="59">
        <f t="shared" si="4"/>
        <v>0</v>
      </c>
      <c r="E11" s="59">
        <f t="shared" si="4"/>
        <v>0</v>
      </c>
      <c r="F11" s="59">
        <f t="shared" si="4"/>
        <v>0</v>
      </c>
      <c r="G11" s="59">
        <f t="shared" si="4"/>
        <v>0</v>
      </c>
      <c r="H11" s="59">
        <f t="shared" si="4"/>
        <v>0</v>
      </c>
      <c r="I11" s="59">
        <f t="shared" si="4"/>
        <v>0</v>
      </c>
      <c r="J11" s="59">
        <f t="shared" si="4"/>
        <v>0</v>
      </c>
      <c r="K11" s="59">
        <f t="shared" si="4"/>
        <v>0</v>
      </c>
      <c r="L11" s="158">
        <f t="shared" si="4"/>
        <v>0</v>
      </c>
      <c r="M11" s="169">
        <v>0</v>
      </c>
    </row>
    <row r="12" spans="1:21" s="8" customFormat="1" ht="11.25" customHeight="1" thickBot="1">
      <c r="A12" s="2" t="s">
        <v>12</v>
      </c>
      <c r="B12" s="60">
        <f>COUNTIFS(Jan!$B:$B,2154,Jan!$F:$F,800)</f>
        <v>0</v>
      </c>
      <c r="C12" s="60">
        <f>COUNTIFS(Feb!$B:$B,2154,Feb!$F:$F,800)</f>
        <v>0</v>
      </c>
      <c r="D12" s="60">
        <f>COUNTIFS(Mar!$B:$B,2154,Mar!$F:$F,800)</f>
        <v>0</v>
      </c>
      <c r="E12" s="60">
        <f>COUNTIFS(Apr!$B:$B,2154,Apr!$F:$F,800)</f>
        <v>0</v>
      </c>
      <c r="F12" s="60">
        <f>COUNTIFS(May!$B:$B,2154,May!$F:$F,800)</f>
        <v>0</v>
      </c>
      <c r="G12" s="60">
        <f>COUNTIFS(Jun!$B:$B,2154,Jun!$F:$F,800)</f>
        <v>0</v>
      </c>
      <c r="H12" s="60">
        <f>COUNTIFS(Jul!$B:$B,2154,Jul!$F:$F,800)</f>
        <v>0</v>
      </c>
      <c r="I12" s="60">
        <f>COUNTIFS(Aug!$B:$B,2154,Aug!$F:$F,800)</f>
        <v>0</v>
      </c>
      <c r="J12" s="60">
        <f>COUNTIFS(Sep!$B:$B,2154,Sep!$F:$F,800)</f>
        <v>0</v>
      </c>
      <c r="K12" s="60">
        <f>COUNTIFS(Oct!$B:$B,2154,Oct!$F:$F,800)</f>
        <v>0</v>
      </c>
      <c r="L12" s="60">
        <f>COUNTIFS(Nov!$B:$B,2154,Nov!$F:$F,800)</f>
        <v>0</v>
      </c>
      <c r="M12" s="60">
        <v>0</v>
      </c>
    </row>
    <row r="13" spans="1:21" s="8" customFormat="1" ht="5.0999999999999996" customHeight="1" thickBot="1">
      <c r="A13" s="3"/>
      <c r="B13" s="17"/>
      <c r="C13" s="17"/>
      <c r="D13" s="17"/>
      <c r="E13" s="17"/>
      <c r="F13" s="17"/>
      <c r="G13" s="17"/>
      <c r="H13" s="17"/>
      <c r="I13" s="17"/>
      <c r="J13" s="17"/>
      <c r="K13" s="17"/>
      <c r="L13" s="17"/>
      <c r="M13" s="147"/>
    </row>
    <row r="14" spans="1:21" s="16" customFormat="1" ht="11.25" customHeight="1">
      <c r="A14" s="44" t="s">
        <v>131</v>
      </c>
      <c r="B14" s="120"/>
      <c r="C14" s="120"/>
      <c r="D14" s="120"/>
      <c r="E14" s="120"/>
      <c r="F14" s="120"/>
      <c r="G14" s="120"/>
      <c r="H14" s="119"/>
      <c r="I14" s="61"/>
      <c r="J14" s="61"/>
      <c r="K14" s="118"/>
      <c r="L14" s="160"/>
      <c r="M14" s="173"/>
      <c r="O14" s="22"/>
      <c r="P14" s="22"/>
      <c r="Q14" s="22"/>
    </row>
    <row r="15" spans="1:21" s="8" customFormat="1" ht="11.25" customHeight="1">
      <c r="A15" s="45" t="s">
        <v>132</v>
      </c>
      <c r="B15" s="62" t="str">
        <f>IFERROR((SUMIFS(Jan!$N:$N,Jan!$J:$J,1,Jan!$B:$B,2154)+SUMIFS(Jan!$N:$N,Jan!$D:$D,"&gt;1",Jan!$B:$B,2154))/(COUNTIFS(Jan!$J:$J,1,Jan!$B:$B,2154)+COUNTIFS(Jan!$D:$D,"&gt;1",Jan!$B:$B,2154)),"")</f>
        <v/>
      </c>
      <c r="C15" s="62" t="str">
        <f ca="1">IFERROR((SUMIFS(Feb!$N:$N,Feb!$J:$J,1,Feb!$B:$B,2154)+SUMIFS(Feb!$N:$N,Feb!$D:$D,"&gt;1",Feb!$B:$B,2154))/(COUNTIFS(Feb!$J:$J,1,Feb!$B:$B,2154)+COUNTIFS(Feb!$D:$D,"&gt;1",Feb!$B:$B,2154)),"")</f>
        <v/>
      </c>
      <c r="D15" s="62" t="str">
        <f ca="1">IFERROR((SUMIFS(Mar!$N:$N,Mar!$J:$J,1,Mar!$B:$B,2154)+SUMIFS(Mar!$N:$N,Mar!$D:$D,"&gt;1",Mar!$B:$B,2154))/(COUNTIFS(Mar!$J:$J,1,Mar!$B:$B,2154)+COUNTIFS(Mar!$D:$D,"&gt;1",Mar!$B:$B,2154)),"")</f>
        <v/>
      </c>
      <c r="E15" s="62" t="str">
        <f ca="1">IFERROR((SUMIFS(Apr!$N:$N,Apr!$J:$J,1,Apr!$B:$B,2154)+SUMIFS(Apr!$N:$N,Apr!$D:$D,"&gt;1",Apr!$B:$B,2154))/(COUNTIFS(Apr!$J:$J,1,Apr!$B:$B,2154)+COUNTIFS(Apr!$D:$D,"&gt;1",Apr!$B:$B,2154)),"")</f>
        <v/>
      </c>
      <c r="F15" s="62" t="str">
        <f ca="1">IFERROR((SUMIFS(May!$N:$N,May!$J:$J,1,May!$B:$B,2154)+SUMIFS(May!$N:$N,May!$D:$D,"&gt;1",May!$B:$B,2154))/(COUNTIFS(May!$J:$J,1,May!$B:$B,2154)+COUNTIFS(May!$D:$D,"&gt;1",May!$B:$B,2154)),"")</f>
        <v/>
      </c>
      <c r="G15" s="62" t="str">
        <f ca="1">IFERROR((SUMIFS(Jun!$N:$N,Jun!$J:$J,1,Jun!$B:$B,2154)+SUMIFS(Jun!$N:$N,Jun!$D:$D,"&gt;1",Jun!$B:$B,2154))/(COUNTIFS(Jun!$J:$J,1,Jun!$B:$B,2154)+COUNTIFS(Jun!$D:$D,"&gt;1",Jun!$B:$B,2154)),"")</f>
        <v/>
      </c>
      <c r="H15" s="62" t="str">
        <f ca="1">IFERROR((SUMIFS(Jul!$N:$N,Jul!$J:$J,1,Jul!$B:$B,2154)+SUMIFS(Jul!$N:$N,Jul!$D:$D,"&gt;1",Jul!$B:$B,2154))/(COUNTIFS(Jul!$J:$J,1,Jul!$B:$B,2154)+COUNTIFS(Jul!$D:$D,"&gt;1",Jul!$B:$B,2154)),"")</f>
        <v/>
      </c>
      <c r="I15" s="62" t="str">
        <f ca="1">IFERROR((SUMIFS(Aug!$N:$N,Aug!$J:$J,1,Aug!$B:$B,2154)+SUMIFS(Aug!$N:$N,Aug!$D:$D,"&gt;1",Aug!$B:$B,2154))/(COUNTIFS(Aug!$J:$J,1,Aug!$B:$B,2154)+COUNTIFS(Aug!$D:$D,"&gt;1",Aug!$B:$B,2154)),"")</f>
        <v/>
      </c>
      <c r="J15" s="62" t="str">
        <f ca="1">IFERROR((SUMIFS(Sep!$N:$N,Sep!$J:$J,1,Sep!$B:$B,2154)+SUMIFS(Sep!$N:$N,Sep!$D:$D,"&gt;1",Sep!$B:$B,2154))/(COUNTIFS(Sep!$J:$J,1,Sep!$B:$B,2154)+COUNTIFS(Sep!$D:$D,"&gt;1",Sep!$B:$B,2154)),"")</f>
        <v/>
      </c>
      <c r="K15" s="62" t="str">
        <f ca="1">IFERROR((SUMIFS(Oct!$N:$N,Oct!$J:$J,1,Oct!$B:$B,2154)+SUMIFS(Oct!$N:$N,Oct!$D:$D,"&gt;1",Oct!$B:$B,2154))/(COUNTIFS(Oct!$J:$J,1,Oct!$B:$B,2154)+COUNTIFS(Oct!$D:$D,"&gt;1",Oct!$B:$B,2154)),"")</f>
        <v/>
      </c>
      <c r="L15" s="62" t="str">
        <f ca="1">IFERROR((SUMIFS(Nov!$N:$N,Nov!$J:$J,1,Nov!$B:$B,2154)+SUMIFS(Nov!$N:$N,Nov!$D:$D,"&gt;1",Nov!$B:$B,2154))/(COUNTIFS(Nov!$J:$J,1,Nov!$B:$B,2154)+COUNTIFS(Nov!$D:$D,"&gt;1",Nov!$B:$B,2154)),"")</f>
        <v/>
      </c>
      <c r="M15" s="62" t="str">
        <f>IFERROR((SUMIFS(#REF!,#REF!,1,#REF!,2154)+SUMIFS(#REF!,#REF!,"&gt;1",#REF!,2154))/(COUNTIFS(#REF!,1,#REF!,2154)+COUNTIFS(#REF!,"&gt;1",#REF!,2154)),"")</f>
        <v/>
      </c>
      <c r="N15" s="15"/>
      <c r="O15" s="1"/>
      <c r="P15" s="1"/>
      <c r="Q15" s="1"/>
    </row>
    <row r="16" spans="1:21" s="8" customFormat="1" ht="11.25" customHeight="1">
      <c r="A16" s="45" t="s">
        <v>133</v>
      </c>
      <c r="B16" s="62" t="str">
        <f>IFERROR(AVERAGEIFS(Jan!$N:$N,Jan!$F:$F,800,Jan!$B:$B,2154),"")</f>
        <v/>
      </c>
      <c r="C16" s="62" t="str">
        <f ca="1">IFERROR(AVERAGEIFS(Feb!$N:$N,Feb!$F:$F,800,Feb!$B:$B,2154),"")</f>
        <v/>
      </c>
      <c r="D16" s="62" t="str">
        <f ca="1">IFERROR(AVERAGEIFS(Mar!$N:$N,Mar!$F:$F,800,Mar!$B:$B,2154),"")</f>
        <v/>
      </c>
      <c r="E16" s="62" t="str">
        <f ca="1">IFERROR(AVERAGEIFS(Apr!$N:$N,Apr!$F:$F,800,Apr!$B:$B,2154),"")</f>
        <v/>
      </c>
      <c r="F16" s="62" t="str">
        <f ca="1">IFERROR(AVERAGEIFS(May!$N:$N,May!$F:$F,800,May!$B:$B,2154),"")</f>
        <v/>
      </c>
      <c r="G16" s="62" t="str">
        <f ca="1">IFERROR(AVERAGEIFS(Jun!$N:$N,Jun!$F:$F,800,Jun!$B:$B,2154),"")</f>
        <v/>
      </c>
      <c r="H16" s="62" t="str">
        <f ca="1">IFERROR(AVERAGEIFS(Jul!$N:$N,Jul!$F:$F,800,Jul!$B:$B,2154),"")</f>
        <v/>
      </c>
      <c r="I16" s="62" t="str">
        <f ca="1">IFERROR(AVERAGEIFS(Aug!$N:$N,Aug!$F:$F,800,Aug!$B:$B,2154),"")</f>
        <v/>
      </c>
      <c r="J16" s="62" t="str">
        <f ca="1">IFERROR(AVERAGEIFS(Sep!$N:$N,Sep!$F:$F,800,Sep!$B:$B,2154),"")</f>
        <v/>
      </c>
      <c r="K16" s="62" t="str">
        <f ca="1">IFERROR(AVERAGEIFS(Oct!$N:$N,Oct!$F:$F,800,Oct!$B:$B,2154),"")</f>
        <v/>
      </c>
      <c r="L16" s="62" t="str">
        <f ca="1">IFERROR(AVERAGEIFS(Nov!$N:$N,Nov!$F:$F,800,Nov!$B:$B,2154),"")</f>
        <v/>
      </c>
      <c r="M16" s="62" t="str">
        <f>IFERROR(AVERAGEIFS(#REF!,#REF!,800,#REF!,2154),"")</f>
        <v/>
      </c>
      <c r="O16" s="1"/>
      <c r="P16" s="1"/>
      <c r="Q16" s="1"/>
    </row>
    <row r="17" spans="1:17" s="8" customFormat="1" ht="11.25" customHeight="1">
      <c r="A17" s="45" t="s">
        <v>134</v>
      </c>
      <c r="B17" s="63" t="str">
        <f>IFERROR((SUMIFS(Jan!$M:$M,Jan!$J:$J,1,Jan!$B:$B,2154)+SUMIFS(Jan!$M:$M,Jan!$D:$D,"&gt;1",Jan!$B:$B,2154))/(COUNTIFS(Jan!$J:$J,1,Jan!$B:$B,2154)+COUNTIFS(Jan!$D:$D,"&gt;1",Jan!$B:$B,2154)),"")</f>
        <v/>
      </c>
      <c r="C17" s="63" t="str">
        <f ca="1">IFERROR((SUMIFS(Feb!$M:$M,Feb!$J:$J,1,Feb!$B:$B,2154)+SUMIFS(Feb!$M:$M,Feb!$D:$D,"&gt;1",Feb!$B:$B,2154))/(COUNTIFS(Feb!$J:$J,1,Feb!$B:$B,2154)+COUNTIFS(Feb!$D:$D,"&gt;1",Feb!$B:$B,2154)),"")</f>
        <v/>
      </c>
      <c r="D17" s="63" t="str">
        <f ca="1">IFERROR((SUMIFS(Mar!$M:$M,Mar!$J:$J,1,Mar!$B:$B,2154)+SUMIFS(Mar!$M:$M,Mar!$D:$D,"&gt;1",Mar!$B:$B,2154))/(COUNTIFS(Mar!$J:$J,1,Mar!$B:$B,2154)+COUNTIFS(Mar!$D:$D,"&gt;1",Mar!$B:$B,2154)),"")</f>
        <v/>
      </c>
      <c r="E17" s="63" t="str">
        <f ca="1">IFERROR((SUMIFS(Apr!$M:$M,Apr!$J:$J,1,Apr!$B:$B,2154)+SUMIFS(Apr!$M:$M,Apr!$D:$D,"&gt;1",Apr!$B:$B,2154))/(COUNTIFS(Apr!$J:$J,1,Apr!$B:$B,2154)+COUNTIFS(Apr!$D:$D,"&gt;1",Apr!$B:$B,2154)),"")</f>
        <v/>
      </c>
      <c r="F17" s="63" t="str">
        <f ca="1">IFERROR((SUMIFS(May!$M:$M,May!$J:$J,1,May!$B:$B,2154)+SUMIFS(May!$M:$M,May!$D:$D,"&gt;1",May!$B:$B,2154))/(COUNTIFS(May!$J:$J,1,May!$B:$B,2154)+COUNTIFS(May!$D:$D,"&gt;1",May!$B:$B,2154)),"")</f>
        <v/>
      </c>
      <c r="G17" s="63" t="str">
        <f ca="1">IFERROR((SUMIFS(Jun!$M:$M,Jun!$J:$J,1,Jun!$B:$B,2154)+SUMIFS(Jun!$M:$M,Jun!$D:$D,"&gt;1",Jun!$B:$B,2154))/(COUNTIFS(Jun!$J:$J,1,Jun!$B:$B,2154)+COUNTIFS(Jun!$D:$D,"&gt;1",Jun!$B:$B,2154)),"")</f>
        <v/>
      </c>
      <c r="H17" s="63" t="str">
        <f ca="1">IFERROR((SUMIFS(Jul!$M:$M,Jul!$J:$J,1,Jul!$B:$B,2154)+SUMIFS(Jul!$M:$M,Jul!$D:$D,"&gt;1",Jul!$B:$B,2154))/(COUNTIFS(Jul!$J:$J,1,Jul!$B:$B,2154)+COUNTIFS(Jul!$D:$D,"&gt;1",Jul!$B:$B,2154)),"")</f>
        <v/>
      </c>
      <c r="I17" s="63" t="str">
        <f ca="1">IFERROR((SUMIFS(Aug!$M:$M,Aug!$J:$J,1,Aug!$B:$B,2154)+SUMIFS(Aug!$M:$M,Aug!$D:$D,"&gt;1",Aug!$B:$B,2154))/(COUNTIFS(Aug!$J:$J,1,Aug!$B:$B,2154)+COUNTIFS(Aug!$D:$D,"&gt;1",Aug!$B:$B,2154)),"")</f>
        <v/>
      </c>
      <c r="J17" s="63" t="str">
        <f ca="1">IFERROR((SUMIFS(Sep!$M:$M,Sep!$J:$J,1,Sep!$B:$B,2154)+SUMIFS(Sep!$M:$M,Sep!$D:$D,"&gt;1",Sep!$B:$B,2154))/(COUNTIFS(Sep!$J:$J,1,Sep!$B:$B,2154)+COUNTIFS(Sep!$D:$D,"&gt;1",Sep!$B:$B,2154)),"")</f>
        <v/>
      </c>
      <c r="K17" s="63" t="str">
        <f ca="1">IFERROR((SUMIFS(Oct!$M:$M,Oct!$J:$J,1,Oct!$B:$B,2154)+SUMIFS(Oct!$M:$M,Oct!$D:$D,"&gt;1",Oct!$B:$B,2154))/(COUNTIFS(Oct!$J:$J,1,Oct!$B:$B,2154)+COUNTIFS(Oct!$D:$D,"&gt;1",Oct!$B:$B,2154)),"")</f>
        <v/>
      </c>
      <c r="L17" s="63" t="str">
        <f ca="1">IFERROR((SUMIFS(Nov!$M:$M,Nov!$J:$J,1,Nov!$B:$B,2154)+SUMIFS(Nov!$M:$M,Nov!$D:$D,"&gt;1",Nov!$B:$B,2154))/(COUNTIFS(Nov!$J:$J,1,Nov!$B:$B,2154)+COUNTIFS(Nov!$D:$D,"&gt;1",Nov!$B:$B,2154)),"")</f>
        <v/>
      </c>
      <c r="M17" s="63" t="str">
        <f>IFERROR((SUMIFS(#REF!,#REF!,1,#REF!,2154)+SUMIFS(#REF!,#REF!,"&gt;1",#REF!,2154))/(COUNTIFS(#REF!,1,#REF!,2154)+COUNTIFS(#REF!,"&gt;1",#REF!,2154)),"")</f>
        <v/>
      </c>
      <c r="O17" s="1"/>
      <c r="P17" s="1"/>
      <c r="Q17" s="1"/>
    </row>
    <row r="18" spans="1:17" s="8" customFormat="1" ht="11.25" customHeight="1" thickBot="1">
      <c r="A18" s="43" t="s">
        <v>135</v>
      </c>
      <c r="B18" s="64" t="str">
        <f>IFERROR(AVERAGEIFS(Jan!$M:$M,Jan!$F:$F,800,Jan!$B:$B,2154),"")</f>
        <v/>
      </c>
      <c r="C18" s="64" t="str">
        <f ca="1">IFERROR(AVERAGEIFS(Feb!$M:$M,Feb!$F:$F,800,Feb!$B:$B,2154),"")</f>
        <v/>
      </c>
      <c r="D18" s="64" t="str">
        <f ca="1">IFERROR(AVERAGEIFS(Mar!$M:$M,Mar!$F:$F,800,Mar!$B:$B,2154),"")</f>
        <v/>
      </c>
      <c r="E18" s="64" t="str">
        <f ca="1">IFERROR(AVERAGEIFS(Apr!$M:$M,Apr!$F:$F,800,Apr!$B:$B,2154),"")</f>
        <v/>
      </c>
      <c r="F18" s="64" t="str">
        <f ca="1">IFERROR(AVERAGEIFS(May!$M:$M,May!$F:$F,800,May!$B:$B,2154),"")</f>
        <v/>
      </c>
      <c r="G18" s="64" t="str">
        <f ca="1">IFERROR(AVERAGEIFS(Jun!$M:$M,Jun!$F:$F,800,Jun!$B:$B,2154),"")</f>
        <v/>
      </c>
      <c r="H18" s="64" t="str">
        <f ca="1">IFERROR(AVERAGEIFS(Jul!$M:$M,Jul!$F:$F,800,Jul!$B:$B,2154),"")</f>
        <v/>
      </c>
      <c r="I18" s="64" t="str">
        <f ca="1">IFERROR(AVERAGEIFS(Aug!$M:$M,Aug!$F:$F,800,Aug!$B:$B,2154),"")</f>
        <v/>
      </c>
      <c r="J18" s="64" t="str">
        <f ca="1">IFERROR(AVERAGEIFS(Sep!$M:$M,Sep!$F:$F,800,Sep!$B:$B,2154),"")</f>
        <v/>
      </c>
      <c r="K18" s="64" t="str">
        <f ca="1">IFERROR(AVERAGEIFS(Oct!$M:$M,Oct!$F:$F,800,Oct!$B:$B,2154),"")</f>
        <v/>
      </c>
      <c r="L18" s="64" t="str">
        <f ca="1">IFERROR(AVERAGEIFS(Nov!$M:$M,Nov!$F:$F,800,Nov!$B:$B,2154),"")</f>
        <v/>
      </c>
      <c r="M18" s="64" t="str">
        <f>IFERROR(AVERAGEIFS(#REF!,#REF!,800,#REF!,2154),"")</f>
        <v/>
      </c>
    </row>
    <row r="19" spans="1:17" s="8" customFormat="1" ht="5.0999999999999996" customHeight="1" thickBot="1">
      <c r="A19" s="3"/>
      <c r="B19" s="17"/>
      <c r="C19" s="17"/>
      <c r="D19" s="17"/>
      <c r="E19" s="17"/>
      <c r="F19" s="17"/>
      <c r="G19" s="17"/>
      <c r="H19" s="17"/>
      <c r="I19" s="17"/>
      <c r="J19" s="17"/>
      <c r="K19" s="17"/>
      <c r="L19" s="17"/>
      <c r="M19" s="147"/>
    </row>
    <row r="20" spans="1:17" s="8" customFormat="1" ht="11.25" customHeight="1">
      <c r="A20" s="42" t="s">
        <v>52</v>
      </c>
      <c r="B20" s="65">
        <v>31</v>
      </c>
      <c r="C20" s="65">
        <v>28</v>
      </c>
      <c r="D20" s="65">
        <v>31</v>
      </c>
      <c r="E20" s="65">
        <v>30</v>
      </c>
      <c r="F20" s="65">
        <v>31</v>
      </c>
      <c r="G20" s="65">
        <v>30</v>
      </c>
      <c r="H20" s="65">
        <v>31</v>
      </c>
      <c r="I20" s="65">
        <v>31</v>
      </c>
      <c r="J20" s="65">
        <v>30</v>
      </c>
      <c r="K20" s="65">
        <v>31</v>
      </c>
      <c r="L20" s="161">
        <v>30</v>
      </c>
      <c r="M20" s="174">
        <v>31</v>
      </c>
    </row>
    <row r="21" spans="1:17" s="8" customFormat="1" ht="11.25" customHeight="1">
      <c r="A21" s="9" t="s">
        <v>15</v>
      </c>
      <c r="B21" s="66">
        <f>B12/B20</f>
        <v>0</v>
      </c>
      <c r="C21" s="66">
        <f t="shared" ref="C21:M21" si="5">C12/C20</f>
        <v>0</v>
      </c>
      <c r="D21" s="66">
        <f>D12/D20</f>
        <v>0</v>
      </c>
      <c r="E21" s="66">
        <f>E12/E20</f>
        <v>0</v>
      </c>
      <c r="F21" s="66">
        <f>F12/F20</f>
        <v>0</v>
      </c>
      <c r="G21" s="66">
        <f>G12/G20</f>
        <v>0</v>
      </c>
      <c r="H21" s="66">
        <f t="shared" si="5"/>
        <v>0</v>
      </c>
      <c r="I21" s="66">
        <f t="shared" si="5"/>
        <v>0</v>
      </c>
      <c r="J21" s="66">
        <f t="shared" si="5"/>
        <v>0</v>
      </c>
      <c r="K21" s="66">
        <f t="shared" si="5"/>
        <v>0</v>
      </c>
      <c r="L21" s="162">
        <f t="shared" si="5"/>
        <v>0</v>
      </c>
      <c r="M21" s="175">
        <f t="shared" si="5"/>
        <v>0</v>
      </c>
    </row>
    <row r="22" spans="1:17" s="8" customFormat="1" ht="11.25" customHeight="1">
      <c r="A22" s="9" t="s">
        <v>130</v>
      </c>
      <c r="B22" s="67">
        <f t="shared" ref="B22:G22" si="6">IFERROR(B12/B7,0)</f>
        <v>0</v>
      </c>
      <c r="C22" s="67">
        <f t="shared" si="6"/>
        <v>0</v>
      </c>
      <c r="D22" s="67">
        <f t="shared" si="6"/>
        <v>0</v>
      </c>
      <c r="E22" s="67">
        <f t="shared" si="6"/>
        <v>0</v>
      </c>
      <c r="F22" s="67">
        <f t="shared" si="6"/>
        <v>0</v>
      </c>
      <c r="G22" s="67">
        <f t="shared" si="6"/>
        <v>0</v>
      </c>
      <c r="H22" s="67">
        <f t="shared" ref="H22:M22" si="7">IFERROR(H12/H7,0)</f>
        <v>0</v>
      </c>
      <c r="I22" s="67">
        <f t="shared" si="7"/>
        <v>0</v>
      </c>
      <c r="J22" s="67">
        <f t="shared" si="7"/>
        <v>0</v>
      </c>
      <c r="K22" s="116">
        <f t="shared" si="7"/>
        <v>0</v>
      </c>
      <c r="L22" s="67">
        <f t="shared" si="7"/>
        <v>0</v>
      </c>
      <c r="M22" s="176">
        <f t="shared" si="7"/>
        <v>0</v>
      </c>
      <c r="N22" s="1"/>
    </row>
    <row r="23" spans="1:17" s="8" customFormat="1" ht="11.25" customHeight="1" thickBot="1">
      <c r="A23" s="9" t="s">
        <v>53</v>
      </c>
      <c r="B23" s="67">
        <f t="shared" ref="B23:G23" si="8">IFERROR(B12/(B11+B12),0)</f>
        <v>0</v>
      </c>
      <c r="C23" s="67">
        <f t="shared" si="8"/>
        <v>0</v>
      </c>
      <c r="D23" s="67">
        <f t="shared" si="8"/>
        <v>0</v>
      </c>
      <c r="E23" s="67">
        <f t="shared" si="8"/>
        <v>0</v>
      </c>
      <c r="F23" s="67">
        <f t="shared" si="8"/>
        <v>0</v>
      </c>
      <c r="G23" s="67">
        <f t="shared" si="8"/>
        <v>0</v>
      </c>
      <c r="H23" s="67">
        <f t="shared" ref="H23:M23" si="9">IFERROR(H12/(H11+H12),0)</f>
        <v>0</v>
      </c>
      <c r="I23" s="67">
        <f t="shared" si="9"/>
        <v>0</v>
      </c>
      <c r="J23" s="67">
        <f t="shared" si="9"/>
        <v>0</v>
      </c>
      <c r="K23" s="117">
        <f t="shared" si="9"/>
        <v>0</v>
      </c>
      <c r="L23" s="163">
        <f t="shared" si="9"/>
        <v>0</v>
      </c>
      <c r="M23" s="177">
        <f t="shared" si="9"/>
        <v>0</v>
      </c>
      <c r="N23" s="4"/>
    </row>
    <row r="24" spans="1:17" s="8" customFormat="1" ht="11.25" customHeight="1" thickBot="1">
      <c r="A24" s="56" t="s">
        <v>21</v>
      </c>
      <c r="B24" s="50">
        <v>41275</v>
      </c>
      <c r="C24" s="47">
        <v>41306</v>
      </c>
      <c r="D24" s="47">
        <v>41334</v>
      </c>
      <c r="E24" s="47">
        <v>41365</v>
      </c>
      <c r="F24" s="47">
        <v>41395</v>
      </c>
      <c r="G24" s="47">
        <v>41426</v>
      </c>
      <c r="H24" s="47">
        <v>41456</v>
      </c>
      <c r="I24" s="47">
        <v>41487</v>
      </c>
      <c r="J24" s="47">
        <v>41518</v>
      </c>
      <c r="K24" s="47">
        <v>41548</v>
      </c>
      <c r="L24" s="47">
        <v>41579</v>
      </c>
      <c r="M24" s="51">
        <v>41609</v>
      </c>
    </row>
    <row r="25" spans="1:17" s="8" customFormat="1" ht="11.25" customHeight="1">
      <c r="A25" s="18" t="s">
        <v>5</v>
      </c>
      <c r="B25" s="68">
        <f>COUNTIFS(Jan!$B:$B,2154,Jan!$J:$J,18)</f>
        <v>0</v>
      </c>
      <c r="C25" s="68">
        <f>COUNTIFS(Feb!$B:$B,2154,Feb!$J:$J,18)</f>
        <v>0</v>
      </c>
      <c r="D25" s="68">
        <f>COUNTIFS(Mar!$B:$B,2154,Mar!$J:$J,18)</f>
        <v>0</v>
      </c>
      <c r="E25" s="68">
        <f>COUNTIFS(Apr!$B:$B,2154,Apr!$J:$J,18)</f>
        <v>0</v>
      </c>
      <c r="F25" s="68">
        <f>COUNTIFS(May!$B:$B,2154,May!$J:$J,18)</f>
        <v>0</v>
      </c>
      <c r="G25" s="68">
        <f>COUNTIFS(Jun!$B:$B,2154,Jun!$J:$J,18)</f>
        <v>0</v>
      </c>
      <c r="H25" s="68">
        <f>COUNTIFS(Jul!$B:$B,2154,Jul!$J:$J,18)</f>
        <v>0</v>
      </c>
      <c r="I25" s="68">
        <f>COUNTIFS(Aug!$B:$B,2154,Aug!$J:$J,18)</f>
        <v>0</v>
      </c>
      <c r="J25" s="68">
        <f>COUNTIFS(Sep!$B:$B,2154,Sep!$J:$J,18)</f>
        <v>0</v>
      </c>
      <c r="K25" s="68">
        <f>COUNTIFS(Oct!$B:$B,2154,Oct!$J:$J,18)</f>
        <v>0</v>
      </c>
      <c r="L25" s="68">
        <f>COUNTIFS(Nov!$B:$B,2154,Nov!$J:$J,18)</f>
        <v>0</v>
      </c>
      <c r="M25" s="68">
        <v>0</v>
      </c>
    </row>
    <row r="26" spans="1:17" s="8" customFormat="1" ht="11.25" customHeight="1">
      <c r="A26" s="46" t="s">
        <v>40</v>
      </c>
      <c r="B26" s="57">
        <f>COUNTIFS(Jan!$B:$B,2154,Jan!$J:$J,41)</f>
        <v>0</v>
      </c>
      <c r="C26" s="57">
        <f>COUNTIFS(Feb!$B:$B,2154,Feb!$J:$J,41)</f>
        <v>0</v>
      </c>
      <c r="D26" s="57">
        <f>COUNTIFS(Mar!$B:$B,2154,Mar!$J:$J,41)</f>
        <v>0</v>
      </c>
      <c r="E26" s="57">
        <f>COUNTIFS(Apr!$B:$B,2154,Apr!$J:$J,41)</f>
        <v>0</v>
      </c>
      <c r="F26" s="57">
        <f>COUNTIFS(May!$B:$B,2154,May!$J:$J,41)</f>
        <v>0</v>
      </c>
      <c r="G26" s="57">
        <f>COUNTIFS(Jun!$B:$B,2154,Jun!$J:$J,41)</f>
        <v>0</v>
      </c>
      <c r="H26" s="57">
        <f>COUNTIFS(Jul!$B:$B,2154,Jul!$J:$J,41)</f>
        <v>0</v>
      </c>
      <c r="I26" s="57">
        <f>COUNTIFS(Aug!$B:$B,2154,Aug!$J:$J,41)</f>
        <v>0</v>
      </c>
      <c r="J26" s="57">
        <f>COUNTIFS(Sep!$B:$B,2154,Sep!$J:$J,41)</f>
        <v>0</v>
      </c>
      <c r="K26" s="57">
        <f>COUNTIFS(Oct!$B:$B,2154,Oct!$J:$J,41)</f>
        <v>0</v>
      </c>
      <c r="L26" s="57">
        <f>COUNTIFS(Nov!$B:$B,2154,Nov!$J:$J,41)</f>
        <v>0</v>
      </c>
      <c r="M26" s="57">
        <v>0</v>
      </c>
    </row>
    <row r="27" spans="1:17" s="8" customFormat="1" ht="11.25" customHeight="1">
      <c r="A27" s="9" t="s">
        <v>11</v>
      </c>
      <c r="B27" s="179">
        <f>COUNTIFS(Jan!$B:$B,2154,Jan!$J:$J,17)</f>
        <v>0</v>
      </c>
      <c r="C27" s="179">
        <f>COUNTIFS(Feb!$B:$B,2154,Feb!$J:$J,17)</f>
        <v>0</v>
      </c>
      <c r="D27" s="179">
        <f>COUNTIFS(Mar!$B:$B,2154,Mar!$J:$J,17)</f>
        <v>0</v>
      </c>
      <c r="E27" s="179">
        <f>COUNTIFS(Apr!$B:$B,2154,Apr!$J:$J,17)</f>
        <v>0</v>
      </c>
      <c r="F27" s="179">
        <f>COUNTIFS(May!$B:$B,2154,May!$J:$J,17)</f>
        <v>0</v>
      </c>
      <c r="G27" s="179">
        <f>COUNTIFS(Jun!$B:$B,2154,Jun!$J:$J,17)</f>
        <v>0</v>
      </c>
      <c r="H27" s="179">
        <f>COUNTIFS(Jul!$B:$B,2154,Jul!$J:$J,17)</f>
        <v>0</v>
      </c>
      <c r="I27" s="179">
        <f>COUNTIFS(Aug!$B:$B,2154,Aug!$J:$J,17)</f>
        <v>0</v>
      </c>
      <c r="J27" s="179">
        <f>COUNTIFS(Sep!$B:$B,2154,Sep!$J:$J,17)</f>
        <v>0</v>
      </c>
      <c r="K27" s="179">
        <f>COUNTIFS(Oct!$B:$B,2154,Oct!$J:$J,17)</f>
        <v>0</v>
      </c>
      <c r="L27" s="179">
        <f>COUNTIFS(Nov!$B:$B,2154,Nov!$J:$J,17)</f>
        <v>0</v>
      </c>
      <c r="M27" s="206">
        <v>0</v>
      </c>
    </row>
    <row r="28" spans="1:17" s="8" customFormat="1" ht="11.25" customHeight="1">
      <c r="A28" s="9" t="s">
        <v>143</v>
      </c>
      <c r="B28" s="59">
        <f>COUNTIFS(Jan!$B:$B,2154,Jan!$F:$F,455)</f>
        <v>0</v>
      </c>
      <c r="C28" s="59">
        <f>COUNTIFS(Feb!$B:$B,2154,Feb!$F:$F,455)</f>
        <v>0</v>
      </c>
      <c r="D28" s="59">
        <f>COUNTIFS(Mar!$B:$B,2154,Mar!$F:$F,455)</f>
        <v>0</v>
      </c>
      <c r="E28" s="59">
        <f>COUNTIFS(Apr!$B:$B,2154,Apr!$F:$F,455)</f>
        <v>0</v>
      </c>
      <c r="F28" s="59">
        <f>COUNTIFS(May!$B:$B,2154,May!$F:$F,455)</f>
        <v>0</v>
      </c>
      <c r="G28" s="59">
        <f>COUNTIFS(Jun!$B:$B,2154,Jun!$F:$F,455)</f>
        <v>0</v>
      </c>
      <c r="H28" s="59">
        <f>COUNTIFS(Jul!$B:$B,2154,Jul!$F:$F,455)</f>
        <v>0</v>
      </c>
      <c r="I28" s="59">
        <f>COUNTIFS(Aug!$B:$B,2154,Aug!$F:$F,455)</f>
        <v>0</v>
      </c>
      <c r="J28" s="59">
        <f>COUNTIFS(Sep!$B:$B,2154,Sep!$F:$F,455)</f>
        <v>0</v>
      </c>
      <c r="K28" s="59">
        <f>COUNTIFS(Oct!$B:$B,2154,Oct!$F:$F,455)</f>
        <v>0</v>
      </c>
      <c r="L28" s="59">
        <f>COUNTIFS(Nov!$B:$B,2154,Nov!$F:$F,455)</f>
        <v>0</v>
      </c>
      <c r="M28" s="59">
        <v>0</v>
      </c>
    </row>
    <row r="29" spans="1:17" s="8" customFormat="1" ht="11.25" customHeight="1">
      <c r="A29" s="9" t="s">
        <v>23</v>
      </c>
      <c r="B29" s="59">
        <f>COUNTIFS(Jan!$B:$B,2154,Jan!$J:$J,31)</f>
        <v>0</v>
      </c>
      <c r="C29" s="59">
        <f>COUNTIFS(Feb!$B:$B,2154,Feb!$J:$J,31)</f>
        <v>0</v>
      </c>
      <c r="D29" s="59">
        <f>COUNTIFS(Mar!$B:$B,2154,Mar!$J:$J,31)</f>
        <v>0</v>
      </c>
      <c r="E29" s="59">
        <f>COUNTIFS(Apr!$B:$B,2154,Apr!$J:$J,31)</f>
        <v>0</v>
      </c>
      <c r="F29" s="59">
        <f>COUNTIFS(May!$B:$B,2154,May!$J:$J,31)</f>
        <v>0</v>
      </c>
      <c r="G29" s="59">
        <f>COUNTIFS(Jun!$B:$B,2154,Jun!$J:$J,31)</f>
        <v>0</v>
      </c>
      <c r="H29" s="59">
        <f>COUNTIFS(Jul!$B:$B,2154,Jul!$J:$J,31)</f>
        <v>0</v>
      </c>
      <c r="I29" s="59">
        <f>COUNTIFS(Aug!$B:$B,2154,Aug!$J:$J,31)</f>
        <v>0</v>
      </c>
      <c r="J29" s="59">
        <f>COUNTIFS(Sep!$B:$B,2154,Sep!$J:$J,31)</f>
        <v>0</v>
      </c>
      <c r="K29" s="59">
        <f>COUNTIFS(Oct!$B:$B,2154,Oct!$J:$J,31)</f>
        <v>0</v>
      </c>
      <c r="L29" s="59">
        <f>COUNTIFS(Nov!$B:$B,2154,Nov!$J:$J,31)</f>
        <v>0</v>
      </c>
      <c r="M29" s="59">
        <v>0</v>
      </c>
    </row>
    <row r="30" spans="1:17" s="8" customFormat="1" ht="11.25" customHeight="1">
      <c r="A30" s="9" t="s">
        <v>37</v>
      </c>
      <c r="B30" s="59">
        <f>COUNTIFS(Jan!$B:$B,2154,Jan!$J:$J,4400)</f>
        <v>0</v>
      </c>
      <c r="C30" s="59">
        <f>COUNTIFS(Feb!$B:$B,2154,Feb!$J:$J,4400)</f>
        <v>0</v>
      </c>
      <c r="D30" s="59">
        <f>COUNTIFS(Mar!$B:$B,2154,Mar!$J:$J,4400)</f>
        <v>0</v>
      </c>
      <c r="E30" s="59">
        <f>COUNTIFS(Apr!$B:$B,2154,Apr!$J:$J,4400)</f>
        <v>0</v>
      </c>
      <c r="F30" s="59">
        <f>COUNTIFS(May!$B:$B,2154,May!$J:$J,4400)</f>
        <v>0</v>
      </c>
      <c r="G30" s="59">
        <f>COUNTIFS(Jun!$B:$B,2154,Jun!$J:$J,4400)</f>
        <v>0</v>
      </c>
      <c r="H30" s="59">
        <f>COUNTIFS(Jul!$B:$B,2154,Jul!$J:$J,4400)</f>
        <v>0</v>
      </c>
      <c r="I30" s="59">
        <f>COUNTIFS(Aug!$B:$B,2154,Aug!$J:$J,4400)</f>
        <v>0</v>
      </c>
      <c r="J30" s="59">
        <f>COUNTIFS(Sep!$B:$B,2154,Sep!$J:$J,4400)</f>
        <v>0</v>
      </c>
      <c r="K30" s="59">
        <f>COUNTIFS(Oct!$B:$B,2154,Oct!$J:$J,4400)</f>
        <v>0</v>
      </c>
      <c r="L30" s="59">
        <f>COUNTIFS(Nov!$B:$B,2154,Nov!$J:$J,4400)</f>
        <v>0</v>
      </c>
      <c r="M30" s="59">
        <v>0</v>
      </c>
    </row>
    <row r="31" spans="1:17" s="8" customFormat="1" ht="11.25" customHeight="1">
      <c r="A31" s="10" t="s">
        <v>24</v>
      </c>
      <c r="B31" s="59">
        <f>COUNTIFS(Jan!$B:$B,2154,Jan!$J:$J,30)</f>
        <v>0</v>
      </c>
      <c r="C31" s="59">
        <f>COUNTIFS(Feb!$B:$B,2154,Feb!$J:$J,30)</f>
        <v>0</v>
      </c>
      <c r="D31" s="59">
        <f>COUNTIFS(Mar!$B:$B,2154,Mar!$J:$J,30)</f>
        <v>0</v>
      </c>
      <c r="E31" s="59">
        <f>COUNTIFS(Apr!$B:$B,2154,Apr!$J:$J,30)</f>
        <v>0</v>
      </c>
      <c r="F31" s="59">
        <f>COUNTIFS(May!$B:$B,2154,May!$J:$J,30)</f>
        <v>0</v>
      </c>
      <c r="G31" s="59">
        <f>COUNTIFS(Jun!$B:$B,2154,Jun!$J:$J,30)</f>
        <v>0</v>
      </c>
      <c r="H31" s="59">
        <f>COUNTIFS(Jul!$B:$B,2154,Jul!$J:$J,30)</f>
        <v>0</v>
      </c>
      <c r="I31" s="59">
        <f>COUNTIFS(Aug!$B:$B,2154,Aug!$J:$J,30)</f>
        <v>0</v>
      </c>
      <c r="J31" s="59">
        <f>COUNTIFS(Sep!$B:$B,2154,Sep!$J:$J,30)</f>
        <v>0</v>
      </c>
      <c r="K31" s="59">
        <f>COUNTIFS(Oct!$B:$B,2154,Oct!$J:$J,30)</f>
        <v>0</v>
      </c>
      <c r="L31" s="59">
        <f>COUNTIFS(Nov!$B:$B,2154,Nov!$J:$J,30)</f>
        <v>0</v>
      </c>
      <c r="M31" s="59">
        <v>0</v>
      </c>
    </row>
    <row r="32" spans="1:17" s="14" customFormat="1" ht="11.25" customHeight="1" thickBot="1">
      <c r="A32" s="2" t="s">
        <v>140</v>
      </c>
      <c r="B32" s="60">
        <f>SUM(B25:B31)</f>
        <v>0</v>
      </c>
      <c r="C32" s="60">
        <f t="shared" ref="C32:M32" si="10">SUM(C25:C31)</f>
        <v>0</v>
      </c>
      <c r="D32" s="60">
        <f>SUM(D25:D31)</f>
        <v>0</v>
      </c>
      <c r="E32" s="60">
        <f>SUM(E25:E31)</f>
        <v>0</v>
      </c>
      <c r="F32" s="60">
        <f>SUM(F25:F31)</f>
        <v>0</v>
      </c>
      <c r="G32" s="60">
        <f>SUM(G25:G31)</f>
        <v>0</v>
      </c>
      <c r="H32" s="60">
        <f t="shared" si="10"/>
        <v>0</v>
      </c>
      <c r="I32" s="60">
        <f t="shared" si="10"/>
        <v>0</v>
      </c>
      <c r="J32" s="60">
        <f t="shared" si="10"/>
        <v>0</v>
      </c>
      <c r="K32" s="60">
        <f t="shared" si="10"/>
        <v>0</v>
      </c>
      <c r="L32" s="159">
        <f t="shared" si="10"/>
        <v>0</v>
      </c>
      <c r="M32" s="170">
        <f t="shared" si="10"/>
        <v>0</v>
      </c>
    </row>
    <row r="33" spans="1:13" ht="12" customHeight="1" thickBot="1">
      <c r="A33" s="55" t="s">
        <v>136</v>
      </c>
      <c r="B33" s="50">
        <v>41275</v>
      </c>
      <c r="C33" s="47">
        <v>41306</v>
      </c>
      <c r="D33" s="47">
        <v>41334</v>
      </c>
      <c r="E33" s="47">
        <v>41365</v>
      </c>
      <c r="F33" s="47">
        <v>41395</v>
      </c>
      <c r="G33" s="47">
        <v>41426</v>
      </c>
      <c r="H33" s="47">
        <v>41456</v>
      </c>
      <c r="I33" s="47">
        <v>41487</v>
      </c>
      <c r="J33" s="47">
        <v>41518</v>
      </c>
      <c r="K33" s="47">
        <v>41548</v>
      </c>
      <c r="L33" s="47">
        <v>41579</v>
      </c>
      <c r="M33" s="51">
        <v>41609</v>
      </c>
    </row>
    <row r="34" spans="1:13" s="8" customFormat="1" ht="11.25" customHeight="1">
      <c r="A34" s="46" t="s">
        <v>33</v>
      </c>
      <c r="B34" s="57">
        <f>COUNTIFS(Jan!$B:$B,2154,Jan!$J:$J,40)</f>
        <v>0</v>
      </c>
      <c r="C34" s="57">
        <f>COUNTIFS(Feb!$B:$B,2154,Feb!$J:$J,40)</f>
        <v>0</v>
      </c>
      <c r="D34" s="57">
        <f>COUNTIFS(Mar!$B:$B,2154,Mar!$J:$J,40)</f>
        <v>0</v>
      </c>
      <c r="E34" s="57">
        <f>COUNTIFS(Apr!$B:$B,2154,Apr!$J:$J,40)</f>
        <v>0</v>
      </c>
      <c r="F34" s="57">
        <f>COUNTIFS(May!$B:$B,2154,May!$J:$J,40)</f>
        <v>0</v>
      </c>
      <c r="G34" s="57">
        <f>COUNTIFS(Jun!$B:$B,2154,Jun!$J:$J,40)</f>
        <v>0</v>
      </c>
      <c r="H34" s="57">
        <f>COUNTIFS(Jul!$B:$B,2154,Jul!$J:$J,40)</f>
        <v>0</v>
      </c>
      <c r="I34" s="57">
        <f>COUNTIFS(Aug!$B:$B,2154,Aug!$J:$J,40)</f>
        <v>0</v>
      </c>
      <c r="J34" s="57">
        <f>COUNTIFS(Sep!$B:$B,2154,Sep!$J:$J,40)</f>
        <v>0</v>
      </c>
      <c r="K34" s="57">
        <f>COUNTIFS(Oct!$B:$B,2154,Oct!$J:$J,40)</f>
        <v>0</v>
      </c>
      <c r="L34" s="57">
        <f>COUNTIFS(Nov!$B:$B,2154,Nov!$J:$J,40)</f>
        <v>0</v>
      </c>
      <c r="M34" s="57">
        <v>0</v>
      </c>
    </row>
    <row r="35" spans="1:13" s="8" customFormat="1" ht="11.25" customHeight="1">
      <c r="A35" s="10" t="s">
        <v>4</v>
      </c>
      <c r="B35" s="59">
        <f>COUNTIFS(Jan!$B:$B,2154,Jan!$J:$J,15)</f>
        <v>0</v>
      </c>
      <c r="C35" s="59">
        <f>COUNTIFS(Feb!$B:$B,2154,Feb!$J:$J,15)</f>
        <v>0</v>
      </c>
      <c r="D35" s="59">
        <f>COUNTIFS(Mar!$B:$B,2154,Mar!$J:$J,15)</f>
        <v>0</v>
      </c>
      <c r="E35" s="59">
        <f>COUNTIFS(Apr!$B:$B,2154,Apr!$J:$J,15)</f>
        <v>0</v>
      </c>
      <c r="F35" s="59">
        <f>COUNTIFS(May!$B:$B,2154,May!$J:$J,15)</f>
        <v>0</v>
      </c>
      <c r="G35" s="59">
        <f>COUNTIFS(Jun!$B:$B,2154,Jun!$J:$J,15)</f>
        <v>0</v>
      </c>
      <c r="H35" s="59">
        <f>COUNTIFS(Jul!$B:$B,2154,Jul!$J:$J,15)</f>
        <v>0</v>
      </c>
      <c r="I35" s="59">
        <f>COUNTIFS(Aug!$B:$B,2154,Aug!$J:$J,15)</f>
        <v>0</v>
      </c>
      <c r="J35" s="59">
        <f>COUNTIFS(Sep!$B:$B,2154,Sep!$J:$J,15)</f>
        <v>0</v>
      </c>
      <c r="K35" s="59">
        <f>COUNTIFS(Oct!$B:$B,2154,Oct!$J:$J,15)</f>
        <v>0</v>
      </c>
      <c r="L35" s="59">
        <f>COUNTIFS(Nov!$B:$B,2154,Nov!$J:$J,15)</f>
        <v>0</v>
      </c>
      <c r="M35" s="59">
        <v>0</v>
      </c>
    </row>
    <row r="36" spans="1:13" s="8" customFormat="1" ht="11.25" customHeight="1">
      <c r="A36" s="10" t="s">
        <v>39</v>
      </c>
      <c r="B36" s="59">
        <f>COUNTIFS(Jan!$B:$B,2154,Jan!$J:$J,29)</f>
        <v>0</v>
      </c>
      <c r="C36" s="59">
        <f>COUNTIFS(Feb!$B:$B,2154,Feb!$J:$J,29)</f>
        <v>0</v>
      </c>
      <c r="D36" s="59">
        <f>COUNTIFS(Mar!$B:$B,2154,Mar!$J:$J,29)</f>
        <v>0</v>
      </c>
      <c r="E36" s="59">
        <f>COUNTIFS(Apr!$B:$B,2154,Apr!$J:$J,29)</f>
        <v>0</v>
      </c>
      <c r="F36" s="59">
        <f>COUNTIFS(May!$B:$B,2154,May!$J:$J,29)</f>
        <v>0</v>
      </c>
      <c r="G36" s="59">
        <f>COUNTIFS(Jun!$B:$B,2154,Jun!$J:$J,29)</f>
        <v>0</v>
      </c>
      <c r="H36" s="59">
        <f>COUNTIFS(Jul!$B:$B,2154,Jul!$J:$J,29)</f>
        <v>0</v>
      </c>
      <c r="I36" s="59">
        <f>COUNTIFS(Aug!$B:$B,2154,Aug!$J:$J,29)</f>
        <v>0</v>
      </c>
      <c r="J36" s="59">
        <f>COUNTIFS(Sep!$B:$B,2154,Sep!$J:$J,29)</f>
        <v>0</v>
      </c>
      <c r="K36" s="59">
        <f>COUNTIFS(Oct!$B:$B,2154,Oct!$J:$J,29)</f>
        <v>0</v>
      </c>
      <c r="L36" s="59">
        <f>COUNTIFS(Nov!$B:$B,2154,Nov!$J:$J,29)</f>
        <v>0</v>
      </c>
      <c r="M36" s="59">
        <v>0</v>
      </c>
    </row>
    <row r="37" spans="1:13" s="8" customFormat="1" ht="11.25" customHeight="1">
      <c r="A37" s="10" t="s">
        <v>3</v>
      </c>
      <c r="B37" s="59">
        <f>COUNTIFS(Jan!$B:$B,2154,Jan!$J:$J,13)</f>
        <v>0</v>
      </c>
      <c r="C37" s="59">
        <f>COUNTIFS(Feb!$B:$B,2154,Feb!$J:$J,13)</f>
        <v>0</v>
      </c>
      <c r="D37" s="59">
        <f>COUNTIFS(Mar!$B:$B,2154,Mar!$J:$J,13)</f>
        <v>0</v>
      </c>
      <c r="E37" s="59">
        <f>COUNTIFS(Apr!$B:$B,2154,Apr!$J:$J,13)</f>
        <v>0</v>
      </c>
      <c r="F37" s="59">
        <f>COUNTIFS(May!$B:$B,2154,May!$J:$J,13)</f>
        <v>0</v>
      </c>
      <c r="G37" s="59">
        <f>COUNTIFS(Jun!$B:$B,2154,Jun!$J:$J,13)</f>
        <v>0</v>
      </c>
      <c r="H37" s="59">
        <f>COUNTIFS(Jul!$B:$B,2154,Jul!$J:$J,13)</f>
        <v>0</v>
      </c>
      <c r="I37" s="59">
        <f>COUNTIFS(Aug!$B:$B,2154,Aug!$J:$J,13)</f>
        <v>0</v>
      </c>
      <c r="J37" s="59">
        <f>COUNTIFS(Sep!$B:$B,2154,Sep!$J:$J,13)</f>
        <v>0</v>
      </c>
      <c r="K37" s="59">
        <f>COUNTIFS(Oct!$B:$B,2154,Oct!$J:$J,13)</f>
        <v>0</v>
      </c>
      <c r="L37" s="59">
        <f>COUNTIFS(Nov!$B:$B,2154,Nov!$J:$J,13)</f>
        <v>0</v>
      </c>
      <c r="M37" s="59">
        <v>0</v>
      </c>
    </row>
    <row r="38" spans="1:13" s="8" customFormat="1" ht="11.25" customHeight="1">
      <c r="A38" s="9" t="s">
        <v>218</v>
      </c>
      <c r="B38" s="59">
        <f>COUNTIFS(Jan!$B:$B,2154,Jan!$J:$J,43)</f>
        <v>0</v>
      </c>
      <c r="C38" s="59">
        <f>COUNTIFS(Feb!$B:$B,2154,Feb!$J:$J,43)</f>
        <v>0</v>
      </c>
      <c r="D38" s="59">
        <f>COUNTIFS(Mar!$B:$B,2154,Mar!$J:$J,43)</f>
        <v>0</v>
      </c>
      <c r="E38" s="59">
        <f>COUNTIFS(Apr!$B:$B,2154,Apr!$J:$J,43)</f>
        <v>0</v>
      </c>
      <c r="F38" s="59">
        <f>COUNTIFS(May!$B:$B,2154,May!$J:$J,43)</f>
        <v>0</v>
      </c>
      <c r="G38" s="59">
        <f>COUNTIFS(Jun!$B:$B,2154,Jun!$J:$J,43)</f>
        <v>0</v>
      </c>
      <c r="H38" s="59">
        <f>COUNTIFS(Jul!$B:$B,2154,Jul!$J:$J,43)</f>
        <v>0</v>
      </c>
      <c r="I38" s="59">
        <f>COUNTIFS(Aug!$B:$B,2154,Aug!$J:$J,43)</f>
        <v>0</v>
      </c>
      <c r="J38" s="59">
        <f>COUNTIFS(Sep!$B:$B,2154,Sep!$J:$J,43)</f>
        <v>0</v>
      </c>
      <c r="K38" s="59">
        <f>COUNTIFS(Oct!$B:$B,2154,Oct!$J:$J,43)</f>
        <v>0</v>
      </c>
      <c r="L38" s="59">
        <f>COUNTIFS(Nov!$B:$B,2154,Nov!$J:$J,43)</f>
        <v>0</v>
      </c>
      <c r="M38" s="59">
        <v>0</v>
      </c>
    </row>
    <row r="39" spans="1:13" s="8" customFormat="1" ht="11.25" customHeight="1">
      <c r="A39" s="10" t="s">
        <v>25</v>
      </c>
      <c r="B39" s="59">
        <f>COUNTIFS(Jan!$B:$B,2154,Jan!$J:$J,24)</f>
        <v>0</v>
      </c>
      <c r="C39" s="59">
        <f>COUNTIFS(Feb!$B:$B,2154,Feb!$J:$J,24)</f>
        <v>0</v>
      </c>
      <c r="D39" s="59">
        <f>COUNTIFS(Mar!$B:$B,2154,Mar!$J:$J,24)</f>
        <v>0</v>
      </c>
      <c r="E39" s="59">
        <f>COUNTIFS(Apr!$B:$B,2154,Apr!$J:$J,24)</f>
        <v>0</v>
      </c>
      <c r="F39" s="59">
        <f>COUNTIFS(May!$B:$B,2154,May!$J:$J,24)</f>
        <v>0</v>
      </c>
      <c r="G39" s="59">
        <f>COUNTIFS(Jun!$B:$B,2154,Jun!$J:$J,24)</f>
        <v>0</v>
      </c>
      <c r="H39" s="59">
        <f>COUNTIFS(Jul!$B:$B,2154,Jul!$J:$J,24)</f>
        <v>0</v>
      </c>
      <c r="I39" s="59">
        <f>COUNTIFS(Aug!$B:$B,2154,Aug!$J:$J,24)</f>
        <v>0</v>
      </c>
      <c r="J39" s="59">
        <f>COUNTIFS(Sep!$B:$B,2154,Sep!$J:$J,24)</f>
        <v>0</v>
      </c>
      <c r="K39" s="59">
        <f>COUNTIFS(Oct!$B:$B,2154,Oct!$J:$J,24)</f>
        <v>0</v>
      </c>
      <c r="L39" s="59">
        <f>COUNTIFS(Nov!$B:$B,2154,Nov!$J:$J,24)</f>
        <v>0</v>
      </c>
      <c r="M39" s="59">
        <v>0</v>
      </c>
    </row>
    <row r="40" spans="1:13" s="8" customFormat="1" ht="11.25" customHeight="1">
      <c r="A40" s="10" t="s">
        <v>34</v>
      </c>
      <c r="B40" s="59">
        <f>COUNTIFS(Jan!$B:$B,2154,Jan!$J:$J,9)</f>
        <v>0</v>
      </c>
      <c r="C40" s="59">
        <f>COUNTIFS(Feb!$B:$B,2154,Feb!$J:$J,9)</f>
        <v>0</v>
      </c>
      <c r="D40" s="59">
        <f>COUNTIFS(Mar!$B:$B,2154,Mar!$J:$J,9)</f>
        <v>0</v>
      </c>
      <c r="E40" s="59">
        <f>COUNTIFS(Apr!$B:$B,2154,Apr!$J:$J,9)</f>
        <v>0</v>
      </c>
      <c r="F40" s="59">
        <f>COUNTIFS(May!$B:$B,2154,May!$J:$J,9)</f>
        <v>0</v>
      </c>
      <c r="G40" s="59">
        <f>COUNTIFS(Jun!$B:$B,2154,Jun!$J:$J,9)</f>
        <v>0</v>
      </c>
      <c r="H40" s="59">
        <f>COUNTIFS(Jul!$B:$B,2154,Jul!$J:$J,9)</f>
        <v>0</v>
      </c>
      <c r="I40" s="59">
        <f>COUNTIFS(Aug!$B:$B,2154,Aug!$J:$J,9)</f>
        <v>0</v>
      </c>
      <c r="J40" s="59">
        <f>COUNTIFS(Sep!$B:$B,2154,Sep!$J:$J,9)</f>
        <v>0</v>
      </c>
      <c r="K40" s="59">
        <f>COUNTIFS(Oct!$B:$B,2154,Oct!$J:$J,9)</f>
        <v>0</v>
      </c>
      <c r="L40" s="59">
        <f>COUNTIFS(Nov!$B:$B,2154,Nov!$J:$J,9)</f>
        <v>0</v>
      </c>
      <c r="M40" s="59">
        <v>0</v>
      </c>
    </row>
    <row r="41" spans="1:13" s="8" customFormat="1" ht="11.25" customHeight="1">
      <c r="A41" s="10" t="s">
        <v>31</v>
      </c>
      <c r="B41" s="59">
        <f>COUNTIFS(Jan!$B:$B,2154,Jan!$J:$J,10)</f>
        <v>0</v>
      </c>
      <c r="C41" s="59">
        <f>COUNTIFS(Feb!$B:$B,2154,Feb!$J:$J,10)</f>
        <v>0</v>
      </c>
      <c r="D41" s="59">
        <f>COUNTIFS(Mar!$B:$B,2154,Mar!$J:$J,10)</f>
        <v>0</v>
      </c>
      <c r="E41" s="59">
        <f>COUNTIFS(Apr!$B:$B,2154,Apr!$J:$J,10)</f>
        <v>0</v>
      </c>
      <c r="F41" s="59">
        <f>COUNTIFS(May!$B:$B,2154,May!$J:$J,10)</f>
        <v>0</v>
      </c>
      <c r="G41" s="59">
        <f>COUNTIFS(Jun!$B:$B,2154,Jun!$J:$J,10)</f>
        <v>0</v>
      </c>
      <c r="H41" s="59">
        <f>COUNTIFS(Jul!$B:$B,2154,Jul!$J:$J,10)</f>
        <v>0</v>
      </c>
      <c r="I41" s="59">
        <f>COUNTIFS(Aug!$B:$B,2154,Aug!$J:$J,10)</f>
        <v>0</v>
      </c>
      <c r="J41" s="59">
        <f>COUNTIFS(Sep!$B:$B,2154,Sep!$J:$J,10)</f>
        <v>0</v>
      </c>
      <c r="K41" s="59">
        <f>COUNTIFS(Oct!$B:$B,2154,Oct!$J:$J,10)</f>
        <v>0</v>
      </c>
      <c r="L41" s="59">
        <f>COUNTIFS(Nov!$B:$B,2154,Nov!$J:$J,10)</f>
        <v>0</v>
      </c>
      <c r="M41" s="59">
        <v>0</v>
      </c>
    </row>
    <row r="42" spans="1:13" s="8" customFormat="1" ht="11.25" customHeight="1">
      <c r="A42" s="10" t="s">
        <v>144</v>
      </c>
      <c r="B42" s="59">
        <f>COUNTIFS(Jan!$B:$B,2154,Jan!$F:$F,462)</f>
        <v>0</v>
      </c>
      <c r="C42" s="59">
        <f>COUNTIFS(Feb!$B:$B,2154,Feb!$F:$F,462)</f>
        <v>0</v>
      </c>
      <c r="D42" s="59">
        <f>COUNTIFS(Mar!$B:$B,2154,Mar!$F:$F,462)</f>
        <v>0</v>
      </c>
      <c r="E42" s="59">
        <f>COUNTIFS(Apr!$B:$B,2154,Apr!$F:$F,462)</f>
        <v>0</v>
      </c>
      <c r="F42" s="59">
        <f>COUNTIFS(May!$B:$B,2154,May!$F:$F,462)</f>
        <v>0</v>
      </c>
      <c r="G42" s="59">
        <f>COUNTIFS(Jun!$B:$B,2154,Jun!$F:$F,462)</f>
        <v>0</v>
      </c>
      <c r="H42" s="59">
        <f>COUNTIFS(Jul!$B:$B,2154,Jul!$F:$F,462)</f>
        <v>0</v>
      </c>
      <c r="I42" s="59">
        <f>COUNTIFS(Aug!$B:$B,2154,Aug!$F:$F,462)</f>
        <v>0</v>
      </c>
      <c r="J42" s="59">
        <f>COUNTIFS(Sep!$B:$B,2154,Sep!$F:$F,462)</f>
        <v>0</v>
      </c>
      <c r="K42" s="59">
        <f>COUNTIFS(Oct!$B:$B,2154,Oct!$F:$F,462)</f>
        <v>0</v>
      </c>
      <c r="L42" s="59">
        <f>COUNTIFS(Nov!$B:$B,2154,Nov!$F:$F,462)</f>
        <v>0</v>
      </c>
      <c r="M42" s="59">
        <v>0</v>
      </c>
    </row>
    <row r="43" spans="1:13" s="8" customFormat="1" ht="11.25" customHeight="1">
      <c r="A43" s="10" t="s">
        <v>1</v>
      </c>
      <c r="B43" s="59">
        <f>COUNTIFS(Jan!$B:$B,2154,Jan!$J:$J,11)</f>
        <v>0</v>
      </c>
      <c r="C43" s="59">
        <f>COUNTIFS(Feb!$B:$B,2154,Feb!$J:$J,11)</f>
        <v>0</v>
      </c>
      <c r="D43" s="59">
        <f>COUNTIFS(Mar!$B:$B,2154,Mar!$J:$J,11)</f>
        <v>0</v>
      </c>
      <c r="E43" s="59">
        <f>COUNTIFS(Apr!$B:$B,2154,Apr!$J:$J,11)</f>
        <v>0</v>
      </c>
      <c r="F43" s="59">
        <f>COUNTIFS(May!$B:$B,2154,May!$J:$J,11)</f>
        <v>0</v>
      </c>
      <c r="G43" s="59">
        <f>COUNTIFS(Jun!$B:$B,2154,Jun!$J:$J,11)</f>
        <v>0</v>
      </c>
      <c r="H43" s="59">
        <f>COUNTIFS(Jul!$B:$B,2154,Jul!$J:$J,11)</f>
        <v>0</v>
      </c>
      <c r="I43" s="59">
        <f>COUNTIFS(Aug!$B:$B,2154,Aug!$J:$J,11)</f>
        <v>0</v>
      </c>
      <c r="J43" s="59">
        <f>COUNTIFS(Sep!$B:$B,2154,Sep!$J:$J,11)</f>
        <v>0</v>
      </c>
      <c r="K43" s="59">
        <f>COUNTIFS(Oct!$B:$B,2154,Oct!$J:$J,11)</f>
        <v>0</v>
      </c>
      <c r="L43" s="59">
        <f>COUNTIFS(Nov!$B:$B,2154,Nov!$J:$J,11)</f>
        <v>0</v>
      </c>
      <c r="M43" s="59">
        <v>0</v>
      </c>
    </row>
    <row r="44" spans="1:13" s="8" customFormat="1" ht="11.25" customHeight="1">
      <c r="A44" s="10" t="s">
        <v>26</v>
      </c>
      <c r="B44" s="59">
        <f>COUNTIFS(Jan!$B:$B,2154,Jan!$J:$J,20)</f>
        <v>0</v>
      </c>
      <c r="C44" s="59">
        <f>COUNTIFS(Feb!$B:$B,2154,Feb!$J:$J,20)</f>
        <v>0</v>
      </c>
      <c r="D44" s="59">
        <f>COUNTIFS(Mar!$B:$B,2154,Mar!$J:$J,20)</f>
        <v>0</v>
      </c>
      <c r="E44" s="59">
        <f>COUNTIFS(Apr!$B:$B,2154,Apr!$J:$J,20)</f>
        <v>0</v>
      </c>
      <c r="F44" s="59">
        <f>COUNTIFS(May!$B:$B,2154,May!$J:$J,20)</f>
        <v>0</v>
      </c>
      <c r="G44" s="59">
        <f>COUNTIFS(Jun!$B:$B,2154,Jun!$J:$J,20)</f>
        <v>0</v>
      </c>
      <c r="H44" s="59">
        <f>COUNTIFS(Jul!$B:$B,2154,Jul!$J:$J,20)</f>
        <v>0</v>
      </c>
      <c r="I44" s="59">
        <f>COUNTIFS(Aug!$B:$B,2154,Aug!$J:$J,20)</f>
        <v>0</v>
      </c>
      <c r="J44" s="59">
        <f>COUNTIFS(Sep!$B:$B,2154,Sep!$J:$J,20)</f>
        <v>0</v>
      </c>
      <c r="K44" s="59">
        <f>COUNTIFS(Oct!$B:$B,2154,Oct!$J:$J,20)</f>
        <v>0</v>
      </c>
      <c r="L44" s="59">
        <f>COUNTIFS(Nov!$B:$B,2154,Nov!$J:$J,20)</f>
        <v>0</v>
      </c>
      <c r="M44" s="59">
        <v>0</v>
      </c>
    </row>
    <row r="45" spans="1:13" s="8" customFormat="1" ht="11.25" customHeight="1">
      <c r="A45" s="10" t="s">
        <v>32</v>
      </c>
      <c r="B45" s="59">
        <f>COUNTIFS(Jan!$B:$B,2154,Jan!$J:$J,2)</f>
        <v>0</v>
      </c>
      <c r="C45" s="59">
        <f>COUNTIFS(Feb!$B:$B,2154,Feb!$J:$J,2)</f>
        <v>0</v>
      </c>
      <c r="D45" s="59">
        <f>COUNTIFS(Mar!$B:$B,2154,Mar!$J:$J,2)</f>
        <v>0</v>
      </c>
      <c r="E45" s="59">
        <f>COUNTIFS(Apr!$B:$B,2154,Apr!$J:$J,2)</f>
        <v>0</v>
      </c>
      <c r="F45" s="59">
        <f>COUNTIFS(May!$B:$B,2154,May!$J:$J,2)</f>
        <v>0</v>
      </c>
      <c r="G45" s="59">
        <f>COUNTIFS(Jun!$B:$B,2154,Jun!$J:$J,2)</f>
        <v>0</v>
      </c>
      <c r="H45" s="59">
        <f>COUNTIFS(Jul!$B:$B,2154,Jul!$J:$J,2)</f>
        <v>0</v>
      </c>
      <c r="I45" s="59">
        <f>COUNTIFS(Aug!$B:$B,2154,Aug!$J:$J,2)</f>
        <v>0</v>
      </c>
      <c r="J45" s="59">
        <f>COUNTIFS(Sep!$B:$B,2154,Sep!$J:$J,2)</f>
        <v>0</v>
      </c>
      <c r="K45" s="59">
        <f>COUNTIFS(Oct!$B:$B,2154,Oct!$J:$J,2)</f>
        <v>0</v>
      </c>
      <c r="L45" s="59">
        <f>COUNTIFS(Nov!$B:$B,2154,Nov!$J:$J,2)</f>
        <v>0</v>
      </c>
      <c r="M45" s="59">
        <v>0</v>
      </c>
    </row>
    <row r="46" spans="1:13" s="8" customFormat="1" ht="11.25" customHeight="1">
      <c r="A46" s="10" t="s">
        <v>28</v>
      </c>
      <c r="B46" s="59">
        <f>COUNTIFS(Jan!$B:$B,2154,Jan!$J:$J,1700)+COUNTIFS(Jan!$B:$B,2154,Jan!$F:$F,1700)+COUNTIFS(Jan!$B:$B,2154,Jan!$J:$J,19)</f>
        <v>0</v>
      </c>
      <c r="C46" s="59">
        <f>COUNTIFS(Feb!$B:$B,2154,Feb!$J:$J,1700)+COUNTIFS(Feb!$B:$B,2154,Feb!$F:$F,1700)+COUNTIFS(Feb!$B:$B,2154,Feb!$J:$J,19)</f>
        <v>0</v>
      </c>
      <c r="D46" s="59">
        <f>COUNTIFS(Mar!$B:$B,2154,Mar!$J:$J,1700)+COUNTIFS(Mar!$B:$B,2154,Mar!$F:$F,1700)+COUNTIFS(Mar!$B:$B,2154,Mar!$J:$J,19)</f>
        <v>0</v>
      </c>
      <c r="E46" s="59">
        <f>COUNTIFS(Apr!$B:$B,2154,Apr!$J:$J,1700)+COUNTIFS(Apr!$B:$B,2154,Apr!$F:$F,1700)+COUNTIFS(Apr!$B:$B,2154,Apr!$J:$J,19)</f>
        <v>0</v>
      </c>
      <c r="F46" s="59">
        <f>COUNTIFS(May!$B:$B,2154,May!$J:$J,1700)+COUNTIFS(May!$B:$B,2154,May!$F:$F,1700)+COUNTIFS(May!$B:$B,2154,May!$J:$J,19)</f>
        <v>0</v>
      </c>
      <c r="G46" s="59">
        <f>COUNTIFS(Jun!$B:$B,2154,Jun!$J:$J,1700)+COUNTIFS(Jun!$B:$B,2154,Jun!$F:$F,1700)+COUNTIFS(Jun!$B:$B,2154,Jun!$J:$J,19)</f>
        <v>0</v>
      </c>
      <c r="H46" s="59">
        <f>COUNTIFS(Jul!$B:$B,2154,Jul!$J:$J,1700)+COUNTIFS(Jul!$B:$B,2154,Jul!$F:$F,1700)+COUNTIFS(Jul!$B:$B,2154,Jul!$J:$J,19)</f>
        <v>0</v>
      </c>
      <c r="I46" s="59">
        <f>COUNTIFS(Aug!$B:$B,2154,Aug!$J:$J,1700)+COUNTIFS(Aug!$B:$B,2154,Aug!$F:$F,1700)+COUNTIFS(Aug!$B:$B,2154,Aug!$J:$J,19)</f>
        <v>0</v>
      </c>
      <c r="J46" s="59">
        <f>COUNTIFS(Sep!$B:$B,2154,Sep!$J:$J,1700)+COUNTIFS(Sep!$B:$B,2154,Sep!$F:$F,1700)+COUNTIFS(Sep!$B:$B,2154,Sep!$J:$J,19)</f>
        <v>0</v>
      </c>
      <c r="K46" s="59">
        <f>COUNTIFS(Oct!$B:$B,2154,Oct!$J:$J,1700)+COUNTIFS(Oct!$B:$B,2154,Oct!$F:$F,1700)+COUNTIFS(Oct!$B:$B,2154,Oct!$J:$J,19)</f>
        <v>0</v>
      </c>
      <c r="L46" s="59">
        <f>COUNTIFS(Nov!$B:$B,2154,Nov!$J:$J,1700)+COUNTIFS(Nov!$B:$B,2154,Nov!$F:$F,1700)+COUNTIFS(Nov!$B:$B,2154,Nov!$J:$J,19)</f>
        <v>0</v>
      </c>
      <c r="M46" s="59">
        <v>0</v>
      </c>
    </row>
    <row r="47" spans="1:13" s="8" customFormat="1" ht="11.25" customHeight="1">
      <c r="A47" s="10" t="s">
        <v>0</v>
      </c>
      <c r="B47" s="59">
        <f>COUNTIFS(Jan!$B:$B,2154,Jan!$J:$J,3)</f>
        <v>0</v>
      </c>
      <c r="C47" s="59">
        <f>COUNTIFS(Feb!$B:$B,2154,Feb!$J:$J,3)</f>
        <v>0</v>
      </c>
      <c r="D47" s="59">
        <f>COUNTIFS(Mar!$B:$B,2154,Mar!$J:$J,3)</f>
        <v>0</v>
      </c>
      <c r="E47" s="59">
        <f>COUNTIFS(Apr!$B:$B,2154,Apr!$J:$J,3)</f>
        <v>0</v>
      </c>
      <c r="F47" s="59">
        <f>COUNTIFS(May!$B:$B,2154,May!$J:$J,3)</f>
        <v>0</v>
      </c>
      <c r="G47" s="59">
        <f>COUNTIFS(Jun!$B:$B,2154,Jun!$J:$J,3)</f>
        <v>0</v>
      </c>
      <c r="H47" s="59">
        <f>COUNTIFS(Jul!$B:$B,2154,Jul!$J:$J,3)</f>
        <v>0</v>
      </c>
      <c r="I47" s="59">
        <f>COUNTIFS(Aug!$B:$B,2154,Aug!$J:$J,3)</f>
        <v>0</v>
      </c>
      <c r="J47" s="59">
        <f>COUNTIFS(Sep!$B:$B,2154,Sep!$J:$J,3)</f>
        <v>0</v>
      </c>
      <c r="K47" s="59">
        <f>COUNTIFS(Oct!$B:$B,2154,Oct!$J:$J,3)</f>
        <v>0</v>
      </c>
      <c r="L47" s="59">
        <f>COUNTIFS(Nov!$B:$B,2154,Nov!$J:$J,3)</f>
        <v>0</v>
      </c>
      <c r="M47" s="59">
        <v>0</v>
      </c>
    </row>
    <row r="48" spans="1:13" s="8" customFormat="1" ht="11.25" customHeight="1">
      <c r="A48" s="10" t="s">
        <v>35</v>
      </c>
      <c r="B48" s="59">
        <f>COUNTIFS(Jan!$B:$B,2154,Jan!$J:$J,7400)</f>
        <v>0</v>
      </c>
      <c r="C48" s="59">
        <f>COUNTIFS(Feb!$B:$B,2154,Feb!$J:$J,7400)</f>
        <v>0</v>
      </c>
      <c r="D48" s="59">
        <f>COUNTIFS(Mar!$B:$B,2154,Mar!$J:$J,7400)</f>
        <v>0</v>
      </c>
      <c r="E48" s="59">
        <f>COUNTIFS(Apr!$B:$B,2154,Apr!$J:$J,7400)</f>
        <v>0</v>
      </c>
      <c r="F48" s="59">
        <f>COUNTIFS(May!$B:$B,2154,May!$J:$J,7400)</f>
        <v>0</v>
      </c>
      <c r="G48" s="59">
        <f>COUNTIFS(Jun!$B:$B,2154,Jun!$J:$J,7400)</f>
        <v>0</v>
      </c>
      <c r="H48" s="59">
        <f>COUNTIFS(Jul!$B:$B,2154,Jul!$J:$J,7400)</f>
        <v>0</v>
      </c>
      <c r="I48" s="59">
        <f>COUNTIFS(Aug!$B:$B,2154,Aug!$J:$J,7400)</f>
        <v>0</v>
      </c>
      <c r="J48" s="59">
        <f>COUNTIFS(Sep!$B:$B,2154,Sep!$J:$J,7400)</f>
        <v>0</v>
      </c>
      <c r="K48" s="59">
        <f>COUNTIFS(Oct!$B:$B,2154,Oct!$J:$J,7400)</f>
        <v>0</v>
      </c>
      <c r="L48" s="59">
        <f>COUNTIFS(Nov!$B:$B,2154,Nov!$J:$J,7400)</f>
        <v>0</v>
      </c>
      <c r="M48" s="59">
        <v>0</v>
      </c>
    </row>
    <row r="49" spans="1:13" s="8" customFormat="1" ht="11.25" customHeight="1">
      <c r="A49" s="10" t="s">
        <v>2</v>
      </c>
      <c r="B49" s="59">
        <f>COUNTIFS(Jan!$B:$B,2154,Jan!$J:$J,14)</f>
        <v>0</v>
      </c>
      <c r="C49" s="59">
        <f>COUNTIFS(Feb!$B:$B,2154,Feb!$J:$J,14)</f>
        <v>0</v>
      </c>
      <c r="D49" s="59">
        <f>COUNTIFS(Mar!$B:$B,2154,Mar!$J:$J,14)</f>
        <v>0</v>
      </c>
      <c r="E49" s="59">
        <f>COUNTIFS(Apr!$B:$B,2154,Apr!$J:$J,14)</f>
        <v>0</v>
      </c>
      <c r="F49" s="59">
        <f>COUNTIFS(May!$B:$B,2154,May!$J:$J,14)</f>
        <v>0</v>
      </c>
      <c r="G49" s="59">
        <f>COUNTIFS(Jun!$B:$B,2154,Jun!$J:$J,14)</f>
        <v>0</v>
      </c>
      <c r="H49" s="59">
        <f>COUNTIFS(Jul!$B:$B,2154,Jul!$J:$J,14)</f>
        <v>0</v>
      </c>
      <c r="I49" s="59">
        <f>COUNTIFS(Aug!$B:$B,2154,Aug!$J:$J,14)</f>
        <v>0</v>
      </c>
      <c r="J49" s="59">
        <f>COUNTIFS(Sep!$B:$B,2154,Sep!$J:$J,14)</f>
        <v>0</v>
      </c>
      <c r="K49" s="59">
        <f>COUNTIFS(Oct!$B:$B,2154,Oct!$J:$J,14)</f>
        <v>0</v>
      </c>
      <c r="L49" s="59">
        <f>COUNTIFS(Nov!$B:$B,2154,Nov!$J:$J,14)</f>
        <v>0</v>
      </c>
      <c r="M49" s="59">
        <v>0</v>
      </c>
    </row>
    <row r="50" spans="1:13" s="8" customFormat="1" ht="11.25" customHeight="1">
      <c r="A50" s="10" t="s">
        <v>142</v>
      </c>
      <c r="B50" s="59">
        <f>COUNTIFS(Jan!$B:$B,2154,Jan!$F:$F,466)</f>
        <v>0</v>
      </c>
      <c r="C50" s="59">
        <f>COUNTIFS(Feb!$B:$B,2154,Feb!$F:$F,466)</f>
        <v>0</v>
      </c>
      <c r="D50" s="59">
        <f>COUNTIFS(Mar!$B:$B,2154,Mar!$F:$F,466)</f>
        <v>0</v>
      </c>
      <c r="E50" s="59">
        <f>COUNTIFS(Apr!$B:$B,2154,Apr!$F:$F,466)</f>
        <v>0</v>
      </c>
      <c r="F50" s="59">
        <f>COUNTIFS(May!$B:$B,2154,May!$F:$F,466)</f>
        <v>0</v>
      </c>
      <c r="G50" s="59">
        <f>COUNTIFS(Jun!$B:$B,2154,Jun!$F:$F,466)</f>
        <v>0</v>
      </c>
      <c r="H50" s="59">
        <f>COUNTIFS(Jul!$B:$B,2154,Jul!$F:$F,466)</f>
        <v>0</v>
      </c>
      <c r="I50" s="59">
        <f>COUNTIFS(Aug!$B:$B,2154,Aug!$F:$F,466)</f>
        <v>0</v>
      </c>
      <c r="J50" s="59">
        <f>COUNTIFS(Sep!$B:$B,2154,Sep!$F:$F,466)</f>
        <v>0</v>
      </c>
      <c r="K50" s="59">
        <f>COUNTIFS(Oct!$B:$B,2154,Oct!$F:$F,466)</f>
        <v>0</v>
      </c>
      <c r="L50" s="59">
        <f>COUNTIFS(Nov!$B:$B,2154,Nov!$F:$F,466)</f>
        <v>0</v>
      </c>
      <c r="M50" s="59">
        <v>0</v>
      </c>
    </row>
    <row r="51" spans="1:13" s="8" customFormat="1" ht="11.25" customHeight="1">
      <c r="A51" s="10" t="s">
        <v>27</v>
      </c>
      <c r="B51" s="59">
        <f>COUNTIFS(Jan!$B:$B,2154,Jan!$J:$J,25)</f>
        <v>0</v>
      </c>
      <c r="C51" s="59">
        <f>COUNTIFS(Feb!$B:$B,2154,Feb!$J:$J,25)</f>
        <v>0</v>
      </c>
      <c r="D51" s="59">
        <f>COUNTIFS(Mar!$B:$B,2154,Mar!$J:$J,25)</f>
        <v>0</v>
      </c>
      <c r="E51" s="59">
        <f>COUNTIFS(Apr!$B:$B,2154,Apr!$J:$J,25)</f>
        <v>0</v>
      </c>
      <c r="F51" s="59">
        <f>COUNTIFS(May!$B:$B,2154,May!$J:$J,25)</f>
        <v>0</v>
      </c>
      <c r="G51" s="59">
        <f>COUNTIFS(Jun!$B:$B,2154,Jun!$J:$J,25)</f>
        <v>0</v>
      </c>
      <c r="H51" s="59">
        <f>COUNTIFS(Jul!$B:$B,2154,Jul!$J:$J,25)</f>
        <v>0</v>
      </c>
      <c r="I51" s="59">
        <f>COUNTIFS(Aug!$B:$B,2154,Aug!$J:$J,25)</f>
        <v>0</v>
      </c>
      <c r="J51" s="59">
        <f>COUNTIFS(Sep!$B:$B,2154,Sep!$J:$J,25)</f>
        <v>0</v>
      </c>
      <c r="K51" s="59">
        <f>COUNTIFS(Oct!$B:$B,2154,Oct!$J:$J,25)</f>
        <v>0</v>
      </c>
      <c r="L51" s="59">
        <f>COUNTIFS(Nov!$B:$B,2154,Nov!$J:$J,25)</f>
        <v>0</v>
      </c>
      <c r="M51" s="59">
        <v>0</v>
      </c>
    </row>
    <row r="52" spans="1:13" s="8" customFormat="1" ht="11.25" customHeight="1" thickBot="1">
      <c r="A52" s="11" t="s">
        <v>16</v>
      </c>
      <c r="B52" s="60">
        <f>SUM(B34:B51)</f>
        <v>0</v>
      </c>
      <c r="C52" s="60">
        <f t="shared" ref="C52:M52" si="11">SUM(C34:C51)</f>
        <v>0</v>
      </c>
      <c r="D52" s="60">
        <f>SUM(D34:D51)</f>
        <v>0</v>
      </c>
      <c r="E52" s="60">
        <f>SUM(E34:E51)</f>
        <v>0</v>
      </c>
      <c r="F52" s="60">
        <f>SUM(F34:F51)</f>
        <v>0</v>
      </c>
      <c r="G52" s="60">
        <f>SUM(G34:G51)</f>
        <v>0</v>
      </c>
      <c r="H52" s="60">
        <f t="shared" si="11"/>
        <v>0</v>
      </c>
      <c r="I52" s="60">
        <f t="shared" si="11"/>
        <v>0</v>
      </c>
      <c r="J52" s="60">
        <f t="shared" si="11"/>
        <v>0</v>
      </c>
      <c r="K52" s="60">
        <f t="shared" si="11"/>
        <v>0</v>
      </c>
      <c r="L52" s="159">
        <f t="shared" si="11"/>
        <v>0</v>
      </c>
      <c r="M52" s="170">
        <f t="shared" si="11"/>
        <v>0</v>
      </c>
    </row>
    <row r="53" spans="1:13" ht="12" customHeight="1" thickBot="1">
      <c r="A53" s="55" t="s">
        <v>137</v>
      </c>
      <c r="B53" s="50">
        <v>41275</v>
      </c>
      <c r="C53" s="47">
        <v>41306</v>
      </c>
      <c r="D53" s="47">
        <v>41334</v>
      </c>
      <c r="E53" s="47">
        <v>41365</v>
      </c>
      <c r="F53" s="47">
        <v>41395</v>
      </c>
      <c r="G53" s="47">
        <v>41426</v>
      </c>
      <c r="H53" s="47">
        <v>41456</v>
      </c>
      <c r="I53" s="47">
        <v>41487</v>
      </c>
      <c r="J53" s="47">
        <v>41518</v>
      </c>
      <c r="K53" s="47">
        <v>41548</v>
      </c>
      <c r="L53" s="47">
        <v>41579</v>
      </c>
      <c r="M53" s="51">
        <v>41609</v>
      </c>
    </row>
    <row r="54" spans="1:13" s="8" customFormat="1" ht="11.25" customHeight="1">
      <c r="A54" s="10" t="s">
        <v>30</v>
      </c>
      <c r="B54" s="57">
        <f>COUNTIFS(Jan!$B:$B,2154,Jan!$J:$J,7)</f>
        <v>0</v>
      </c>
      <c r="C54" s="57">
        <f>COUNTIFS(Feb!$B:$B,2154,Feb!$J:$J,7)</f>
        <v>0</v>
      </c>
      <c r="D54" s="57">
        <f>COUNTIFS(Mar!$B:$B,2154,Mar!$J:$J,7)</f>
        <v>0</v>
      </c>
      <c r="E54" s="57">
        <f>COUNTIFS(Apr!$B:$B,2154,Apr!$J:$J,7)</f>
        <v>0</v>
      </c>
      <c r="F54" s="57">
        <f>COUNTIFS(May!$B:$B,2154,May!$J:$J,7)</f>
        <v>0</v>
      </c>
      <c r="G54" s="57">
        <f>COUNTIFS(Jun!$B:$B,2154,Jun!$J:$J,7)</f>
        <v>0</v>
      </c>
      <c r="H54" s="57">
        <f>COUNTIFS(Jul!$B:$B,2154,Jul!$J:$J,7)</f>
        <v>0</v>
      </c>
      <c r="I54" s="57">
        <f>COUNTIFS(Aug!$B:$B,2154,Aug!$J:$J,7)</f>
        <v>0</v>
      </c>
      <c r="J54" s="57">
        <f>COUNTIFS(Sep!$B:$B,2154,Sep!$J:$J,7)</f>
        <v>0</v>
      </c>
      <c r="K54" s="57">
        <f>COUNTIFS(Oct!$B:$B,2154,Oct!$J:$J,7)</f>
        <v>0</v>
      </c>
      <c r="L54" s="57">
        <f>COUNTIFS(Nov!$B:$B,2154,Nov!$J:$J,7)</f>
        <v>0</v>
      </c>
      <c r="M54" s="57">
        <v>0</v>
      </c>
    </row>
    <row r="55" spans="1:13" s="8" customFormat="1" ht="11.25" customHeight="1">
      <c r="A55" s="10" t="s">
        <v>29</v>
      </c>
      <c r="B55" s="59">
        <f>COUNTIFS(Jan!$B:$B,2154,Jan!$J:$J,8)</f>
        <v>0</v>
      </c>
      <c r="C55" s="59">
        <f>COUNTIFS(Feb!$B:$B,2154,Feb!$J:$J,8)</f>
        <v>0</v>
      </c>
      <c r="D55" s="59">
        <f>COUNTIFS(Mar!$B:$B,2154,Mar!$J:$J,8)</f>
        <v>0</v>
      </c>
      <c r="E55" s="59">
        <f>COUNTIFS(Apr!$B:$B,2154,Apr!$J:$J,8)</f>
        <v>0</v>
      </c>
      <c r="F55" s="59">
        <f>COUNTIFS(May!$B:$B,2154,May!$J:$J,8)</f>
        <v>0</v>
      </c>
      <c r="G55" s="59">
        <f>COUNTIFS(Jun!$B:$B,2154,Jun!$J:$J,8)</f>
        <v>0</v>
      </c>
      <c r="H55" s="59">
        <f>COUNTIFS(Jul!$B:$B,2154,Jul!$J:$J,8)</f>
        <v>0</v>
      </c>
      <c r="I55" s="59">
        <f>COUNTIFS(Aug!$B:$B,2154,Aug!$J:$J,8)</f>
        <v>0</v>
      </c>
      <c r="J55" s="59">
        <f>COUNTIFS(Sep!$B:$B,2154,Sep!$J:$J,8)</f>
        <v>0</v>
      </c>
      <c r="K55" s="59">
        <f>COUNTIFS(Oct!$B:$B,2154,Oct!$J:$J,8)</f>
        <v>0</v>
      </c>
      <c r="L55" s="59">
        <f>COUNTIFS(Nov!$B:$B,2154,Nov!$J:$J,8)</f>
        <v>0</v>
      </c>
      <c r="M55" s="59">
        <v>0</v>
      </c>
    </row>
    <row r="56" spans="1:13" s="8" customFormat="1" ht="11.25" customHeight="1">
      <c r="A56" s="10" t="s">
        <v>7</v>
      </c>
      <c r="B56" s="59">
        <f>COUNTIFS(Jan!$B:$B,2154,Jan!$J:$J,12)</f>
        <v>0</v>
      </c>
      <c r="C56" s="59">
        <f>COUNTIFS(Feb!$B:$B,2154,Feb!$J:$J,12)</f>
        <v>0</v>
      </c>
      <c r="D56" s="59">
        <f>COUNTIFS(Mar!$B:$B,2154,Mar!$J:$J,12)</f>
        <v>0</v>
      </c>
      <c r="E56" s="59">
        <f>COUNTIFS(Apr!$B:$B,2154,Apr!$J:$J,12)</f>
        <v>0</v>
      </c>
      <c r="F56" s="59">
        <f>COUNTIFS(May!$B:$B,2154,May!$J:$J,12)</f>
        <v>0</v>
      </c>
      <c r="G56" s="59">
        <f>COUNTIFS(Jun!$B:$B,2154,Jun!$J:$J,12)</f>
        <v>0</v>
      </c>
      <c r="H56" s="59">
        <f>COUNTIFS(Jul!$B:$B,2154,Jul!$J:$J,12)</f>
        <v>0</v>
      </c>
      <c r="I56" s="59">
        <f>COUNTIFS(Aug!$B:$B,2154,Aug!$J:$J,12)</f>
        <v>0</v>
      </c>
      <c r="J56" s="59">
        <f>COUNTIFS(Sep!$B:$B,2154,Sep!$J:$J,12)</f>
        <v>0</v>
      </c>
      <c r="K56" s="59">
        <f>COUNTIFS(Oct!$B:$B,2154,Oct!$J:$J,12)</f>
        <v>0</v>
      </c>
      <c r="L56" s="59">
        <f>COUNTIFS(Nov!$B:$B,2154,Nov!$J:$J,12)</f>
        <v>0</v>
      </c>
      <c r="M56" s="59">
        <v>0</v>
      </c>
    </row>
    <row r="57" spans="1:13" s="8" customFormat="1" ht="11.25" customHeight="1">
      <c r="A57" s="10" t="s">
        <v>10</v>
      </c>
      <c r="B57" s="59">
        <f>COUNTIFS(Jan!$B:$B,2154,Jan!$J:$J,5100)</f>
        <v>0</v>
      </c>
      <c r="C57" s="59">
        <f>COUNTIFS(Feb!$B:$B,2154,Feb!$J:$J,5100)</f>
        <v>0</v>
      </c>
      <c r="D57" s="59">
        <f>COUNTIFS(Mar!$B:$B,2154,Mar!$J:$J,5100)</f>
        <v>0</v>
      </c>
      <c r="E57" s="59">
        <f>COUNTIFS(Apr!$B:$B,2154,Apr!$J:$J,5100)</f>
        <v>0</v>
      </c>
      <c r="F57" s="59">
        <f>COUNTIFS(May!$B:$B,2154,May!$J:$J,5100)</f>
        <v>0</v>
      </c>
      <c r="G57" s="59">
        <f>COUNTIFS(Jun!$B:$B,2154,Jun!$J:$J,5100)</f>
        <v>0</v>
      </c>
      <c r="H57" s="59">
        <f>COUNTIFS(Jul!$B:$B,2154,Jul!$J:$J,5100)</f>
        <v>0</v>
      </c>
      <c r="I57" s="59">
        <f>COUNTIFS(Aug!$B:$B,2154,Aug!$J:$J,5100)</f>
        <v>0</v>
      </c>
      <c r="J57" s="59">
        <f>COUNTIFS(Sep!$B:$B,2154,Sep!$J:$J,5100)</f>
        <v>0</v>
      </c>
      <c r="K57" s="59">
        <f>COUNTIFS(Oct!$B:$B,2154,Oct!$J:$J,5100)</f>
        <v>0</v>
      </c>
      <c r="L57" s="59">
        <f>COUNTIFS(Nov!$B:$B,2154,Nov!$J:$J,5100)</f>
        <v>0</v>
      </c>
      <c r="M57" s="59">
        <v>0</v>
      </c>
    </row>
    <row r="58" spans="1:13" s="8" customFormat="1" ht="11.25" customHeight="1">
      <c r="A58" s="10" t="s">
        <v>36</v>
      </c>
      <c r="B58" s="59">
        <f>COUNTIFS(Jan!$B:$B,2154,Jan!$J:$J,6200)</f>
        <v>0</v>
      </c>
      <c r="C58" s="59">
        <f>COUNTIFS(Feb!$B:$B,2154,Feb!$J:$J,6200)</f>
        <v>0</v>
      </c>
      <c r="D58" s="59">
        <f>COUNTIFS(Mar!$B:$B,2154,Mar!$J:$J,6200)</f>
        <v>0</v>
      </c>
      <c r="E58" s="59">
        <f>COUNTIFS(Apr!$B:$B,2154,Apr!$J:$J,6200)</f>
        <v>0</v>
      </c>
      <c r="F58" s="59">
        <f>COUNTIFS(May!$B:$B,2154,May!$J:$J,6200)</f>
        <v>0</v>
      </c>
      <c r="G58" s="59">
        <f>COUNTIFS(Jun!$B:$B,2154,Jun!$J:$J,6200)</f>
        <v>0</v>
      </c>
      <c r="H58" s="59">
        <f>COUNTIFS(Jul!$B:$B,2154,Jul!$J:$J,6200)</f>
        <v>0</v>
      </c>
      <c r="I58" s="59">
        <f>COUNTIFS(Aug!$B:$B,2154,Aug!$J:$J,6200)</f>
        <v>0</v>
      </c>
      <c r="J58" s="59">
        <f>COUNTIFS(Sep!$B:$B,2154,Sep!$J:$J,6200)</f>
        <v>0</v>
      </c>
      <c r="K58" s="59">
        <f>COUNTIFS(Oct!$B:$B,2154,Oct!$J:$J,6200)</f>
        <v>0</v>
      </c>
      <c r="L58" s="59">
        <f>COUNTIFS(Nov!$B:$B,2154,Nov!$J:$J,6200)</f>
        <v>0</v>
      </c>
      <c r="M58" s="59">
        <v>0</v>
      </c>
    </row>
    <row r="59" spans="1:13" s="8" customFormat="1" ht="11.25" customHeight="1">
      <c r="A59" s="10" t="s">
        <v>145</v>
      </c>
      <c r="B59" s="59">
        <f>COUNTIFS(Jan!$B:$B,2154,Jan!$J:$J,28)</f>
        <v>0</v>
      </c>
      <c r="C59" s="59">
        <f>COUNTIFS(Feb!$B:$B,2154,Feb!$J:$J,28)</f>
        <v>0</v>
      </c>
      <c r="D59" s="59">
        <f>COUNTIFS(Mar!$B:$B,2154,Mar!$J:$J,28)</f>
        <v>0</v>
      </c>
      <c r="E59" s="59">
        <f>COUNTIFS(Apr!$B:$B,2154,Apr!$J:$J,28)</f>
        <v>0</v>
      </c>
      <c r="F59" s="59">
        <f>COUNTIFS(May!$B:$B,2154,May!$J:$J,28)</f>
        <v>0</v>
      </c>
      <c r="G59" s="59">
        <f>COUNTIFS(Jun!$B:$B,2154,Jun!$J:$J,28)</f>
        <v>0</v>
      </c>
      <c r="H59" s="59">
        <f>COUNTIFS(Jul!$B:$B,2154,Jul!$J:$J,28)</f>
        <v>0</v>
      </c>
      <c r="I59" s="59">
        <f>COUNTIFS(Aug!$B:$B,2154,Aug!$J:$J,28)</f>
        <v>0</v>
      </c>
      <c r="J59" s="59">
        <f>COUNTIFS(Sep!$B:$B,2154,Sep!$J:$J,28)</f>
        <v>0</v>
      </c>
      <c r="K59" s="59">
        <f>COUNTIFS(Oct!$B:$B,2154,Oct!$J:$J,28)</f>
        <v>0</v>
      </c>
      <c r="L59" s="59">
        <f>COUNTIFS(Nov!$B:$B,2154,Nov!$J:$J,28)</f>
        <v>0</v>
      </c>
      <c r="M59" s="59">
        <v>0</v>
      </c>
    </row>
    <row r="60" spans="1:13" s="8" customFormat="1" ht="11.25" customHeight="1">
      <c r="A60" s="10" t="s">
        <v>38</v>
      </c>
      <c r="B60" s="59">
        <f>COUNTIFS(Jan!$B:$B,2154,Jan!$J:$J,6100)</f>
        <v>0</v>
      </c>
      <c r="C60" s="59">
        <f>COUNTIFS(Feb!$B:$B,2154,Feb!$J:$J,6100)</f>
        <v>0</v>
      </c>
      <c r="D60" s="59">
        <f>COUNTIFS(Mar!$B:$B,2154,Mar!$J:$J,6100)</f>
        <v>0</v>
      </c>
      <c r="E60" s="59">
        <f>COUNTIFS(Apr!$B:$B,2154,Apr!$J:$J,6100)</f>
        <v>0</v>
      </c>
      <c r="F60" s="59">
        <f>COUNTIFS(May!$B:$B,2154,May!$J:$J,6100)</f>
        <v>0</v>
      </c>
      <c r="G60" s="59">
        <f>COUNTIFS(Jun!$B:$B,2154,Jun!$J:$J,6100)</f>
        <v>0</v>
      </c>
      <c r="H60" s="59">
        <f>COUNTIFS(Jul!$B:$B,2154,Jul!$J:$J,6100)</f>
        <v>0</v>
      </c>
      <c r="I60" s="59">
        <f>COUNTIFS(Aug!$B:$B,2154,Aug!$J:$J,6100)</f>
        <v>0</v>
      </c>
      <c r="J60" s="59">
        <f>COUNTIFS(Sep!$B:$B,2154,Sep!$J:$J,6100)</f>
        <v>0</v>
      </c>
      <c r="K60" s="59">
        <f>COUNTIFS(Oct!$B:$B,2154,Oct!$J:$J,6100)</f>
        <v>0</v>
      </c>
      <c r="L60" s="59">
        <f>COUNTIFS(Nov!$B:$B,2154,Nov!$J:$J,6100)</f>
        <v>0</v>
      </c>
      <c r="M60" s="59">
        <v>0</v>
      </c>
    </row>
    <row r="61" spans="1:13" s="8" customFormat="1" ht="11.25" customHeight="1">
      <c r="A61" s="10" t="s">
        <v>9</v>
      </c>
      <c r="B61" s="59">
        <f>COUNTIFS(Jan!$B:$B,2154,Jan!$J:$J,6)</f>
        <v>0</v>
      </c>
      <c r="C61" s="59">
        <f>COUNTIFS(Feb!$B:$B,2154,Feb!$J:$J,6)</f>
        <v>0</v>
      </c>
      <c r="D61" s="59">
        <f>COUNTIFS(Mar!$B:$B,2154,Mar!$J:$J,6)</f>
        <v>0</v>
      </c>
      <c r="E61" s="59">
        <f>COUNTIFS(Apr!$B:$B,2154,Apr!$J:$J,6)</f>
        <v>0</v>
      </c>
      <c r="F61" s="59">
        <f>COUNTIFS(May!$B:$B,2154,May!$J:$J,6)</f>
        <v>0</v>
      </c>
      <c r="G61" s="59">
        <f>COUNTIFS(Jun!$B:$B,2154,Jun!$J:$J,6)</f>
        <v>0</v>
      </c>
      <c r="H61" s="59">
        <f>COUNTIFS(Jul!$B:$B,2154,Jul!$J:$J,6)</f>
        <v>0</v>
      </c>
      <c r="I61" s="59">
        <f>COUNTIFS(Aug!$B:$B,2154,Aug!$J:$J,6)</f>
        <v>0</v>
      </c>
      <c r="J61" s="59">
        <f>COUNTIFS(Sep!$B:$B,2154,Sep!$J:$J,6)</f>
        <v>0</v>
      </c>
      <c r="K61" s="59">
        <f>COUNTIFS(Oct!$B:$B,2154,Oct!$J:$J,6)</f>
        <v>0</v>
      </c>
      <c r="L61" s="59">
        <f>COUNTIFS(Nov!$B:$B,2154,Nov!$J:$J,6)</f>
        <v>0</v>
      </c>
      <c r="M61" s="59">
        <v>0</v>
      </c>
    </row>
    <row r="62" spans="1:13" s="8" customFormat="1" ht="11.25" customHeight="1">
      <c r="A62" s="10" t="s">
        <v>8</v>
      </c>
      <c r="B62" s="59">
        <f>COUNTIFS(Jan!$B:$B,2154,Jan!$J:$J,4)</f>
        <v>0</v>
      </c>
      <c r="C62" s="59">
        <f>COUNTIFS(Feb!$B:$B,2154,Feb!$J:$J,4)</f>
        <v>0</v>
      </c>
      <c r="D62" s="59">
        <f>COUNTIFS(Mar!$B:$B,2154,Mar!$J:$J,4)</f>
        <v>0</v>
      </c>
      <c r="E62" s="59">
        <f>COUNTIFS(Apr!$B:$B,2154,Apr!$J:$J,4)</f>
        <v>0</v>
      </c>
      <c r="F62" s="59">
        <f>COUNTIFS(May!$B:$B,2154,May!$J:$J,4)</f>
        <v>0</v>
      </c>
      <c r="G62" s="59">
        <f>COUNTIFS(Jun!$B:$B,2154,Jun!$J:$J,4)</f>
        <v>0</v>
      </c>
      <c r="H62" s="59">
        <f>COUNTIFS(Jul!$B:$B,2154,Jul!$J:$J,4)</f>
        <v>0</v>
      </c>
      <c r="I62" s="59">
        <f>COUNTIFS(Aug!$B:$B,2154,Aug!$J:$J,4)</f>
        <v>0</v>
      </c>
      <c r="J62" s="59">
        <f>COUNTIFS(Sep!$B:$B,2154,Sep!$J:$J,4)</f>
        <v>0</v>
      </c>
      <c r="K62" s="59">
        <f>COUNTIFS(Oct!$B:$B,2154,Oct!$J:$J,4)</f>
        <v>0</v>
      </c>
      <c r="L62" s="59">
        <f>COUNTIFS(Nov!$B:$B,2154,Nov!$J:$J,4)</f>
        <v>0</v>
      </c>
      <c r="M62" s="59">
        <v>0</v>
      </c>
    </row>
    <row r="63" spans="1:13" s="8" customFormat="1" ht="11.25" customHeight="1">
      <c r="A63" s="10" t="s">
        <v>6</v>
      </c>
      <c r="B63" s="59">
        <f>COUNTIFS(Jan!$B:$B,2154,Jan!$J:$J,5)</f>
        <v>0</v>
      </c>
      <c r="C63" s="59">
        <f>COUNTIFS(Feb!$B:$B,2154,Feb!$J:$J,5)</f>
        <v>0</v>
      </c>
      <c r="D63" s="59">
        <f>COUNTIFS(Mar!$B:$B,2154,Mar!$J:$J,5)</f>
        <v>0</v>
      </c>
      <c r="E63" s="59">
        <f>COUNTIFS(Apr!$B:$B,2154,Apr!$J:$J,5)</f>
        <v>0</v>
      </c>
      <c r="F63" s="59">
        <f>COUNTIFS(May!$B:$B,2154,May!$J:$J,5)</f>
        <v>0</v>
      </c>
      <c r="G63" s="59">
        <f>COUNTIFS(Jun!$B:$B,2154,Jun!$J:$J,5)</f>
        <v>0</v>
      </c>
      <c r="H63" s="59">
        <f>COUNTIFS(Jul!$B:$B,2154,Jul!$J:$J,5)</f>
        <v>0</v>
      </c>
      <c r="I63" s="59">
        <f>COUNTIFS(Aug!$B:$B,2154,Aug!$J:$J,5)</f>
        <v>0</v>
      </c>
      <c r="J63" s="59">
        <f>COUNTIFS(Sep!$B:$B,2154,Sep!$J:$J,5)</f>
        <v>0</v>
      </c>
      <c r="K63" s="59">
        <f>COUNTIFS(Oct!$B:$B,2154,Oct!$J:$J,5)</f>
        <v>0</v>
      </c>
      <c r="L63" s="59">
        <f>COUNTIFS(Nov!$B:$B,2154,Nov!$J:$J,5)</f>
        <v>0</v>
      </c>
      <c r="M63" s="59">
        <v>0</v>
      </c>
    </row>
    <row r="64" spans="1:13" s="8" customFormat="1" ht="11.25" customHeight="1">
      <c r="A64" s="52" t="s">
        <v>141</v>
      </c>
      <c r="B64" s="69">
        <f>COUNTIFS(Jan!$B:$B,2154,Jan!$F:$F,456)</f>
        <v>0</v>
      </c>
      <c r="C64" s="69">
        <f>COUNTIFS(Feb!$B:$B,2154,Feb!$F:$F,456)</f>
        <v>0</v>
      </c>
      <c r="D64" s="69">
        <f>COUNTIFS(Mar!$B:$B,2154,Mar!$F:$F,456)</f>
        <v>0</v>
      </c>
      <c r="E64" s="69">
        <f>COUNTIFS(Apr!$B:$B,2154,Apr!$F:$F,456)</f>
        <v>0</v>
      </c>
      <c r="F64" s="69">
        <f>COUNTIFS(May!$B:$B,2154,May!$F:$F,456)</f>
        <v>0</v>
      </c>
      <c r="G64" s="69">
        <f>COUNTIFS(Jun!$B:$B,2154,Jun!$F:$F,456)</f>
        <v>0</v>
      </c>
      <c r="H64" s="69">
        <f>COUNTIFS(Jul!$B:$B,2154,Jul!$F:$F,456)</f>
        <v>0</v>
      </c>
      <c r="I64" s="69">
        <f>COUNTIFS(Aug!$B:$B,2154,Aug!$F:$F,456)</f>
        <v>0</v>
      </c>
      <c r="J64" s="69">
        <f>COUNTIFS(Sep!$B:$B,2154,Sep!$F:$F,456)</f>
        <v>0</v>
      </c>
      <c r="K64" s="69">
        <f>COUNTIFS(Oct!$B:$B,2154,Oct!$F:$F,456)</f>
        <v>0</v>
      </c>
      <c r="L64" s="69">
        <f>COUNTIFS(Nov!$B:$B,2154,Nov!$F:$F,456)</f>
        <v>0</v>
      </c>
      <c r="M64" s="69">
        <v>0</v>
      </c>
    </row>
    <row r="65" spans="1:13" s="8" customFormat="1" ht="11.25" customHeight="1" thickBot="1">
      <c r="A65" s="12" t="s">
        <v>16</v>
      </c>
      <c r="B65" s="70">
        <f>SUM(B54:B64)</f>
        <v>0</v>
      </c>
      <c r="C65" s="70">
        <f t="shared" ref="C65:M65" si="12">SUM(C54:C64)</f>
        <v>0</v>
      </c>
      <c r="D65" s="70">
        <f t="shared" si="12"/>
        <v>0</v>
      </c>
      <c r="E65" s="70">
        <f t="shared" si="12"/>
        <v>0</v>
      </c>
      <c r="F65" s="70">
        <f t="shared" si="12"/>
        <v>0</v>
      </c>
      <c r="G65" s="70">
        <f t="shared" si="12"/>
        <v>0</v>
      </c>
      <c r="H65" s="70">
        <f t="shared" si="12"/>
        <v>0</v>
      </c>
      <c r="I65" s="70">
        <f t="shared" si="12"/>
        <v>0</v>
      </c>
      <c r="J65" s="70">
        <f t="shared" si="12"/>
        <v>0</v>
      </c>
      <c r="K65" s="70">
        <f t="shared" si="12"/>
        <v>0</v>
      </c>
      <c r="L65" s="165">
        <f t="shared" si="12"/>
        <v>0</v>
      </c>
      <c r="M65" s="170">
        <f t="shared" si="12"/>
        <v>0</v>
      </c>
    </row>
    <row r="66" spans="1:13" s="8" customFormat="1" ht="15.75" customHeight="1">
      <c r="A66" s="6"/>
      <c r="B66" s="7"/>
      <c r="C66" s="7"/>
      <c r="D66" s="7"/>
      <c r="E66" s="7"/>
      <c r="F66" s="7"/>
      <c r="G66" s="7"/>
      <c r="H66" s="7"/>
      <c r="I66" s="7"/>
      <c r="J66" s="7"/>
      <c r="K66" s="7"/>
      <c r="L66" s="7"/>
      <c r="M66" s="7"/>
    </row>
    <row r="67" spans="1:13" ht="12" customHeight="1">
      <c r="A67" s="6"/>
      <c r="B67" s="7"/>
      <c r="C67" s="7"/>
      <c r="D67" s="7"/>
      <c r="E67" s="7"/>
      <c r="F67" s="7"/>
      <c r="G67" s="7"/>
      <c r="H67" s="7"/>
      <c r="I67" s="7"/>
      <c r="J67" s="7"/>
      <c r="K67" s="7"/>
      <c r="L67" s="7"/>
      <c r="M67" s="7"/>
    </row>
  </sheetData>
  <phoneticPr fontId="0" type="noConversion"/>
  <printOptions horizontalCentered="1" verticalCentered="1"/>
  <pageMargins left="0.14000000000000001" right="0.16" top="0.25" bottom="0.5" header="0.5" footer="0.25"/>
  <pageSetup scale="95" firstPageNumber="3" orientation="portrait" useFirstPageNumber="1" r:id="rId1"/>
  <headerFooter alignWithMargins="0">
    <oddFooter>&amp;R33 of 51</oddFooter>
  </headerFooter>
  <ignoredErrors>
    <ignoredError sqref="M32 M52 M65" formulaRange="1"/>
  </ignoredErrors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67"/>
  <sheetViews>
    <sheetView view="pageBreakPreview" topLeftCell="A16" zoomScale="90" zoomScaleNormal="100" zoomScaleSheetLayoutView="90" workbookViewId="0">
      <selection activeCell="M47" sqref="M47"/>
    </sheetView>
  </sheetViews>
  <sheetFormatPr defaultRowHeight="12.75"/>
  <cols>
    <col min="1" max="1" width="22.85546875" style="1" customWidth="1"/>
    <col min="2" max="13" width="7.140625" style="1" customWidth="1"/>
    <col min="14" max="14" width="4.42578125" style="1" customWidth="1"/>
    <col min="15" max="16384" width="9.140625" style="1"/>
  </cols>
  <sheetData>
    <row r="1" spans="1:21" ht="18" customHeight="1">
      <c r="A1" s="130"/>
      <c r="B1" s="131"/>
      <c r="C1" s="131"/>
      <c r="D1" s="131"/>
      <c r="E1" s="131"/>
      <c r="F1" s="131"/>
      <c r="G1" s="131"/>
      <c r="H1" s="130"/>
      <c r="I1" s="131"/>
      <c r="J1" s="131"/>
      <c r="K1" s="131"/>
      <c r="L1" s="130"/>
      <c r="M1" s="143" t="s">
        <v>22</v>
      </c>
    </row>
    <row r="2" spans="1:21" ht="18" customHeight="1">
      <c r="A2" s="130"/>
      <c r="B2" s="135"/>
      <c r="C2" s="135"/>
      <c r="D2" s="135"/>
      <c r="E2" s="135"/>
      <c r="F2" s="135"/>
      <c r="G2" s="135"/>
      <c r="H2" s="130"/>
      <c r="I2" s="135"/>
      <c r="J2" s="135"/>
      <c r="K2" s="135"/>
      <c r="L2" s="130"/>
      <c r="M2" s="155" t="s">
        <v>13</v>
      </c>
    </row>
    <row r="3" spans="1:21" s="5" customFormat="1" ht="18" customHeight="1">
      <c r="A3" s="133"/>
      <c r="B3" s="133"/>
      <c r="C3" s="133"/>
      <c r="D3" s="133"/>
      <c r="E3" s="133"/>
      <c r="F3" s="133"/>
      <c r="G3" s="133"/>
      <c r="H3" s="133"/>
      <c r="I3" s="133"/>
      <c r="J3" s="136"/>
      <c r="K3" s="136"/>
      <c r="L3" s="133"/>
      <c r="M3" s="155" t="s">
        <v>74</v>
      </c>
      <c r="N3" s="134"/>
      <c r="O3" s="134"/>
      <c r="P3" s="134"/>
      <c r="Q3" s="134"/>
      <c r="R3" s="134"/>
      <c r="S3" s="134"/>
      <c r="T3" s="134"/>
      <c r="U3" s="134"/>
    </row>
    <row r="4" spans="1:21" s="8" customFormat="1" ht="6.75" customHeight="1" thickBot="1">
      <c r="A4" s="38"/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</row>
    <row r="5" spans="1:21" s="8" customFormat="1" ht="11.25" customHeight="1" thickBot="1">
      <c r="A5" s="53" t="s">
        <v>19</v>
      </c>
      <c r="B5" s="50">
        <v>41275</v>
      </c>
      <c r="C5" s="47">
        <v>41306</v>
      </c>
      <c r="D5" s="47">
        <v>41334</v>
      </c>
      <c r="E5" s="47">
        <v>41365</v>
      </c>
      <c r="F5" s="47">
        <v>41395</v>
      </c>
      <c r="G5" s="47">
        <v>41426</v>
      </c>
      <c r="H5" s="47">
        <v>41456</v>
      </c>
      <c r="I5" s="47">
        <v>41487</v>
      </c>
      <c r="J5" s="47">
        <v>41518</v>
      </c>
      <c r="K5" s="47">
        <v>41548</v>
      </c>
      <c r="L5" s="47">
        <v>41579</v>
      </c>
      <c r="M5" s="51">
        <v>41609</v>
      </c>
    </row>
    <row r="6" spans="1:21" s="8" customFormat="1" ht="11.25" customHeight="1">
      <c r="A6" s="41" t="s">
        <v>129</v>
      </c>
      <c r="B6" s="57">
        <f t="shared" ref="B6:M6" si="0">B32</f>
        <v>24</v>
      </c>
      <c r="C6" s="57">
        <f t="shared" si="0"/>
        <v>33</v>
      </c>
      <c r="D6" s="57">
        <f t="shared" si="0"/>
        <v>33</v>
      </c>
      <c r="E6" s="57">
        <f t="shared" si="0"/>
        <v>35</v>
      </c>
      <c r="F6" s="57">
        <f t="shared" si="0"/>
        <v>35</v>
      </c>
      <c r="G6" s="57">
        <f t="shared" si="0"/>
        <v>37</v>
      </c>
      <c r="H6" s="57">
        <f t="shared" si="0"/>
        <v>35</v>
      </c>
      <c r="I6" s="57">
        <f t="shared" si="0"/>
        <v>46</v>
      </c>
      <c r="J6" s="57">
        <f t="shared" si="0"/>
        <v>53</v>
      </c>
      <c r="K6" s="57">
        <f t="shared" si="0"/>
        <v>32</v>
      </c>
      <c r="L6" s="156">
        <f t="shared" si="0"/>
        <v>37</v>
      </c>
      <c r="M6" s="168">
        <f t="shared" si="0"/>
        <v>40</v>
      </c>
    </row>
    <row r="7" spans="1:21" s="8" customFormat="1" ht="11.25" customHeight="1">
      <c r="A7" s="42" t="s">
        <v>18</v>
      </c>
      <c r="B7" s="57">
        <f t="shared" ref="B7:M7" si="1">SUM(B10:B12)</f>
        <v>196</v>
      </c>
      <c r="C7" s="57">
        <f t="shared" si="1"/>
        <v>239</v>
      </c>
      <c r="D7" s="57">
        <f t="shared" si="1"/>
        <v>265</v>
      </c>
      <c r="E7" s="57">
        <f t="shared" si="1"/>
        <v>250</v>
      </c>
      <c r="F7" s="57">
        <f t="shared" si="1"/>
        <v>299</v>
      </c>
      <c r="G7" s="57">
        <f t="shared" si="1"/>
        <v>255</v>
      </c>
      <c r="H7" s="57">
        <f t="shared" si="1"/>
        <v>382</v>
      </c>
      <c r="I7" s="57">
        <f t="shared" si="1"/>
        <v>407</v>
      </c>
      <c r="J7" s="57">
        <f t="shared" si="1"/>
        <v>398</v>
      </c>
      <c r="K7" s="57">
        <f t="shared" si="1"/>
        <v>295</v>
      </c>
      <c r="L7" s="156">
        <f t="shared" si="1"/>
        <v>337</v>
      </c>
      <c r="M7" s="171">
        <f t="shared" si="1"/>
        <v>410</v>
      </c>
    </row>
    <row r="8" spans="1:21" s="8" customFormat="1" ht="11.25" customHeight="1" thickBot="1">
      <c r="A8" s="43" t="s">
        <v>14</v>
      </c>
      <c r="B8" s="58">
        <f t="shared" ref="B8:M8" si="2">SUM(B6:B7)</f>
        <v>220</v>
      </c>
      <c r="C8" s="58">
        <f t="shared" si="2"/>
        <v>272</v>
      </c>
      <c r="D8" s="58">
        <f t="shared" si="2"/>
        <v>298</v>
      </c>
      <c r="E8" s="58">
        <f t="shared" si="2"/>
        <v>285</v>
      </c>
      <c r="F8" s="58">
        <f t="shared" si="2"/>
        <v>334</v>
      </c>
      <c r="G8" s="58">
        <f t="shared" si="2"/>
        <v>292</v>
      </c>
      <c r="H8" s="58">
        <f t="shared" si="2"/>
        <v>417</v>
      </c>
      <c r="I8" s="58">
        <f t="shared" si="2"/>
        <v>453</v>
      </c>
      <c r="J8" s="58">
        <f t="shared" si="2"/>
        <v>451</v>
      </c>
      <c r="K8" s="58">
        <f t="shared" si="2"/>
        <v>327</v>
      </c>
      <c r="L8" s="157">
        <f t="shared" si="2"/>
        <v>374</v>
      </c>
      <c r="M8" s="172">
        <f t="shared" si="2"/>
        <v>450</v>
      </c>
    </row>
    <row r="9" spans="1:21" s="8" customFormat="1" ht="11.25" customHeight="1" thickBot="1">
      <c r="A9" s="54" t="s">
        <v>18</v>
      </c>
      <c r="B9" s="50">
        <v>41275</v>
      </c>
      <c r="C9" s="47">
        <v>41306</v>
      </c>
      <c r="D9" s="47">
        <v>41334</v>
      </c>
      <c r="E9" s="47">
        <v>41365</v>
      </c>
      <c r="F9" s="47">
        <v>41395</v>
      </c>
      <c r="G9" s="47">
        <v>41426</v>
      </c>
      <c r="H9" s="47">
        <v>41456</v>
      </c>
      <c r="I9" s="47">
        <v>41487</v>
      </c>
      <c r="J9" s="47">
        <v>41518</v>
      </c>
      <c r="K9" s="47">
        <v>41548</v>
      </c>
      <c r="L9" s="47">
        <v>41579</v>
      </c>
      <c r="M9" s="51">
        <v>41609</v>
      </c>
    </row>
    <row r="10" spans="1:21" s="8" customFormat="1" ht="11.25" customHeight="1">
      <c r="A10" s="9" t="s">
        <v>128</v>
      </c>
      <c r="B10" s="57">
        <f t="shared" ref="B10:M10" si="3">B52</f>
        <v>96</v>
      </c>
      <c r="C10" s="57">
        <f t="shared" si="3"/>
        <v>110</v>
      </c>
      <c r="D10" s="57">
        <f t="shared" si="3"/>
        <v>129</v>
      </c>
      <c r="E10" s="57">
        <f t="shared" si="3"/>
        <v>131</v>
      </c>
      <c r="F10" s="57">
        <f t="shared" si="3"/>
        <v>140</v>
      </c>
      <c r="G10" s="59">
        <f t="shared" si="3"/>
        <v>135</v>
      </c>
      <c r="H10" s="59">
        <f t="shared" si="3"/>
        <v>232</v>
      </c>
      <c r="I10" s="59">
        <f t="shared" si="3"/>
        <v>219</v>
      </c>
      <c r="J10" s="59">
        <f t="shared" si="3"/>
        <v>219</v>
      </c>
      <c r="K10" s="59">
        <f t="shared" si="3"/>
        <v>110</v>
      </c>
      <c r="L10" s="158">
        <f t="shared" si="3"/>
        <v>140</v>
      </c>
      <c r="M10" s="168">
        <f t="shared" si="3"/>
        <v>193</v>
      </c>
    </row>
    <row r="11" spans="1:21" s="8" customFormat="1" ht="11.25" customHeight="1">
      <c r="A11" s="9" t="s">
        <v>127</v>
      </c>
      <c r="B11" s="59">
        <f t="shared" ref="B11:M11" si="4">B65</f>
        <v>21</v>
      </c>
      <c r="C11" s="59">
        <f t="shared" si="4"/>
        <v>16</v>
      </c>
      <c r="D11" s="59">
        <f t="shared" si="4"/>
        <v>11</v>
      </c>
      <c r="E11" s="59">
        <f t="shared" si="4"/>
        <v>13</v>
      </c>
      <c r="F11" s="59">
        <f t="shared" si="4"/>
        <v>12</v>
      </c>
      <c r="G11" s="59">
        <f t="shared" si="4"/>
        <v>10</v>
      </c>
      <c r="H11" s="59">
        <f t="shared" si="4"/>
        <v>9</v>
      </c>
      <c r="I11" s="59">
        <f t="shared" si="4"/>
        <v>15</v>
      </c>
      <c r="J11" s="59">
        <f t="shared" si="4"/>
        <v>19</v>
      </c>
      <c r="K11" s="59">
        <f t="shared" si="4"/>
        <v>25</v>
      </c>
      <c r="L11" s="158">
        <f t="shared" si="4"/>
        <v>29</v>
      </c>
      <c r="M11" s="169">
        <f t="shared" si="4"/>
        <v>45</v>
      </c>
    </row>
    <row r="12" spans="1:21" s="8" customFormat="1" ht="11.25" customHeight="1" thickBot="1">
      <c r="A12" s="2" t="s">
        <v>12</v>
      </c>
      <c r="B12" s="60">
        <f>COUNTIFS(Jan!$B:$B,2161,Jan!$F:$F,800)</f>
        <v>79</v>
      </c>
      <c r="C12" s="60">
        <v>113</v>
      </c>
      <c r="D12" s="60">
        <v>125</v>
      </c>
      <c r="E12" s="60">
        <v>106</v>
      </c>
      <c r="F12" s="60">
        <v>147</v>
      </c>
      <c r="G12" s="60">
        <v>110</v>
      </c>
      <c r="H12" s="60">
        <v>141</v>
      </c>
      <c r="I12" s="60">
        <v>173</v>
      </c>
      <c r="J12" s="60">
        <v>160</v>
      </c>
      <c r="K12" s="60">
        <v>160</v>
      </c>
      <c r="L12" s="60">
        <v>168</v>
      </c>
      <c r="M12" s="60">
        <v>172</v>
      </c>
    </row>
    <row r="13" spans="1:21" s="8" customFormat="1" ht="5.0999999999999996" customHeight="1" thickBot="1">
      <c r="A13" s="3"/>
      <c r="B13" s="17"/>
      <c r="C13" s="17"/>
      <c r="D13" s="17"/>
      <c r="E13" s="17"/>
      <c r="F13" s="17"/>
      <c r="G13" s="17"/>
      <c r="H13" s="17"/>
      <c r="I13" s="17"/>
      <c r="J13" s="17"/>
      <c r="K13" s="17"/>
      <c r="L13" s="17"/>
      <c r="M13" s="147"/>
    </row>
    <row r="14" spans="1:21" s="16" customFormat="1" ht="11.25" customHeight="1">
      <c r="A14" s="44" t="s">
        <v>131</v>
      </c>
      <c r="B14" s="121">
        <v>14134</v>
      </c>
      <c r="C14" s="122">
        <v>18292</v>
      </c>
      <c r="D14" s="122">
        <v>19467</v>
      </c>
      <c r="E14" s="122">
        <v>17881</v>
      </c>
      <c r="F14" s="122">
        <v>20486</v>
      </c>
      <c r="G14" s="120">
        <v>18735</v>
      </c>
      <c r="H14" s="119">
        <v>19830</v>
      </c>
      <c r="I14" s="61">
        <v>19475</v>
      </c>
      <c r="J14" s="61">
        <v>21389</v>
      </c>
      <c r="K14" s="118">
        <v>20630</v>
      </c>
      <c r="L14" s="160">
        <v>17573</v>
      </c>
      <c r="M14" s="173">
        <v>20619</v>
      </c>
      <c r="O14" s="22"/>
      <c r="P14" s="22"/>
      <c r="Q14" s="22"/>
    </row>
    <row r="15" spans="1:21" s="8" customFormat="1" ht="11.25" customHeight="1">
      <c r="A15" s="45" t="s">
        <v>132</v>
      </c>
      <c r="B15" s="62">
        <f>IFERROR((SUMIFS(Jan!$N:$N,Jan!$J:$J,1,Jan!$B:$B,2161)+SUMIFS(Jan!$N:$N,Jan!$D:$D,"&gt;1",Jan!$B:$B,2161))/(COUNTIFS(Jan!$J:$J,1,Jan!$B:$B,2161)+COUNTIFS(Jan!$D:$D,"&gt;1",Jan!$B:$B,2161)),"")</f>
        <v>26.510416666666668</v>
      </c>
      <c r="C15" s="62">
        <v>26.76</v>
      </c>
      <c r="D15" s="62">
        <v>26.28</v>
      </c>
      <c r="E15" s="62">
        <v>26.08</v>
      </c>
      <c r="F15" s="62">
        <v>25.72</v>
      </c>
      <c r="G15" s="62">
        <v>25.68</v>
      </c>
      <c r="H15" s="62">
        <v>26.24</v>
      </c>
      <c r="I15" s="62">
        <v>25.77</v>
      </c>
      <c r="J15" s="62">
        <v>25.98</v>
      </c>
      <c r="K15" s="62">
        <v>25.86</v>
      </c>
      <c r="L15" s="62">
        <v>25.9</v>
      </c>
      <c r="M15" s="62">
        <v>26.23</v>
      </c>
      <c r="N15" s="15"/>
      <c r="O15" s="1"/>
      <c r="P15" s="1"/>
      <c r="Q15" s="1"/>
    </row>
    <row r="16" spans="1:21" s="8" customFormat="1" ht="11.25" customHeight="1">
      <c r="A16" s="45" t="s">
        <v>133</v>
      </c>
      <c r="B16" s="62">
        <f>IFERROR(AVERAGEIFS(Jan!$N:$N,Jan!$F:$F,800,Jan!$B:$B,2161),"")</f>
        <v>26.822784810126581</v>
      </c>
      <c r="C16" s="62">
        <v>26.6</v>
      </c>
      <c r="D16" s="62">
        <v>26.23</v>
      </c>
      <c r="E16" s="62">
        <v>25.52</v>
      </c>
      <c r="F16" s="62">
        <v>25.33</v>
      </c>
      <c r="G16" s="62">
        <v>24.5</v>
      </c>
      <c r="H16" s="62">
        <v>25.7</v>
      </c>
      <c r="I16" s="62">
        <v>25.84</v>
      </c>
      <c r="J16" s="62">
        <v>25.91</v>
      </c>
      <c r="K16" s="62">
        <v>25.04</v>
      </c>
      <c r="L16" s="62">
        <v>26.17</v>
      </c>
      <c r="M16" s="62">
        <v>26.22</v>
      </c>
      <c r="O16" s="1"/>
      <c r="P16" s="1"/>
      <c r="Q16" s="1"/>
    </row>
    <row r="17" spans="1:17" s="8" customFormat="1" ht="11.25" customHeight="1">
      <c r="A17" s="45" t="s">
        <v>134</v>
      </c>
      <c r="B17" s="63">
        <f>IFERROR((SUMIFS(Jan!$M:$M,Jan!$J:$J,1,Jan!$B:$B,2161)+SUMIFS(Jan!$M:$M,Jan!$D:$D,"&gt;1",Jan!$B:$B,2161))/(COUNTIFS(Jan!$J:$J,1,Jan!$B:$B,2161)+COUNTIFS(Jan!$D:$D,"&gt;1",Jan!$B:$B,2161)),"")</f>
        <v>0.81874999999999998</v>
      </c>
      <c r="C17" s="63">
        <v>0.99</v>
      </c>
      <c r="D17" s="63">
        <v>1.41</v>
      </c>
      <c r="E17" s="63">
        <v>1.54</v>
      </c>
      <c r="F17" s="63">
        <v>0.65</v>
      </c>
      <c r="G17" s="63">
        <v>1.08</v>
      </c>
      <c r="H17" s="63">
        <v>1.1499999999999999</v>
      </c>
      <c r="I17" s="63">
        <v>1.45</v>
      </c>
      <c r="J17" s="63">
        <v>0.95</v>
      </c>
      <c r="K17" s="63">
        <v>0.96</v>
      </c>
      <c r="L17" s="63">
        <v>1.03</v>
      </c>
      <c r="M17" s="63">
        <v>1.28</v>
      </c>
      <c r="O17" s="1"/>
      <c r="P17" s="1"/>
      <c r="Q17" s="1"/>
    </row>
    <row r="18" spans="1:17" s="8" customFormat="1" ht="11.25" customHeight="1" thickBot="1">
      <c r="A18" s="43" t="s">
        <v>135</v>
      </c>
      <c r="B18" s="64">
        <f>IFERROR(AVERAGEIFS(Jan!$M:$M,Jan!$F:$F,800,Jan!$B:$B,2161),"")</f>
        <v>0.88860759493670871</v>
      </c>
      <c r="C18" s="64">
        <v>0.87</v>
      </c>
      <c r="D18" s="64">
        <v>1.32</v>
      </c>
      <c r="E18" s="64">
        <v>0.73</v>
      </c>
      <c r="F18" s="64">
        <v>1.29</v>
      </c>
      <c r="G18" s="64">
        <v>0.83</v>
      </c>
      <c r="H18" s="64">
        <v>0.95</v>
      </c>
      <c r="I18" s="64">
        <v>0.96</v>
      </c>
      <c r="J18" s="64">
        <v>0.81</v>
      </c>
      <c r="K18" s="64">
        <v>0.92</v>
      </c>
      <c r="L18" s="64">
        <v>0.84</v>
      </c>
      <c r="M18" s="64">
        <v>0.93</v>
      </c>
    </row>
    <row r="19" spans="1:17" s="8" customFormat="1" ht="5.0999999999999996" customHeight="1" thickBot="1">
      <c r="A19" s="3"/>
      <c r="B19" s="17"/>
      <c r="C19" s="17"/>
      <c r="D19" s="17"/>
      <c r="E19" s="17"/>
      <c r="F19" s="17"/>
      <c r="G19" s="17"/>
      <c r="H19" s="17"/>
      <c r="I19" s="17"/>
      <c r="J19" s="17"/>
      <c r="K19" s="17"/>
      <c r="L19" s="17"/>
      <c r="M19" s="147"/>
    </row>
    <row r="20" spans="1:17" s="8" customFormat="1" ht="11.25" customHeight="1">
      <c r="A20" s="42" t="s">
        <v>52</v>
      </c>
      <c r="B20" s="65">
        <v>31</v>
      </c>
      <c r="C20" s="65">
        <v>28</v>
      </c>
      <c r="D20" s="65">
        <v>31</v>
      </c>
      <c r="E20" s="65">
        <v>30</v>
      </c>
      <c r="F20" s="65">
        <v>31</v>
      </c>
      <c r="G20" s="65">
        <v>30</v>
      </c>
      <c r="H20" s="65">
        <v>31</v>
      </c>
      <c r="I20" s="65">
        <v>31</v>
      </c>
      <c r="J20" s="65">
        <v>30</v>
      </c>
      <c r="K20" s="65">
        <v>31</v>
      </c>
      <c r="L20" s="161">
        <v>30</v>
      </c>
      <c r="M20" s="174">
        <v>31</v>
      </c>
    </row>
    <row r="21" spans="1:17" s="8" customFormat="1" ht="11.25" customHeight="1">
      <c r="A21" s="9" t="s">
        <v>15</v>
      </c>
      <c r="B21" s="66">
        <f>B12/B20</f>
        <v>2.5483870967741935</v>
      </c>
      <c r="C21" s="66">
        <f t="shared" ref="C21:M21" si="5">C12/C20</f>
        <v>4.0357142857142856</v>
      </c>
      <c r="D21" s="66">
        <f>D12/D20</f>
        <v>4.032258064516129</v>
      </c>
      <c r="E21" s="66">
        <f>E12/E20</f>
        <v>3.5333333333333332</v>
      </c>
      <c r="F21" s="66">
        <f>F12/F20</f>
        <v>4.741935483870968</v>
      </c>
      <c r="G21" s="66">
        <f>G12/G20</f>
        <v>3.6666666666666665</v>
      </c>
      <c r="H21" s="66">
        <f t="shared" si="5"/>
        <v>4.5483870967741939</v>
      </c>
      <c r="I21" s="66">
        <f t="shared" si="5"/>
        <v>5.580645161290323</v>
      </c>
      <c r="J21" s="66">
        <f t="shared" si="5"/>
        <v>5.333333333333333</v>
      </c>
      <c r="K21" s="66">
        <f t="shared" si="5"/>
        <v>5.161290322580645</v>
      </c>
      <c r="L21" s="162">
        <f t="shared" si="5"/>
        <v>5.6</v>
      </c>
      <c r="M21" s="175">
        <f t="shared" si="5"/>
        <v>5.5483870967741939</v>
      </c>
    </row>
    <row r="22" spans="1:17" s="8" customFormat="1" ht="11.25" customHeight="1">
      <c r="A22" s="9" t="s">
        <v>130</v>
      </c>
      <c r="B22" s="67">
        <f t="shared" ref="B22:G22" si="6">IFERROR(B12/B7,0)</f>
        <v>0.40306122448979592</v>
      </c>
      <c r="C22" s="67">
        <f t="shared" si="6"/>
        <v>0.47280334728033474</v>
      </c>
      <c r="D22" s="67">
        <f t="shared" si="6"/>
        <v>0.47169811320754718</v>
      </c>
      <c r="E22" s="67">
        <f t="shared" si="6"/>
        <v>0.42399999999999999</v>
      </c>
      <c r="F22" s="67">
        <f t="shared" si="6"/>
        <v>0.49163879598662208</v>
      </c>
      <c r="G22" s="67">
        <f t="shared" si="6"/>
        <v>0.43137254901960786</v>
      </c>
      <c r="H22" s="67">
        <f t="shared" ref="H22:M22" si="7">IFERROR(H12/H7,0)</f>
        <v>0.36910994764397903</v>
      </c>
      <c r="I22" s="67">
        <f t="shared" si="7"/>
        <v>0.42506142506142508</v>
      </c>
      <c r="J22" s="67">
        <f t="shared" si="7"/>
        <v>0.4020100502512563</v>
      </c>
      <c r="K22" s="116">
        <f t="shared" si="7"/>
        <v>0.5423728813559322</v>
      </c>
      <c r="L22" s="67">
        <f t="shared" si="7"/>
        <v>0.49851632047477745</v>
      </c>
      <c r="M22" s="176">
        <f t="shared" si="7"/>
        <v>0.4195121951219512</v>
      </c>
      <c r="N22" s="1"/>
    </row>
    <row r="23" spans="1:17" s="8" customFormat="1" ht="11.25" customHeight="1" thickBot="1">
      <c r="A23" s="9" t="s">
        <v>53</v>
      </c>
      <c r="B23" s="67">
        <f t="shared" ref="B23:G23" si="8">IFERROR(B12/(B11+B12),0)</f>
        <v>0.79</v>
      </c>
      <c r="C23" s="67">
        <f t="shared" si="8"/>
        <v>0.87596899224806202</v>
      </c>
      <c r="D23" s="67">
        <f t="shared" si="8"/>
        <v>0.91911764705882348</v>
      </c>
      <c r="E23" s="67">
        <f t="shared" si="8"/>
        <v>0.89075630252100846</v>
      </c>
      <c r="F23" s="67">
        <f t="shared" si="8"/>
        <v>0.92452830188679247</v>
      </c>
      <c r="G23" s="67">
        <f t="shared" si="8"/>
        <v>0.91666666666666663</v>
      </c>
      <c r="H23" s="67">
        <f t="shared" ref="H23:M23" si="9">IFERROR(H12/(H11+H12),0)</f>
        <v>0.94</v>
      </c>
      <c r="I23" s="67">
        <f t="shared" si="9"/>
        <v>0.92021276595744683</v>
      </c>
      <c r="J23" s="67">
        <f t="shared" si="9"/>
        <v>0.8938547486033519</v>
      </c>
      <c r="K23" s="117">
        <f t="shared" si="9"/>
        <v>0.86486486486486491</v>
      </c>
      <c r="L23" s="163">
        <f t="shared" si="9"/>
        <v>0.85279187817258884</v>
      </c>
      <c r="M23" s="177">
        <f t="shared" si="9"/>
        <v>0.79262672811059909</v>
      </c>
      <c r="N23" s="4"/>
    </row>
    <row r="24" spans="1:17" s="8" customFormat="1" ht="11.25" customHeight="1" thickBot="1">
      <c r="A24" s="56" t="s">
        <v>21</v>
      </c>
      <c r="B24" s="50">
        <v>41275</v>
      </c>
      <c r="C24" s="47">
        <v>41306</v>
      </c>
      <c r="D24" s="47">
        <v>41334</v>
      </c>
      <c r="E24" s="47">
        <v>41365</v>
      </c>
      <c r="F24" s="47">
        <v>41395</v>
      </c>
      <c r="G24" s="47">
        <v>41426</v>
      </c>
      <c r="H24" s="47">
        <v>41456</v>
      </c>
      <c r="I24" s="47">
        <v>41487</v>
      </c>
      <c r="J24" s="47">
        <v>41518</v>
      </c>
      <c r="K24" s="47">
        <v>41548</v>
      </c>
      <c r="L24" s="47">
        <v>41579</v>
      </c>
      <c r="M24" s="51">
        <v>41609</v>
      </c>
    </row>
    <row r="25" spans="1:17" s="8" customFormat="1" ht="11.25" customHeight="1">
      <c r="A25" s="18" t="s">
        <v>5</v>
      </c>
      <c r="B25" s="68">
        <f>COUNTIFS(Jan!$B:$B,2161,Jan!$J:$J,18)</f>
        <v>4</v>
      </c>
      <c r="C25" s="68">
        <v>3</v>
      </c>
      <c r="D25" s="68">
        <v>6</v>
      </c>
      <c r="E25" s="68">
        <v>14</v>
      </c>
      <c r="F25" s="68">
        <v>8</v>
      </c>
      <c r="G25" s="68">
        <v>4</v>
      </c>
      <c r="H25" s="68">
        <v>5</v>
      </c>
      <c r="I25" s="68">
        <v>11</v>
      </c>
      <c r="J25" s="68">
        <v>9</v>
      </c>
      <c r="K25" s="68">
        <f>COUNTIFS(Oct!$B:$B,2161,Oct!$J:$J,18)</f>
        <v>0</v>
      </c>
      <c r="L25" s="68">
        <v>4</v>
      </c>
      <c r="M25" s="68">
        <v>9</v>
      </c>
    </row>
    <row r="26" spans="1:17" s="8" customFormat="1" ht="11.25" customHeight="1">
      <c r="A26" s="46" t="s">
        <v>40</v>
      </c>
      <c r="B26" s="57">
        <f>COUNTIFS(Jan!$B:$B,2161,Jan!$J:$J,41)</f>
        <v>0</v>
      </c>
      <c r="C26" s="57">
        <f>COUNTIFS(Feb!$B:$B,2161,Feb!$J:$J,41)</f>
        <v>0</v>
      </c>
      <c r="D26" s="57">
        <f>COUNTIFS(Mar!$B:$B,2161,Mar!$J:$J,41)</f>
        <v>0</v>
      </c>
      <c r="E26" s="57">
        <f>COUNTIFS(Apr!$B:$B,2161,Apr!$J:$J,41)</f>
        <v>0</v>
      </c>
      <c r="F26" s="57">
        <f>COUNTIFS(May!$B:$B,2161,May!$J:$J,41)</f>
        <v>0</v>
      </c>
      <c r="G26" s="57">
        <f>COUNTIFS(Jun!$B:$B,2161,Jun!$J:$J,41)</f>
        <v>0</v>
      </c>
      <c r="H26" s="57">
        <f>COUNTIFS(Jul!$B:$B,2161,Jul!$J:$J,41)</f>
        <v>0</v>
      </c>
      <c r="I26" s="57">
        <f>COUNTIFS(Aug!$B:$B,2161,Aug!$J:$J,41)</f>
        <v>0</v>
      </c>
      <c r="J26" s="57">
        <f>COUNTIFS(Sep!$B:$B,2161,Sep!$J:$J,41)</f>
        <v>0</v>
      </c>
      <c r="K26" s="57">
        <f>COUNTIFS(Oct!$B:$B,2161,Oct!$J:$J,41)</f>
        <v>0</v>
      </c>
      <c r="L26" s="57">
        <f>COUNTIFS(Nov!$B:$B,2161,Nov!$J:$J,41)</f>
        <v>0</v>
      </c>
      <c r="M26" s="57">
        <v>0</v>
      </c>
    </row>
    <row r="27" spans="1:17" s="8" customFormat="1" ht="11.25" customHeight="1">
      <c r="A27" s="9" t="s">
        <v>11</v>
      </c>
      <c r="B27" s="179">
        <f>COUNTIFS(Jan!$B:$B,2161,Jan!$J:$J,17)</f>
        <v>19</v>
      </c>
      <c r="C27" s="206">
        <v>25</v>
      </c>
      <c r="D27" s="206">
        <v>24</v>
      </c>
      <c r="E27" s="206">
        <v>20</v>
      </c>
      <c r="F27" s="206">
        <v>19</v>
      </c>
      <c r="G27" s="206">
        <v>26</v>
      </c>
      <c r="H27" s="206">
        <v>26</v>
      </c>
      <c r="I27" s="206">
        <v>28</v>
      </c>
      <c r="J27" s="206">
        <v>34</v>
      </c>
      <c r="K27" s="208">
        <v>21</v>
      </c>
      <c r="L27" s="208">
        <v>24</v>
      </c>
      <c r="M27" s="206">
        <v>21</v>
      </c>
    </row>
    <row r="28" spans="1:17" s="8" customFormat="1" ht="11.25" customHeight="1">
      <c r="A28" s="9" t="s">
        <v>143</v>
      </c>
      <c r="B28" s="59">
        <f>COUNTIFS(Jan!$B:$B,2161,Jan!$F:$F,455)</f>
        <v>0</v>
      </c>
      <c r="C28" s="59">
        <f>COUNTIFS(Feb!$B:$B,2161,Feb!$F:$F,455)</f>
        <v>0</v>
      </c>
      <c r="D28" s="59">
        <f>COUNTIFS(Mar!$B:$B,2161,Mar!$F:$F,455)</f>
        <v>0</v>
      </c>
      <c r="E28" s="59">
        <f>COUNTIFS(Apr!$B:$B,2161,Apr!$F:$F,455)</f>
        <v>0</v>
      </c>
      <c r="F28" s="59">
        <f>COUNTIFS(May!$B:$B,2161,May!$F:$F,455)</f>
        <v>0</v>
      </c>
      <c r="G28" s="59">
        <f>COUNTIFS(Jun!$B:$B,2161,Jun!$F:$F,455)</f>
        <v>0</v>
      </c>
      <c r="H28" s="59">
        <f>COUNTIFS(Jul!$B:$B,2161,Jul!$F:$F,455)</f>
        <v>0</v>
      </c>
      <c r="I28" s="59">
        <f>COUNTIFS(Aug!$B:$B,2161,Aug!$F:$F,455)</f>
        <v>0</v>
      </c>
      <c r="J28" s="59">
        <f>COUNTIFS(Sep!$B:$B,2161,Sep!$F:$F,455)</f>
        <v>0</v>
      </c>
      <c r="K28" s="59">
        <f>COUNTIFS(Oct!$B:$B,2161,Oct!$F:$F,455)</f>
        <v>0</v>
      </c>
      <c r="L28" s="59">
        <f>COUNTIFS(Nov!$B:$B,2161,Nov!$F:$F,455)</f>
        <v>0</v>
      </c>
      <c r="M28" s="59">
        <v>0</v>
      </c>
    </row>
    <row r="29" spans="1:17" s="8" customFormat="1" ht="11.25" customHeight="1">
      <c r="A29" s="9" t="s">
        <v>23</v>
      </c>
      <c r="B29" s="59">
        <f>COUNTIFS(Jan!$B:$B,2161,Jan!$J:$J,31)</f>
        <v>0</v>
      </c>
      <c r="C29" s="59">
        <f>COUNTIFS(Feb!$B:$B,2161,Feb!$J:$J,31)</f>
        <v>0</v>
      </c>
      <c r="D29" s="59">
        <f>COUNTIFS(Mar!$B:$B,2161,Mar!$J:$J,31)</f>
        <v>0</v>
      </c>
      <c r="E29" s="59">
        <f>COUNTIFS(Apr!$B:$B,2161,Apr!$J:$J,31)</f>
        <v>0</v>
      </c>
      <c r="F29" s="59">
        <f>COUNTIFS(May!$B:$B,2161,May!$J:$J,31)</f>
        <v>0</v>
      </c>
      <c r="G29" s="59">
        <f>COUNTIFS(Jun!$B:$B,2161,Jun!$J:$J,31)</f>
        <v>0</v>
      </c>
      <c r="H29" s="59">
        <f>COUNTIFS(Jul!$B:$B,2161,Jul!$J:$J,31)</f>
        <v>0</v>
      </c>
      <c r="I29" s="59">
        <f>COUNTIFS(Aug!$B:$B,2161,Aug!$J:$J,31)</f>
        <v>0</v>
      </c>
      <c r="J29" s="59">
        <f>COUNTIFS(Sep!$B:$B,2161,Sep!$J:$J,31)</f>
        <v>0</v>
      </c>
      <c r="K29" s="59">
        <v>1</v>
      </c>
      <c r="L29" s="59">
        <f>COUNTIFS(Nov!$B:$B,2161,Nov!$J:$J,31)</f>
        <v>0</v>
      </c>
      <c r="M29" s="59">
        <v>0</v>
      </c>
    </row>
    <row r="30" spans="1:17" s="8" customFormat="1" ht="11.25" customHeight="1">
      <c r="A30" s="9" t="s">
        <v>37</v>
      </c>
      <c r="B30" s="59">
        <f>COUNTIFS(Jan!$B:$B,2161,Jan!$J:$J,4400)</f>
        <v>1</v>
      </c>
      <c r="C30" s="59">
        <v>5</v>
      </c>
      <c r="D30" s="59">
        <v>3</v>
      </c>
      <c r="E30" s="59">
        <v>1</v>
      </c>
      <c r="F30" s="59">
        <v>8</v>
      </c>
      <c r="G30" s="59">
        <v>7</v>
      </c>
      <c r="H30" s="59">
        <v>4</v>
      </c>
      <c r="I30" s="59">
        <v>7</v>
      </c>
      <c r="J30" s="59">
        <v>10</v>
      </c>
      <c r="K30" s="59">
        <v>10</v>
      </c>
      <c r="L30" s="59">
        <v>9</v>
      </c>
      <c r="M30" s="59">
        <v>10</v>
      </c>
    </row>
    <row r="31" spans="1:17" s="8" customFormat="1" ht="11.25" customHeight="1">
      <c r="A31" s="10" t="s">
        <v>24</v>
      </c>
      <c r="B31" s="59">
        <f>COUNTIFS(Jan!$B:$B,2161,Jan!$J:$J,30)</f>
        <v>0</v>
      </c>
      <c r="C31" s="59">
        <f>COUNTIFS(Feb!$B:$B,2161,Feb!$J:$J,30)</f>
        <v>0</v>
      </c>
      <c r="D31" s="59">
        <f>COUNTIFS(Mar!$B:$B,2161,Mar!$J:$J,30)</f>
        <v>0</v>
      </c>
      <c r="E31" s="59">
        <f>COUNTIFS(Apr!$B:$B,2161,Apr!$J:$J,30)</f>
        <v>0</v>
      </c>
      <c r="F31" s="59">
        <f>COUNTIFS(May!$B:$B,2161,May!$J:$J,30)</f>
        <v>0</v>
      </c>
      <c r="G31" s="59">
        <f>COUNTIFS(Jun!$B:$B,2161,Jun!$J:$J,30)</f>
        <v>0</v>
      </c>
      <c r="H31" s="59">
        <f>COUNTIFS(Jul!$B:$B,2161,Jul!$J:$J,30)</f>
        <v>0</v>
      </c>
      <c r="I31" s="59">
        <f>COUNTIFS(Aug!$B:$B,2161,Aug!$J:$J,30)</f>
        <v>0</v>
      </c>
      <c r="J31" s="59">
        <f>COUNTIFS(Sep!$B:$B,2161,Sep!$J:$J,30)</f>
        <v>0</v>
      </c>
      <c r="K31" s="59">
        <f>COUNTIFS(Oct!$B:$B,2161,Oct!$J:$J,30)</f>
        <v>0</v>
      </c>
      <c r="L31" s="59">
        <f>COUNTIFS(Nov!$B:$B,2161,Nov!$J:$J,30)</f>
        <v>0</v>
      </c>
      <c r="M31" s="59">
        <v>0</v>
      </c>
    </row>
    <row r="32" spans="1:17" s="14" customFormat="1" ht="11.25" customHeight="1" thickBot="1">
      <c r="A32" s="2" t="s">
        <v>140</v>
      </c>
      <c r="B32" s="60">
        <f>SUM(B25:B31)</f>
        <v>24</v>
      </c>
      <c r="C32" s="60">
        <f t="shared" ref="C32:M32" si="10">SUM(C25:C31)</f>
        <v>33</v>
      </c>
      <c r="D32" s="60">
        <f>SUM(D25:D31)</f>
        <v>33</v>
      </c>
      <c r="E32" s="60">
        <f>SUM(E25:E31)</f>
        <v>35</v>
      </c>
      <c r="F32" s="60">
        <f>SUM(F25:F31)</f>
        <v>35</v>
      </c>
      <c r="G32" s="60">
        <f>SUM(G25:G31)</f>
        <v>37</v>
      </c>
      <c r="H32" s="60">
        <f t="shared" si="10"/>
        <v>35</v>
      </c>
      <c r="I32" s="60">
        <f t="shared" si="10"/>
        <v>46</v>
      </c>
      <c r="J32" s="60">
        <f t="shared" si="10"/>
        <v>53</v>
      </c>
      <c r="K32" s="60">
        <f t="shared" si="10"/>
        <v>32</v>
      </c>
      <c r="L32" s="159">
        <f t="shared" si="10"/>
        <v>37</v>
      </c>
      <c r="M32" s="170">
        <f t="shared" si="10"/>
        <v>40</v>
      </c>
    </row>
    <row r="33" spans="1:13" ht="12" customHeight="1" thickBot="1">
      <c r="A33" s="55" t="s">
        <v>136</v>
      </c>
      <c r="B33" s="50">
        <v>41275</v>
      </c>
      <c r="C33" s="47">
        <v>41306</v>
      </c>
      <c r="D33" s="47">
        <v>41334</v>
      </c>
      <c r="E33" s="47">
        <v>41365</v>
      </c>
      <c r="F33" s="47">
        <v>41395</v>
      </c>
      <c r="G33" s="47">
        <v>41426</v>
      </c>
      <c r="H33" s="47">
        <v>41456</v>
      </c>
      <c r="I33" s="47">
        <v>41487</v>
      </c>
      <c r="J33" s="47">
        <v>41518</v>
      </c>
      <c r="K33" s="47">
        <v>41548</v>
      </c>
      <c r="L33" s="47">
        <v>41579</v>
      </c>
      <c r="M33" s="51">
        <v>41609</v>
      </c>
    </row>
    <row r="34" spans="1:13" s="8" customFormat="1" ht="11.25" customHeight="1">
      <c r="A34" s="46" t="s">
        <v>33</v>
      </c>
      <c r="B34" s="57">
        <f>COUNTIFS(Jan!$B:$B,2161,Jan!$J:$J,40)</f>
        <v>0</v>
      </c>
      <c r="C34" s="57">
        <v>0</v>
      </c>
      <c r="D34" s="57">
        <v>1</v>
      </c>
      <c r="E34" s="57">
        <v>2</v>
      </c>
      <c r="F34" s="57">
        <v>2</v>
      </c>
      <c r="G34" s="57">
        <f>COUNTIFS(Jun!$B:$B,2161,Jun!$J:$J,40)</f>
        <v>0</v>
      </c>
      <c r="H34" s="57">
        <v>2</v>
      </c>
      <c r="I34" s="57">
        <f>COUNTIFS(Aug!$B:$B,2161,Aug!$J:$J,40)</f>
        <v>0</v>
      </c>
      <c r="J34" s="57">
        <v>1</v>
      </c>
      <c r="K34" s="57">
        <v>3</v>
      </c>
      <c r="L34" s="57">
        <v>1</v>
      </c>
      <c r="M34" s="57">
        <v>2</v>
      </c>
    </row>
    <row r="35" spans="1:13" s="8" customFormat="1" ht="11.25" customHeight="1">
      <c r="A35" s="10" t="s">
        <v>4</v>
      </c>
      <c r="B35" s="59">
        <f>COUNTIFS(Jan!$B:$B,2161,Jan!$J:$J,15)</f>
        <v>4</v>
      </c>
      <c r="C35" s="59">
        <v>4</v>
      </c>
      <c r="D35" s="59">
        <v>4</v>
      </c>
      <c r="E35" s="59">
        <v>5</v>
      </c>
      <c r="F35" s="59">
        <v>10</v>
      </c>
      <c r="G35" s="59">
        <v>6</v>
      </c>
      <c r="H35" s="59">
        <v>10</v>
      </c>
      <c r="I35" s="59">
        <v>11</v>
      </c>
      <c r="J35" s="59">
        <v>19</v>
      </c>
      <c r="K35" s="59">
        <v>5</v>
      </c>
      <c r="L35" s="59">
        <f>COUNTIFS(Nov!$B:$B,2161,Nov!$J:$J,15)</f>
        <v>0</v>
      </c>
      <c r="M35" s="59">
        <v>10</v>
      </c>
    </row>
    <row r="36" spans="1:13" s="8" customFormat="1" ht="11.25" customHeight="1">
      <c r="A36" s="10" t="s">
        <v>39</v>
      </c>
      <c r="B36" s="59">
        <f>COUNTIFS(Jan!$B:$B,2161,Jan!$J:$J,29)</f>
        <v>9</v>
      </c>
      <c r="C36" s="59">
        <v>22</v>
      </c>
      <c r="D36" s="59">
        <v>18</v>
      </c>
      <c r="E36" s="59">
        <v>23</v>
      </c>
      <c r="F36" s="59">
        <v>15</v>
      </c>
      <c r="G36" s="59">
        <v>21</v>
      </c>
      <c r="H36" s="59">
        <v>15</v>
      </c>
      <c r="I36" s="59">
        <v>17</v>
      </c>
      <c r="J36" s="59">
        <v>19</v>
      </c>
      <c r="K36" s="59">
        <v>14</v>
      </c>
      <c r="L36" s="59">
        <v>18</v>
      </c>
      <c r="M36" s="59">
        <v>23</v>
      </c>
    </row>
    <row r="37" spans="1:13" s="8" customFormat="1" ht="11.25" customHeight="1">
      <c r="A37" s="10" t="s">
        <v>3</v>
      </c>
      <c r="B37" s="59">
        <f>COUNTIFS(Jan!$B:$B,2161,Jan!$J:$J,13)</f>
        <v>1</v>
      </c>
      <c r="C37" s="59">
        <v>2</v>
      </c>
      <c r="D37" s="59">
        <v>2</v>
      </c>
      <c r="E37" s="59">
        <v>2</v>
      </c>
      <c r="F37" s="59">
        <v>3</v>
      </c>
      <c r="G37" s="59">
        <v>4</v>
      </c>
      <c r="H37" s="59">
        <v>2</v>
      </c>
      <c r="I37" s="59">
        <f>COUNTIFS(Aug!$B:$B,2161,Aug!$J:$J,13)</f>
        <v>0</v>
      </c>
      <c r="J37" s="59">
        <v>5</v>
      </c>
      <c r="K37" s="59">
        <v>1</v>
      </c>
      <c r="L37" s="59">
        <v>4</v>
      </c>
      <c r="M37" s="59">
        <v>4</v>
      </c>
    </row>
    <row r="38" spans="1:13" s="8" customFormat="1" ht="11.25" customHeight="1">
      <c r="A38" s="9" t="s">
        <v>218</v>
      </c>
      <c r="B38" s="59">
        <f>COUNTIFS(Jan!$B:$B,2161,Jan!$J:$J,43)</f>
        <v>0</v>
      </c>
      <c r="C38" s="59">
        <f>COUNTIFS(Feb!$B:$B,2161,Feb!$J:$J,43)</f>
        <v>0</v>
      </c>
      <c r="D38" s="59">
        <f>COUNTIFS(Mar!$B:$B,2161,Mar!$J:$J,43)</f>
        <v>0</v>
      </c>
      <c r="E38" s="59">
        <f>COUNTIFS(Apr!$B:$B,2161,Apr!$J:$J,43)</f>
        <v>0</v>
      </c>
      <c r="F38" s="59">
        <f>COUNTIFS(May!$B:$B,2161,May!$J:$J,43)</f>
        <v>0</v>
      </c>
      <c r="G38" s="59">
        <v>20</v>
      </c>
      <c r="H38" s="59">
        <v>2</v>
      </c>
      <c r="I38" s="59">
        <f>COUNTIFS(Aug!$B:$B,2161,Aug!$J:$J,43)</f>
        <v>0</v>
      </c>
      <c r="J38" s="59">
        <f>COUNTIFS(Sep!$B:$B,2161,Sep!$J:$J,43)</f>
        <v>0</v>
      </c>
      <c r="K38" s="59">
        <f>COUNTIFS(Oct!$B:$B,2161,Oct!$J:$J,43)</f>
        <v>0</v>
      </c>
      <c r="L38" s="59">
        <f>COUNTIFS(Nov!$B:$B,2161,Nov!$J:$J,43)</f>
        <v>0</v>
      </c>
      <c r="M38" s="59">
        <v>0</v>
      </c>
    </row>
    <row r="39" spans="1:13" s="8" customFormat="1" ht="11.25" customHeight="1">
      <c r="A39" s="10" t="s">
        <v>25</v>
      </c>
      <c r="B39" s="59">
        <f>COUNTIFS(Jan!$B:$B,2161,Jan!$J:$J,24)</f>
        <v>18</v>
      </c>
      <c r="C39" s="59">
        <v>22</v>
      </c>
      <c r="D39" s="59">
        <v>28</v>
      </c>
      <c r="E39" s="59">
        <v>24</v>
      </c>
      <c r="F39" s="59">
        <v>36</v>
      </c>
      <c r="G39" s="59">
        <v>15</v>
      </c>
      <c r="H39" s="59">
        <v>34</v>
      </c>
      <c r="I39" s="59">
        <v>33</v>
      </c>
      <c r="J39" s="59">
        <v>29</v>
      </c>
      <c r="K39" s="59">
        <v>32</v>
      </c>
      <c r="L39" s="59">
        <v>35</v>
      </c>
      <c r="M39" s="59">
        <v>33</v>
      </c>
    </row>
    <row r="40" spans="1:13" s="8" customFormat="1" ht="11.25" customHeight="1">
      <c r="A40" s="10" t="s">
        <v>34</v>
      </c>
      <c r="B40" s="59">
        <f>COUNTIFS(Jan!$B:$B,2161,Jan!$J:$J,9)</f>
        <v>0</v>
      </c>
      <c r="C40" s="59">
        <f>COUNTIFS(Feb!$B:$B,2161,Feb!$J:$J,9)</f>
        <v>0</v>
      </c>
      <c r="D40" s="59">
        <f>COUNTIFS(Mar!$B:$B,2161,Mar!$J:$J,9)</f>
        <v>0</v>
      </c>
      <c r="E40" s="59">
        <v>1</v>
      </c>
      <c r="F40" s="59">
        <f>COUNTIFS(May!$B:$B,2161,May!$J:$J,9)</f>
        <v>0</v>
      </c>
      <c r="G40" s="59">
        <f>COUNTIFS(Jun!$B:$B,2161,Jun!$J:$J,9)</f>
        <v>0</v>
      </c>
      <c r="H40" s="59">
        <v>1</v>
      </c>
      <c r="I40" s="59">
        <f>COUNTIFS(Aug!$B:$B,2161,Aug!$J:$J,9)</f>
        <v>0</v>
      </c>
      <c r="J40" s="59">
        <f>COUNTIFS(Sep!$B:$B,2161,Sep!$J:$J,9)</f>
        <v>0</v>
      </c>
      <c r="K40" s="59">
        <f>COUNTIFS(Oct!$B:$B,2161,Oct!$J:$J,9)</f>
        <v>0</v>
      </c>
      <c r="L40" s="59">
        <f>COUNTIFS(Nov!$B:$B,2161,Nov!$J:$J,9)</f>
        <v>0</v>
      </c>
      <c r="M40" s="59">
        <v>0</v>
      </c>
    </row>
    <row r="41" spans="1:13" s="8" customFormat="1" ht="11.25" customHeight="1">
      <c r="A41" s="10" t="s">
        <v>31</v>
      </c>
      <c r="B41" s="59">
        <f>COUNTIFS(Jan!$B:$B,2161,Jan!$J:$J,10)</f>
        <v>20</v>
      </c>
      <c r="C41" s="59">
        <v>8</v>
      </c>
      <c r="D41" s="59">
        <v>32</v>
      </c>
      <c r="E41" s="59">
        <v>28</v>
      </c>
      <c r="F41" s="59">
        <v>21</v>
      </c>
      <c r="G41" s="59">
        <v>16</v>
      </c>
      <c r="H41" s="59">
        <v>64</v>
      </c>
      <c r="I41" s="59">
        <v>60</v>
      </c>
      <c r="J41" s="59">
        <v>37</v>
      </c>
      <c r="K41" s="59">
        <v>8</v>
      </c>
      <c r="L41" s="59">
        <v>18</v>
      </c>
      <c r="M41" s="59">
        <v>27</v>
      </c>
    </row>
    <row r="42" spans="1:13" s="8" customFormat="1" ht="11.25" customHeight="1">
      <c r="A42" s="10" t="s">
        <v>144</v>
      </c>
      <c r="B42" s="59">
        <f>COUNTIFS(Jan!$B:$B,2161,Jan!$F:$F,462)</f>
        <v>0</v>
      </c>
      <c r="C42" s="59">
        <f>COUNTIFS(Feb!$B:$B,2161,Feb!$F:$F,462)</f>
        <v>0</v>
      </c>
      <c r="D42" s="59">
        <f>COUNTIFS(Mar!$B:$B,2161,Mar!$F:$F,462)</f>
        <v>0</v>
      </c>
      <c r="E42" s="59">
        <f>COUNTIFS(Apr!$B:$B,2161,Apr!$F:$F,462)</f>
        <v>0</v>
      </c>
      <c r="F42" s="59">
        <f>COUNTIFS(May!$B:$B,2161,May!$F:$F,462)</f>
        <v>0</v>
      </c>
      <c r="G42" s="59">
        <f>COUNTIFS(Jun!$B:$B,2161,Jun!$F:$F,462)</f>
        <v>0</v>
      </c>
      <c r="H42" s="59">
        <f>COUNTIFS(Jul!$B:$B,2161,Jul!$F:$F,462)</f>
        <v>0</v>
      </c>
      <c r="I42" s="59">
        <f>COUNTIFS(Aug!$B:$B,2161,Aug!$F:$F,462)</f>
        <v>0</v>
      </c>
      <c r="J42" s="59">
        <f>COUNTIFS(Sep!$B:$B,2161,Sep!$F:$F,462)</f>
        <v>0</v>
      </c>
      <c r="K42" s="59">
        <f>COUNTIFS(Oct!$B:$B,2161,Oct!$F:$F,462)</f>
        <v>0</v>
      </c>
      <c r="L42" s="59">
        <f>COUNTIFS(Nov!$B:$B,2161,Nov!$F:$F,462)</f>
        <v>0</v>
      </c>
      <c r="M42" s="59">
        <v>0</v>
      </c>
    </row>
    <row r="43" spans="1:13" s="8" customFormat="1" ht="11.25" customHeight="1">
      <c r="A43" s="10" t="s">
        <v>1</v>
      </c>
      <c r="B43" s="59">
        <f>COUNTIFS(Jan!$B:$B,2161,Jan!$J:$J,11)</f>
        <v>4</v>
      </c>
      <c r="C43" s="59">
        <v>5</v>
      </c>
      <c r="D43" s="59">
        <v>5</v>
      </c>
      <c r="E43" s="59">
        <v>1</v>
      </c>
      <c r="F43" s="59">
        <v>6</v>
      </c>
      <c r="G43" s="59">
        <v>8</v>
      </c>
      <c r="H43" s="59">
        <v>11</v>
      </c>
      <c r="I43" s="59">
        <v>8</v>
      </c>
      <c r="J43" s="59">
        <v>13</v>
      </c>
      <c r="K43" s="59">
        <v>7</v>
      </c>
      <c r="L43" s="59">
        <v>8</v>
      </c>
      <c r="M43" s="59">
        <v>10</v>
      </c>
    </row>
    <row r="44" spans="1:13" s="8" customFormat="1" ht="11.25" customHeight="1">
      <c r="A44" s="10" t="s">
        <v>26</v>
      </c>
      <c r="B44" s="59">
        <f>COUNTIFS(Jan!$B:$B,2161,Jan!$J:$J,20)</f>
        <v>0</v>
      </c>
      <c r="C44" s="59">
        <f>COUNTIFS(Feb!$B:$B,2161,Feb!$J:$J,20)</f>
        <v>0</v>
      </c>
      <c r="D44" s="59">
        <f>COUNTIFS(Mar!$B:$B,2161,Mar!$J:$J,20)</f>
        <v>0</v>
      </c>
      <c r="E44" s="59">
        <v>1</v>
      </c>
      <c r="F44" s="59">
        <f>COUNTIFS(May!$B:$B,2161,May!$J:$J,20)</f>
        <v>0</v>
      </c>
      <c r="G44" s="59">
        <f>COUNTIFS(Jun!$B:$B,2161,Jun!$J:$J,20)</f>
        <v>0</v>
      </c>
      <c r="H44" s="59">
        <f>COUNTIFS(Jul!$B:$B,2161,Jul!$J:$J,20)</f>
        <v>0</v>
      </c>
      <c r="I44" s="59">
        <v>2</v>
      </c>
      <c r="J44" s="59">
        <f>COUNTIFS(Sep!$B:$B,2161,Sep!$J:$J,20)</f>
        <v>0</v>
      </c>
      <c r="K44" s="59">
        <v>1</v>
      </c>
      <c r="L44" s="59">
        <f>COUNTIFS(Nov!$B:$B,2161,Nov!$J:$J,20)</f>
        <v>0</v>
      </c>
      <c r="M44" s="59">
        <v>2</v>
      </c>
    </row>
    <row r="45" spans="1:13" s="8" customFormat="1" ht="11.25" customHeight="1">
      <c r="A45" s="10" t="s">
        <v>32</v>
      </c>
      <c r="B45" s="59">
        <f>COUNTIFS(Jan!$B:$B,2161,Jan!$J:$J,2)</f>
        <v>23</v>
      </c>
      <c r="C45" s="59">
        <v>27</v>
      </c>
      <c r="D45" s="59">
        <v>20</v>
      </c>
      <c r="E45" s="59">
        <v>26</v>
      </c>
      <c r="F45" s="59">
        <v>28</v>
      </c>
      <c r="G45" s="59">
        <v>26</v>
      </c>
      <c r="H45" s="59">
        <v>54</v>
      </c>
      <c r="I45" s="59">
        <v>48</v>
      </c>
      <c r="J45" s="59">
        <v>55</v>
      </c>
      <c r="K45" s="59">
        <v>28</v>
      </c>
      <c r="L45" s="59">
        <v>32</v>
      </c>
      <c r="M45" s="59">
        <v>50</v>
      </c>
    </row>
    <row r="46" spans="1:13" s="8" customFormat="1" ht="11.25" customHeight="1">
      <c r="A46" s="10" t="s">
        <v>28</v>
      </c>
      <c r="B46" s="59">
        <f>COUNTIFS(Jan!$B:$B,2161,Jan!$J:$J,1700)+COUNTIFS(Jan!$B:$B,2161,Jan!$F:$F,1700)+COUNTIFS(Jan!$B:$B,2161,Jan!$J:$J,19)</f>
        <v>0</v>
      </c>
      <c r="C46" s="59">
        <f>COUNTIFS(Feb!$B:$B,2161,Feb!$J:$J,1700)+COUNTIFS(Feb!$B:$B,2161,Feb!$F:$F,1700)+COUNTIFS(Feb!$B:$B,2161,Feb!$J:$J,19)</f>
        <v>0</v>
      </c>
      <c r="D46" s="59">
        <f>COUNTIFS(Mar!$B:$B,2161,Mar!$J:$J,1700)+COUNTIFS(Mar!$B:$B,2161,Mar!$F:$F,1700)+COUNTIFS(Mar!$B:$B,2161,Mar!$J:$J,19)</f>
        <v>0</v>
      </c>
      <c r="E46" s="59">
        <f>COUNTIFS(Apr!$B:$B,2161,Apr!$J:$J,1700)+COUNTIFS(Apr!$B:$B,2161,Apr!$F:$F,1700)+COUNTIFS(Apr!$B:$B,2161,Apr!$J:$J,19)</f>
        <v>0</v>
      </c>
      <c r="F46" s="59">
        <f>COUNTIFS(May!$B:$B,2161,May!$J:$J,1700)+COUNTIFS(May!$B:$B,2161,May!$F:$F,1700)+COUNTIFS(May!$B:$B,2161,May!$J:$J,19)</f>
        <v>0</v>
      </c>
      <c r="G46" s="59">
        <f>COUNTIFS(Jun!$B:$B,2161,Jun!$J:$J,1700)+COUNTIFS(Jun!$B:$B,2161,Jun!$F:$F,1700)+COUNTIFS(Jun!$B:$B,2161,Jun!$J:$J,19)</f>
        <v>0</v>
      </c>
      <c r="H46" s="59">
        <f>COUNTIFS(Jul!$B:$B,2161,Jul!$J:$J,1700)+COUNTIFS(Jul!$B:$B,2161,Jul!$F:$F,1700)+COUNTIFS(Jul!$B:$B,2161,Jul!$J:$J,19)</f>
        <v>0</v>
      </c>
      <c r="I46" s="59">
        <v>5</v>
      </c>
      <c r="J46" s="59">
        <f>COUNTIFS(Sep!$B:$B,2161,Sep!$J:$J,1700)+COUNTIFS(Sep!$B:$B,2161,Sep!$F:$F,1700)+COUNTIFS(Sep!$B:$B,2161,Sep!$J:$J,19)</f>
        <v>0</v>
      </c>
      <c r="K46" s="59">
        <f>COUNTIFS(Oct!$B:$B,2161,Oct!$J:$J,1700)+COUNTIFS(Oct!$B:$B,2161,Oct!$F:$F,1700)+COUNTIFS(Oct!$B:$B,2161,Oct!$J:$J,19)</f>
        <v>0</v>
      </c>
      <c r="L46" s="59">
        <v>3</v>
      </c>
      <c r="M46" s="59">
        <v>8</v>
      </c>
    </row>
    <row r="47" spans="1:13" s="8" customFormat="1" ht="11.25" customHeight="1">
      <c r="A47" s="10" t="s">
        <v>0</v>
      </c>
      <c r="B47" s="59">
        <f>COUNTIFS(Jan!$B:$B,2161,Jan!$J:$J,3)</f>
        <v>9</v>
      </c>
      <c r="C47" s="59">
        <v>11</v>
      </c>
      <c r="D47" s="59">
        <v>9</v>
      </c>
      <c r="E47" s="59">
        <v>11</v>
      </c>
      <c r="F47" s="59">
        <v>12</v>
      </c>
      <c r="G47" s="59">
        <v>13</v>
      </c>
      <c r="H47" s="59">
        <v>19</v>
      </c>
      <c r="I47" s="59">
        <v>18</v>
      </c>
      <c r="J47" s="59">
        <v>25</v>
      </c>
      <c r="K47" s="59">
        <v>8</v>
      </c>
      <c r="L47" s="59">
        <v>11</v>
      </c>
      <c r="M47" s="59">
        <v>16</v>
      </c>
    </row>
    <row r="48" spans="1:13" s="8" customFormat="1" ht="11.25" customHeight="1">
      <c r="A48" s="10" t="s">
        <v>35</v>
      </c>
      <c r="B48" s="59">
        <f>COUNTIFS(Jan!$B:$B,2161,Jan!$J:$J,7400)</f>
        <v>0</v>
      </c>
      <c r="C48" s="59">
        <v>1</v>
      </c>
      <c r="D48" s="59">
        <f>COUNTIFS(Mar!$B:$B,2161,Mar!$J:$J,7400)</f>
        <v>0</v>
      </c>
      <c r="E48" s="59">
        <f>COUNTIFS(Apr!$B:$B,2161,Apr!$J:$J,7400)</f>
        <v>0</v>
      </c>
      <c r="F48" s="59">
        <f>COUNTIFS(May!$B:$B,2161,May!$J:$J,7400)</f>
        <v>0</v>
      </c>
      <c r="G48" s="59">
        <f>COUNTIFS(Jun!$B:$B,2161,Jun!$J:$J,7400)</f>
        <v>0</v>
      </c>
      <c r="H48" s="59">
        <v>1</v>
      </c>
      <c r="I48" s="59">
        <f>COUNTIFS(Aug!$B:$B,2161,Aug!$J:$J,7400)</f>
        <v>0</v>
      </c>
      <c r="J48" s="59">
        <v>1</v>
      </c>
      <c r="K48" s="59">
        <f>COUNTIFS(Oct!$B:$B,2161,Oct!$J:$J,7400)</f>
        <v>0</v>
      </c>
      <c r="L48" s="59">
        <v>1</v>
      </c>
      <c r="M48" s="59">
        <v>0</v>
      </c>
    </row>
    <row r="49" spans="1:13" s="8" customFormat="1" ht="11.25" customHeight="1">
      <c r="A49" s="10" t="s">
        <v>2</v>
      </c>
      <c r="B49" s="59">
        <f>COUNTIFS(Jan!$B:$B,2161,Jan!$J:$J,14)</f>
        <v>5</v>
      </c>
      <c r="C49" s="59">
        <v>7</v>
      </c>
      <c r="D49" s="59">
        <v>8</v>
      </c>
      <c r="E49" s="59">
        <v>7</v>
      </c>
      <c r="F49" s="59">
        <v>7</v>
      </c>
      <c r="G49" s="59">
        <v>6</v>
      </c>
      <c r="H49" s="59">
        <v>17</v>
      </c>
      <c r="I49" s="59">
        <v>17</v>
      </c>
      <c r="J49" s="59">
        <v>14</v>
      </c>
      <c r="K49" s="59">
        <v>2</v>
      </c>
      <c r="L49" s="59">
        <v>8</v>
      </c>
      <c r="M49" s="59">
        <v>6</v>
      </c>
    </row>
    <row r="50" spans="1:13" s="8" customFormat="1" ht="11.25" customHeight="1">
      <c r="A50" s="10" t="s">
        <v>142</v>
      </c>
      <c r="B50" s="59">
        <f>COUNTIFS(Jan!$B:$B,2161,Jan!$F:$F,466)</f>
        <v>3</v>
      </c>
      <c r="C50" s="59">
        <v>1</v>
      </c>
      <c r="D50" s="59">
        <v>2</v>
      </c>
      <c r="E50" s="59">
        <f>COUNTIFS(Apr!$B:$B,2161,Apr!$F:$F,466)</f>
        <v>0</v>
      </c>
      <c r="F50" s="59">
        <f>COUNTIFS(May!$B:$B,2161,May!$F:$F,466)</f>
        <v>0</v>
      </c>
      <c r="G50" s="59">
        <f>COUNTIFS(Jun!$B:$B,2161,Jun!$F:$F,466)</f>
        <v>0</v>
      </c>
      <c r="H50" s="59">
        <f>COUNTIFS(Jul!$B:$B,2161,Jul!$F:$F,466)</f>
        <v>0</v>
      </c>
      <c r="I50" s="59">
        <f>COUNTIFS(Aug!$B:$B,2161,Aug!$F:$F,466)</f>
        <v>0</v>
      </c>
      <c r="J50" s="59">
        <f>COUNTIFS(Sep!$B:$B,2161,Sep!$F:$F,466)</f>
        <v>0</v>
      </c>
      <c r="K50" s="59">
        <v>1</v>
      </c>
      <c r="L50" s="59">
        <v>1</v>
      </c>
      <c r="M50" s="59">
        <v>2</v>
      </c>
    </row>
    <row r="51" spans="1:13" s="8" customFormat="1" ht="11.25" customHeight="1">
      <c r="A51" s="10" t="s">
        <v>27</v>
      </c>
      <c r="B51" s="59">
        <f>COUNTIFS(Jan!$B:$B,2161,Jan!$J:$J,25)</f>
        <v>0</v>
      </c>
      <c r="C51" s="59">
        <f>COUNTIFS(Feb!$B:$B,2161,Feb!$J:$J,25)</f>
        <v>0</v>
      </c>
      <c r="D51" s="59">
        <f>COUNTIFS(Mar!$B:$B,2161,Mar!$J:$J,25)</f>
        <v>0</v>
      </c>
      <c r="E51" s="59">
        <f>COUNTIFS(Apr!$B:$B,2161,Apr!$J:$J,25)</f>
        <v>0</v>
      </c>
      <c r="F51" s="59">
        <f>COUNTIFS(May!$B:$B,2161,May!$J:$J,25)</f>
        <v>0</v>
      </c>
      <c r="G51" s="59">
        <f>COUNTIFS(Jun!$B:$B,2161,Jun!$J:$J,25)</f>
        <v>0</v>
      </c>
      <c r="H51" s="59">
        <f>COUNTIFS(Jul!$B:$B,2161,Jul!$J:$J,25)</f>
        <v>0</v>
      </c>
      <c r="I51" s="59">
        <f>COUNTIFS(Aug!$B:$B,2161,Aug!$J:$J,25)</f>
        <v>0</v>
      </c>
      <c r="J51" s="59">
        <v>1</v>
      </c>
      <c r="K51" s="59">
        <f>COUNTIFS(Oct!$B:$B,2161,Oct!$J:$J,25)</f>
        <v>0</v>
      </c>
      <c r="L51" s="59">
        <f>COUNTIFS(Nov!$B:$B,2161,Nov!$J:$J,25)</f>
        <v>0</v>
      </c>
      <c r="M51" s="59">
        <v>0</v>
      </c>
    </row>
    <row r="52" spans="1:13" s="8" customFormat="1" ht="11.25" customHeight="1" thickBot="1">
      <c r="A52" s="11" t="s">
        <v>16</v>
      </c>
      <c r="B52" s="60">
        <f>SUM(B34:B51)</f>
        <v>96</v>
      </c>
      <c r="C52" s="60">
        <f t="shared" ref="C52:M52" si="11">SUM(C34:C51)</f>
        <v>110</v>
      </c>
      <c r="D52" s="60">
        <f>SUM(D34:D51)</f>
        <v>129</v>
      </c>
      <c r="E52" s="60">
        <f>SUM(E34:E51)</f>
        <v>131</v>
      </c>
      <c r="F52" s="60">
        <f>SUM(F34:F51)</f>
        <v>140</v>
      </c>
      <c r="G52" s="60">
        <f>SUM(G34:G51)</f>
        <v>135</v>
      </c>
      <c r="H52" s="60">
        <f t="shared" si="11"/>
        <v>232</v>
      </c>
      <c r="I52" s="60">
        <f t="shared" si="11"/>
        <v>219</v>
      </c>
      <c r="J52" s="60">
        <f t="shared" si="11"/>
        <v>219</v>
      </c>
      <c r="K52" s="60">
        <f t="shared" si="11"/>
        <v>110</v>
      </c>
      <c r="L52" s="159">
        <f t="shared" si="11"/>
        <v>140</v>
      </c>
      <c r="M52" s="170">
        <f t="shared" si="11"/>
        <v>193</v>
      </c>
    </row>
    <row r="53" spans="1:13" ht="12" customHeight="1" thickBot="1">
      <c r="A53" s="55" t="s">
        <v>137</v>
      </c>
      <c r="B53" s="50">
        <v>41275</v>
      </c>
      <c r="C53" s="47">
        <v>41306</v>
      </c>
      <c r="D53" s="47">
        <v>41334</v>
      </c>
      <c r="E53" s="47">
        <v>41365</v>
      </c>
      <c r="F53" s="47">
        <v>41395</v>
      </c>
      <c r="G53" s="47">
        <v>41426</v>
      </c>
      <c r="H53" s="47">
        <v>41456</v>
      </c>
      <c r="I53" s="47">
        <v>41487</v>
      </c>
      <c r="J53" s="47">
        <v>41518</v>
      </c>
      <c r="K53" s="47">
        <v>41548</v>
      </c>
      <c r="L53" s="47">
        <v>41579</v>
      </c>
      <c r="M53" s="51">
        <v>41609</v>
      </c>
    </row>
    <row r="54" spans="1:13" s="8" customFormat="1" ht="11.25" customHeight="1">
      <c r="A54" s="10" t="s">
        <v>30</v>
      </c>
      <c r="B54" s="57">
        <f>COUNTIFS(Jan!$B:$B,2161,Jan!$J:$J,7)</f>
        <v>2</v>
      </c>
      <c r="C54" s="57">
        <v>2</v>
      </c>
      <c r="D54" s="57">
        <v>2</v>
      </c>
      <c r="E54" s="57">
        <v>5</v>
      </c>
      <c r="F54" s="57">
        <v>3</v>
      </c>
      <c r="G54" s="57">
        <v>6</v>
      </c>
      <c r="H54" s="57">
        <v>4</v>
      </c>
      <c r="I54" s="57">
        <v>5</v>
      </c>
      <c r="J54" s="57">
        <v>3</v>
      </c>
      <c r="K54" s="57">
        <v>4</v>
      </c>
      <c r="L54" s="57">
        <v>9</v>
      </c>
      <c r="M54" s="57">
        <v>9</v>
      </c>
    </row>
    <row r="55" spans="1:13" s="8" customFormat="1" ht="11.25" customHeight="1">
      <c r="A55" s="10" t="s">
        <v>29</v>
      </c>
      <c r="B55" s="59">
        <f>COUNTIFS(Jan!$B:$B,2161,Jan!$J:$J,8)</f>
        <v>0</v>
      </c>
      <c r="C55" s="59">
        <f>COUNTIFS(Feb!$B:$B,2161,Feb!$J:$J,8)</f>
        <v>0</v>
      </c>
      <c r="D55" s="59">
        <f>COUNTIFS(Mar!$B:$B,2161,Mar!$J:$J,8)</f>
        <v>0</v>
      </c>
      <c r="E55" s="59">
        <f>COUNTIFS(Apr!$B:$B,2161,Apr!$J:$J,8)</f>
        <v>0</v>
      </c>
      <c r="F55" s="59">
        <f>COUNTIFS(May!$B:$B,2161,May!$J:$J,8)</f>
        <v>0</v>
      </c>
      <c r="G55" s="59">
        <f>COUNTIFS(Jun!$B:$B,2161,Jun!$J:$J,8)</f>
        <v>0</v>
      </c>
      <c r="H55" s="59">
        <f>COUNTIFS(Jul!$B:$B,2161,Jul!$J:$J,8)</f>
        <v>0</v>
      </c>
      <c r="I55" s="59">
        <f>COUNTIFS(Aug!$B:$B,2161,Aug!$J:$J,8)</f>
        <v>0</v>
      </c>
      <c r="J55" s="59">
        <f>COUNTIFS(Sep!$B:$B,2161,Sep!$J:$J,8)</f>
        <v>0</v>
      </c>
      <c r="K55" s="59">
        <f>COUNTIFS(Oct!$B:$B,2161,Oct!$J:$J,8)</f>
        <v>0</v>
      </c>
      <c r="L55" s="59">
        <f>COUNTIFS(Nov!$B:$B,2161,Nov!$J:$J,8)</f>
        <v>0</v>
      </c>
      <c r="M55" s="59">
        <v>0</v>
      </c>
    </row>
    <row r="56" spans="1:13" s="8" customFormat="1" ht="11.25" customHeight="1">
      <c r="A56" s="10" t="s">
        <v>7</v>
      </c>
      <c r="B56" s="59">
        <f>COUNTIFS(Jan!$B:$B,2161,Jan!$J:$J,12)</f>
        <v>5</v>
      </c>
      <c r="C56" s="59">
        <v>4</v>
      </c>
      <c r="D56" s="59">
        <v>4</v>
      </c>
      <c r="E56" s="59">
        <v>5</v>
      </c>
      <c r="F56" s="59">
        <v>3</v>
      </c>
      <c r="G56" s="59">
        <v>1</v>
      </c>
      <c r="H56" s="59">
        <v>5</v>
      </c>
      <c r="I56" s="59">
        <v>7</v>
      </c>
      <c r="J56" s="59">
        <v>16</v>
      </c>
      <c r="K56" s="59">
        <v>6</v>
      </c>
      <c r="L56" s="59">
        <v>17</v>
      </c>
      <c r="M56" s="59">
        <v>25</v>
      </c>
    </row>
    <row r="57" spans="1:13" s="8" customFormat="1" ht="11.25" customHeight="1">
      <c r="A57" s="10" t="s">
        <v>10</v>
      </c>
      <c r="B57" s="59">
        <f>COUNTIFS(Jan!$B:$B,2161,Jan!$J:$J,5100)</f>
        <v>0</v>
      </c>
      <c r="C57" s="59">
        <f>COUNTIFS(Feb!$B:$B,2161,Feb!$J:$J,5100)</f>
        <v>0</v>
      </c>
      <c r="D57" s="59">
        <f>COUNTIFS(Mar!$B:$B,2161,Mar!$J:$J,5100)</f>
        <v>0</v>
      </c>
      <c r="E57" s="59">
        <f>COUNTIFS(Apr!$B:$B,2161,Apr!$J:$J,5100)</f>
        <v>0</v>
      </c>
      <c r="F57" s="59">
        <f>COUNTIFS(May!$B:$B,2161,May!$J:$J,5100)</f>
        <v>0</v>
      </c>
      <c r="G57" s="59">
        <f>COUNTIFS(Jun!$B:$B,2161,Jun!$J:$J,5100)</f>
        <v>0</v>
      </c>
      <c r="H57" s="59">
        <f>COUNTIFS(Jul!$B:$B,2161,Jul!$J:$J,5100)</f>
        <v>0</v>
      </c>
      <c r="I57" s="59">
        <f>COUNTIFS(Aug!$B:$B,2161,Aug!$J:$J,5100)</f>
        <v>0</v>
      </c>
      <c r="J57" s="59">
        <f>COUNTIFS(Sep!$B:$B,2161,Sep!$J:$J,5100)</f>
        <v>0</v>
      </c>
      <c r="K57" s="59">
        <v>0</v>
      </c>
      <c r="L57" s="59">
        <f>COUNTIFS(Nov!$B:$B,2161,Nov!$J:$J,5100)</f>
        <v>0</v>
      </c>
      <c r="M57" s="59">
        <v>0</v>
      </c>
    </row>
    <row r="58" spans="1:13" s="8" customFormat="1" ht="11.25" customHeight="1">
      <c r="A58" s="10" t="s">
        <v>36</v>
      </c>
      <c r="B58" s="59">
        <f>COUNTIFS(Jan!$B:$B,2161,Jan!$J:$J,6200)</f>
        <v>0</v>
      </c>
      <c r="C58" s="59">
        <f>COUNTIFS(Feb!$B:$B,2161,Feb!$J:$J,6200)</f>
        <v>0</v>
      </c>
      <c r="D58" s="59">
        <f>COUNTIFS(Mar!$B:$B,2161,Mar!$J:$J,6200)</f>
        <v>0</v>
      </c>
      <c r="E58" s="59">
        <f>COUNTIFS(Apr!$B:$B,2161,Apr!$J:$J,6200)</f>
        <v>0</v>
      </c>
      <c r="F58" s="59">
        <f>COUNTIFS(May!$B:$B,2161,May!$J:$J,6200)</f>
        <v>0</v>
      </c>
      <c r="G58" s="59">
        <f>COUNTIFS(Jun!$B:$B,2161,Jun!$J:$J,6200)</f>
        <v>0</v>
      </c>
      <c r="H58" s="59">
        <f>COUNTIFS(Jul!$B:$B,2161,Jul!$J:$J,6200)</f>
        <v>0</v>
      </c>
      <c r="I58" s="59">
        <f>COUNTIFS(Aug!$B:$B,2161,Aug!$J:$J,6200)</f>
        <v>0</v>
      </c>
      <c r="J58" s="59">
        <f>COUNTIFS(Sep!$B:$B,2161,Sep!$J:$J,6200)</f>
        <v>0</v>
      </c>
      <c r="K58" s="59">
        <v>13</v>
      </c>
      <c r="L58" s="59">
        <f>COUNTIFS(Nov!$B:$B,2161,Nov!$J:$J,6200)</f>
        <v>0</v>
      </c>
      <c r="M58" s="59">
        <v>0</v>
      </c>
    </row>
    <row r="59" spans="1:13" s="8" customFormat="1" ht="11.25" customHeight="1">
      <c r="A59" s="10" t="s">
        <v>145</v>
      </c>
      <c r="B59" s="59">
        <f>COUNTIFS(Jan!$B:$B,2161,Jan!$J:$J,28)</f>
        <v>0</v>
      </c>
      <c r="C59" s="59">
        <f>COUNTIFS(Feb!$B:$B,2161,Feb!$J:$J,28)</f>
        <v>0</v>
      </c>
      <c r="D59" s="59">
        <f>COUNTIFS(Mar!$B:$B,2161,Mar!$J:$J,28)</f>
        <v>0</v>
      </c>
      <c r="E59" s="59">
        <f>COUNTIFS(Apr!$B:$B,2161,Apr!$J:$J,28)</f>
        <v>0</v>
      </c>
      <c r="F59" s="59">
        <f>COUNTIFS(May!$B:$B,2161,May!$J:$J,28)</f>
        <v>0</v>
      </c>
      <c r="G59" s="59">
        <f>COUNTIFS(Jun!$B:$B,2161,Jun!$J:$J,28)</f>
        <v>0</v>
      </c>
      <c r="H59" s="59">
        <f>COUNTIFS(Jul!$B:$B,2161,Jul!$J:$J,28)</f>
        <v>0</v>
      </c>
      <c r="I59" s="59">
        <f>COUNTIFS(Aug!$B:$B,2161,Aug!$J:$J,28)</f>
        <v>0</v>
      </c>
      <c r="J59" s="59">
        <f>COUNTIFS(Sep!$B:$B,2161,Sep!$J:$J,28)</f>
        <v>0</v>
      </c>
      <c r="K59" s="59">
        <f>COUNTIFS(Oct!$B:$B,2161,Oct!$J:$J,28)</f>
        <v>0</v>
      </c>
      <c r="L59" s="59">
        <f>COUNTIFS(Nov!$B:$B,2161,Nov!$J:$J,28)</f>
        <v>0</v>
      </c>
      <c r="M59" s="59">
        <v>0</v>
      </c>
    </row>
    <row r="60" spans="1:13" s="8" customFormat="1" ht="11.25" customHeight="1">
      <c r="A60" s="10" t="s">
        <v>38</v>
      </c>
      <c r="B60" s="59">
        <f>COUNTIFS(Jan!$B:$B,2161,Jan!$J:$J,6100)</f>
        <v>0</v>
      </c>
      <c r="C60" s="59">
        <f>COUNTIFS(Feb!$B:$B,2161,Feb!$J:$J,6100)</f>
        <v>0</v>
      </c>
      <c r="D60" s="59">
        <f>COUNTIFS(Mar!$B:$B,2161,Mar!$J:$J,6100)</f>
        <v>0</v>
      </c>
      <c r="E60" s="59">
        <f>COUNTIFS(Apr!$B:$B,2161,Apr!$J:$J,6100)</f>
        <v>0</v>
      </c>
      <c r="F60" s="59">
        <f>COUNTIFS(May!$B:$B,2161,May!$J:$J,6100)</f>
        <v>0</v>
      </c>
      <c r="G60" s="59">
        <v>1</v>
      </c>
      <c r="H60" s="59">
        <f>COUNTIFS(Jul!$B:$B,2161,Jul!$J:$J,6100)</f>
        <v>0</v>
      </c>
      <c r="I60" s="59">
        <f>COUNTIFS(Aug!$B:$B,2161,Aug!$J:$J,6100)</f>
        <v>0</v>
      </c>
      <c r="J60" s="59">
        <f>COUNTIFS(Sep!$B:$B,2161,Sep!$J:$J,6100)</f>
        <v>0</v>
      </c>
      <c r="K60" s="59">
        <f>COUNTIFS(Oct!$B:$B,2161,Oct!$J:$J,6100)</f>
        <v>0</v>
      </c>
      <c r="L60" s="59">
        <f>COUNTIFS(Nov!$B:$B,2161,Nov!$J:$J,6100)</f>
        <v>0</v>
      </c>
      <c r="M60" s="59">
        <v>0</v>
      </c>
    </row>
    <row r="61" spans="1:13" s="8" customFormat="1" ht="11.25" customHeight="1">
      <c r="A61" s="10" t="s">
        <v>9</v>
      </c>
      <c r="B61" s="59">
        <f>COUNTIFS(Jan!$B:$B,2161,Jan!$J:$J,6)</f>
        <v>0</v>
      </c>
      <c r="C61" s="59">
        <f>COUNTIFS(Feb!$B:$B,2161,Feb!$J:$J,6)</f>
        <v>0</v>
      </c>
      <c r="D61" s="59">
        <f>COUNTIFS(Mar!$B:$B,2161,Mar!$J:$J,6)</f>
        <v>0</v>
      </c>
      <c r="E61" s="59">
        <f>COUNTIFS(Apr!$B:$B,2161,Apr!$J:$J,6)</f>
        <v>0</v>
      </c>
      <c r="F61" s="59">
        <f>COUNTIFS(May!$B:$B,2161,May!$J:$J,6)</f>
        <v>0</v>
      </c>
      <c r="G61" s="59">
        <v>1</v>
      </c>
      <c r="H61" s="59">
        <f>COUNTIFS(Jul!$B:$B,2161,Jul!$J:$J,6)</f>
        <v>0</v>
      </c>
      <c r="I61" s="59">
        <f>COUNTIFS(Aug!$B:$B,2161,Aug!$J:$J,6)</f>
        <v>0</v>
      </c>
      <c r="J61" s="59">
        <f>COUNTIFS(Sep!$B:$B,2161,Sep!$J:$J,6)</f>
        <v>0</v>
      </c>
      <c r="K61" s="59">
        <f>COUNTIFS(Oct!$B:$B,2161,Oct!$J:$J,6)</f>
        <v>0</v>
      </c>
      <c r="L61" s="59">
        <f>COUNTIFS(Nov!$B:$B,2161,Nov!$J:$J,6)</f>
        <v>0</v>
      </c>
      <c r="M61" s="59">
        <v>0</v>
      </c>
    </row>
    <row r="62" spans="1:13" s="8" customFormat="1" ht="11.25" customHeight="1">
      <c r="A62" s="10" t="s">
        <v>8</v>
      </c>
      <c r="B62" s="59">
        <f>COUNTIFS(Jan!$B:$B,2161,Jan!$J:$J,4)</f>
        <v>0</v>
      </c>
      <c r="C62" s="59">
        <f>COUNTIFS(Feb!$B:$B,2161,Feb!$J:$J,4)</f>
        <v>0</v>
      </c>
      <c r="D62" s="59">
        <f>COUNTIFS(Mar!$B:$B,2161,Mar!$J:$J,4)</f>
        <v>0</v>
      </c>
      <c r="E62" s="59">
        <f>COUNTIFS(Apr!$B:$B,2161,Apr!$J:$J,4)</f>
        <v>0</v>
      </c>
      <c r="F62" s="59">
        <f>COUNTIFS(May!$B:$B,2161,May!$J:$J,4)</f>
        <v>0</v>
      </c>
      <c r="G62" s="59">
        <f>COUNTIFS(Jun!$B:$B,2161,Jun!$J:$J,4)</f>
        <v>0</v>
      </c>
      <c r="H62" s="59">
        <f>COUNTIFS(Jul!$B:$B,2161,Jul!$J:$J,4)</f>
        <v>0</v>
      </c>
      <c r="I62" s="59">
        <f>COUNTIFS(Aug!$B:$B,2161,Aug!$J:$J,4)</f>
        <v>0</v>
      </c>
      <c r="J62" s="59">
        <f>COUNTIFS(Sep!$B:$B,2161,Sep!$J:$J,4)</f>
        <v>0</v>
      </c>
      <c r="K62" s="59">
        <f>COUNTIFS(Oct!$B:$B,2161,Oct!$J:$J,4)</f>
        <v>0</v>
      </c>
      <c r="L62" s="59">
        <f>COUNTIFS(Nov!$B:$B,2161,Nov!$J:$J,4)</f>
        <v>0</v>
      </c>
      <c r="M62" s="59">
        <v>0</v>
      </c>
    </row>
    <row r="63" spans="1:13" s="8" customFormat="1" ht="11.25" customHeight="1">
      <c r="A63" s="10" t="s">
        <v>6</v>
      </c>
      <c r="B63" s="59">
        <f>COUNTIFS(Jan!$B:$B,2161,Jan!$J:$J,5)</f>
        <v>0</v>
      </c>
      <c r="C63" s="59">
        <f>COUNTIFS(Feb!$B:$B,2161,Feb!$J:$J,5)</f>
        <v>0</v>
      </c>
      <c r="D63" s="59">
        <f>COUNTIFS(Mar!$B:$B,2161,Mar!$J:$J,5)</f>
        <v>0</v>
      </c>
      <c r="E63" s="59">
        <f>COUNTIFS(Apr!$B:$B,2161,Apr!$J:$J,5)</f>
        <v>0</v>
      </c>
      <c r="F63" s="59">
        <f>COUNTIFS(May!$B:$B,2161,May!$J:$J,5)</f>
        <v>0</v>
      </c>
      <c r="G63" s="59">
        <f>COUNTIFS(Jun!$B:$B,2161,Jun!$J:$J,5)</f>
        <v>0</v>
      </c>
      <c r="H63" s="59">
        <f>COUNTIFS(Jul!$B:$B,2161,Jul!$J:$J,5)</f>
        <v>0</v>
      </c>
      <c r="I63" s="59">
        <f>COUNTIFS(Aug!$B:$B,2161,Aug!$J:$J,5)</f>
        <v>0</v>
      </c>
      <c r="J63" s="59">
        <f>COUNTIFS(Sep!$B:$B,2161,Sep!$J:$J,5)</f>
        <v>0</v>
      </c>
      <c r="K63" s="59">
        <f>COUNTIFS(Oct!$B:$B,2161,Oct!$J:$J,5)</f>
        <v>0</v>
      </c>
      <c r="L63" s="59">
        <f>COUNTIFS(Nov!$B:$B,2161,Nov!$J:$J,5)</f>
        <v>0</v>
      </c>
      <c r="M63" s="59">
        <v>0</v>
      </c>
    </row>
    <row r="64" spans="1:13" s="8" customFormat="1" ht="11.25" customHeight="1">
      <c r="A64" s="52" t="s">
        <v>141</v>
      </c>
      <c r="B64" s="69">
        <f>COUNTIFS(Jan!$B:$B,2161,Jan!$F:$F,456)</f>
        <v>14</v>
      </c>
      <c r="C64" s="69">
        <v>10</v>
      </c>
      <c r="D64" s="69">
        <v>5</v>
      </c>
      <c r="E64" s="69">
        <v>3</v>
      </c>
      <c r="F64" s="69">
        <v>6</v>
      </c>
      <c r="G64" s="69">
        <v>1</v>
      </c>
      <c r="H64" s="69">
        <f>COUNTIFS(Jul!$B:$B,2161,Jul!$F:$F,456)</f>
        <v>0</v>
      </c>
      <c r="I64" s="69">
        <v>3</v>
      </c>
      <c r="J64" s="69">
        <f>COUNTIFS(Sep!$B:$B,2161,Sep!$F:$F,456)</f>
        <v>0</v>
      </c>
      <c r="K64" s="69">
        <v>2</v>
      </c>
      <c r="L64" s="69">
        <v>3</v>
      </c>
      <c r="M64" s="69">
        <v>11</v>
      </c>
    </row>
    <row r="65" spans="1:13" s="8" customFormat="1" ht="11.25" customHeight="1" thickBot="1">
      <c r="A65" s="12" t="s">
        <v>16</v>
      </c>
      <c r="B65" s="70">
        <f>SUM(B54:B64)</f>
        <v>21</v>
      </c>
      <c r="C65" s="70">
        <f t="shared" ref="C65:M65" si="12">SUM(C54:C64)</f>
        <v>16</v>
      </c>
      <c r="D65" s="70">
        <f t="shared" si="12"/>
        <v>11</v>
      </c>
      <c r="E65" s="70">
        <f t="shared" si="12"/>
        <v>13</v>
      </c>
      <c r="F65" s="70">
        <f t="shared" si="12"/>
        <v>12</v>
      </c>
      <c r="G65" s="70">
        <f t="shared" si="12"/>
        <v>10</v>
      </c>
      <c r="H65" s="70">
        <f t="shared" si="12"/>
        <v>9</v>
      </c>
      <c r="I65" s="70">
        <f t="shared" si="12"/>
        <v>15</v>
      </c>
      <c r="J65" s="70">
        <f t="shared" si="12"/>
        <v>19</v>
      </c>
      <c r="K65" s="70">
        <f t="shared" si="12"/>
        <v>25</v>
      </c>
      <c r="L65" s="165">
        <f t="shared" si="12"/>
        <v>29</v>
      </c>
      <c r="M65" s="170">
        <f t="shared" si="12"/>
        <v>45</v>
      </c>
    </row>
    <row r="66" spans="1:13" s="8" customFormat="1" ht="15.75" customHeight="1">
      <c r="A66" s="6"/>
      <c r="B66" s="7"/>
      <c r="C66" s="7"/>
      <c r="D66" s="7"/>
      <c r="E66" s="7"/>
      <c r="F66" s="7"/>
      <c r="G66" s="7"/>
      <c r="H66" s="7"/>
      <c r="I66" s="7"/>
      <c r="J66" s="7"/>
      <c r="K66" s="7"/>
      <c r="L66" s="7"/>
      <c r="M66" s="7"/>
    </row>
    <row r="67" spans="1:13" ht="12" customHeight="1">
      <c r="A67" s="6"/>
      <c r="B67" s="7"/>
      <c r="C67" s="7"/>
      <c r="D67" s="7"/>
      <c r="E67" s="7"/>
      <c r="F67" s="7"/>
      <c r="G67" s="7"/>
      <c r="H67" s="7"/>
      <c r="I67" s="7"/>
      <c r="J67" s="7"/>
      <c r="K67" s="7"/>
      <c r="L67" s="7"/>
      <c r="M67" s="7"/>
    </row>
  </sheetData>
  <phoneticPr fontId="0" type="noConversion"/>
  <printOptions horizontalCentered="1" verticalCentered="1"/>
  <pageMargins left="0.14000000000000001" right="0.16" top="0.25" bottom="0.5" header="0.5" footer="0.25"/>
  <pageSetup scale="95" firstPageNumber="3" orientation="portrait" useFirstPageNumber="1" r:id="rId1"/>
  <headerFooter alignWithMargins="0">
    <oddFooter>&amp;R34 of 51</oddFooter>
  </headerFooter>
  <ignoredErrors>
    <ignoredError sqref="M32 M52 M65" formulaRange="1"/>
  </ignoredErrors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67"/>
  <sheetViews>
    <sheetView view="pageBreakPreview" topLeftCell="A19" zoomScale="90" zoomScaleNormal="100" zoomScaleSheetLayoutView="90" workbookViewId="0">
      <selection activeCell="M65" sqref="M65"/>
    </sheetView>
  </sheetViews>
  <sheetFormatPr defaultRowHeight="12.75"/>
  <cols>
    <col min="1" max="1" width="22.85546875" style="1" customWidth="1"/>
    <col min="2" max="13" width="7.140625" style="1" customWidth="1"/>
    <col min="14" max="14" width="4.42578125" style="1" customWidth="1"/>
    <col min="15" max="16384" width="9.140625" style="1"/>
  </cols>
  <sheetData>
    <row r="1" spans="1:21" ht="18" customHeight="1">
      <c r="A1" s="130"/>
      <c r="B1" s="131"/>
      <c r="C1" s="131"/>
      <c r="D1" s="131"/>
      <c r="E1" s="131"/>
      <c r="F1" s="131"/>
      <c r="G1" s="131"/>
      <c r="H1" s="130"/>
      <c r="I1" s="131"/>
      <c r="J1" s="131"/>
      <c r="K1" s="131"/>
      <c r="L1" s="130"/>
      <c r="M1" s="143" t="s">
        <v>22</v>
      </c>
    </row>
    <row r="2" spans="1:21" ht="18" customHeight="1">
      <c r="A2" s="130"/>
      <c r="B2" s="135"/>
      <c r="C2" s="135"/>
      <c r="D2" s="135"/>
      <c r="E2" s="135"/>
      <c r="F2" s="135"/>
      <c r="G2" s="135"/>
      <c r="H2" s="130"/>
      <c r="I2" s="135"/>
      <c r="J2" s="135"/>
      <c r="K2" s="135"/>
      <c r="L2" s="130"/>
      <c r="M2" s="155" t="s">
        <v>13</v>
      </c>
    </row>
    <row r="3" spans="1:21" s="5" customFormat="1" ht="18" customHeight="1">
      <c r="A3" s="133"/>
      <c r="B3" s="133"/>
      <c r="C3" s="133"/>
      <c r="D3" s="133"/>
      <c r="E3" s="133"/>
      <c r="F3" s="133"/>
      <c r="G3" s="133"/>
      <c r="H3" s="133"/>
      <c r="I3" s="133"/>
      <c r="J3" s="136"/>
      <c r="K3" s="136"/>
      <c r="L3" s="133"/>
      <c r="M3" s="155" t="s">
        <v>75</v>
      </c>
      <c r="N3" s="134"/>
      <c r="O3" s="134"/>
      <c r="P3" s="134"/>
      <c r="Q3" s="134"/>
      <c r="R3" s="134"/>
      <c r="S3" s="134"/>
      <c r="T3" s="134"/>
      <c r="U3" s="134"/>
    </row>
    <row r="4" spans="1:21" s="8" customFormat="1" ht="6.75" customHeight="1" thickBot="1">
      <c r="A4" s="38"/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</row>
    <row r="5" spans="1:21" s="8" customFormat="1" ht="11.25" customHeight="1" thickBot="1">
      <c r="A5" s="53" t="s">
        <v>19</v>
      </c>
      <c r="B5" s="50">
        <v>41275</v>
      </c>
      <c r="C5" s="47">
        <v>41306</v>
      </c>
      <c r="D5" s="47">
        <v>41334</v>
      </c>
      <c r="E5" s="47">
        <v>41365</v>
      </c>
      <c r="F5" s="47">
        <v>41395</v>
      </c>
      <c r="G5" s="47">
        <v>41426</v>
      </c>
      <c r="H5" s="47">
        <v>41456</v>
      </c>
      <c r="I5" s="47">
        <v>41487</v>
      </c>
      <c r="J5" s="47">
        <v>41518</v>
      </c>
      <c r="K5" s="47">
        <v>41548</v>
      </c>
      <c r="L5" s="47">
        <v>41579</v>
      </c>
      <c r="M5" s="51">
        <v>41609</v>
      </c>
    </row>
    <row r="6" spans="1:21" s="8" customFormat="1" ht="11.25" customHeight="1">
      <c r="A6" s="41" t="s">
        <v>129</v>
      </c>
      <c r="B6" s="57">
        <f t="shared" ref="B6:L6" si="0">B32</f>
        <v>0</v>
      </c>
      <c r="C6" s="57">
        <f t="shared" si="0"/>
        <v>0</v>
      </c>
      <c r="D6" s="57">
        <f t="shared" si="0"/>
        <v>0</v>
      </c>
      <c r="E6" s="57">
        <f t="shared" si="0"/>
        <v>0</v>
      </c>
      <c r="F6" s="57">
        <f t="shared" si="0"/>
        <v>0</v>
      </c>
      <c r="G6" s="57">
        <f t="shared" si="0"/>
        <v>0</v>
      </c>
      <c r="H6" s="57">
        <f t="shared" si="0"/>
        <v>0</v>
      </c>
      <c r="I6" s="57">
        <f t="shared" si="0"/>
        <v>0</v>
      </c>
      <c r="J6" s="57">
        <f t="shared" si="0"/>
        <v>0</v>
      </c>
      <c r="K6" s="57">
        <f t="shared" si="0"/>
        <v>0</v>
      </c>
      <c r="L6" s="156">
        <f t="shared" si="0"/>
        <v>0</v>
      </c>
      <c r="M6" s="168">
        <v>0</v>
      </c>
    </row>
    <row r="7" spans="1:21" s="8" customFormat="1" ht="11.25" customHeight="1">
      <c r="A7" s="42" t="s">
        <v>18</v>
      </c>
      <c r="B7" s="57">
        <f t="shared" ref="B7:L7" si="1">SUM(B10:B12)</f>
        <v>0</v>
      </c>
      <c r="C7" s="57">
        <f t="shared" si="1"/>
        <v>0</v>
      </c>
      <c r="D7" s="57">
        <f t="shared" si="1"/>
        <v>0</v>
      </c>
      <c r="E7" s="57">
        <f t="shared" si="1"/>
        <v>0</v>
      </c>
      <c r="F7" s="57">
        <f t="shared" si="1"/>
        <v>0</v>
      </c>
      <c r="G7" s="57">
        <f t="shared" si="1"/>
        <v>0</v>
      </c>
      <c r="H7" s="57">
        <f t="shared" si="1"/>
        <v>0</v>
      </c>
      <c r="I7" s="57">
        <f t="shared" si="1"/>
        <v>0</v>
      </c>
      <c r="J7" s="57">
        <f t="shared" si="1"/>
        <v>0</v>
      </c>
      <c r="K7" s="57">
        <f t="shared" si="1"/>
        <v>0</v>
      </c>
      <c r="L7" s="156">
        <f t="shared" si="1"/>
        <v>0</v>
      </c>
      <c r="M7" s="171">
        <v>0</v>
      </c>
    </row>
    <row r="8" spans="1:21" s="8" customFormat="1" ht="11.25" customHeight="1" thickBot="1">
      <c r="A8" s="43" t="s">
        <v>14</v>
      </c>
      <c r="B8" s="58">
        <f t="shared" ref="B8:L8" si="2">SUM(B6:B7)</f>
        <v>0</v>
      </c>
      <c r="C8" s="58">
        <f t="shared" si="2"/>
        <v>0</v>
      </c>
      <c r="D8" s="58">
        <f t="shared" si="2"/>
        <v>0</v>
      </c>
      <c r="E8" s="58">
        <f t="shared" si="2"/>
        <v>0</v>
      </c>
      <c r="F8" s="58">
        <f t="shared" si="2"/>
        <v>0</v>
      </c>
      <c r="G8" s="58">
        <f t="shared" si="2"/>
        <v>0</v>
      </c>
      <c r="H8" s="58">
        <f t="shared" si="2"/>
        <v>0</v>
      </c>
      <c r="I8" s="58">
        <f t="shared" si="2"/>
        <v>0</v>
      </c>
      <c r="J8" s="58">
        <f t="shared" si="2"/>
        <v>0</v>
      </c>
      <c r="K8" s="58">
        <f t="shared" si="2"/>
        <v>0</v>
      </c>
      <c r="L8" s="157">
        <f t="shared" si="2"/>
        <v>0</v>
      </c>
      <c r="M8" s="172">
        <v>0</v>
      </c>
    </row>
    <row r="9" spans="1:21" s="8" customFormat="1" ht="11.25" customHeight="1" thickBot="1">
      <c r="A9" s="54" t="s">
        <v>18</v>
      </c>
      <c r="B9" s="50">
        <v>41275</v>
      </c>
      <c r="C9" s="47">
        <v>41306</v>
      </c>
      <c r="D9" s="47">
        <v>41334</v>
      </c>
      <c r="E9" s="47">
        <v>41365</v>
      </c>
      <c r="F9" s="47">
        <v>41395</v>
      </c>
      <c r="G9" s="47">
        <v>41426</v>
      </c>
      <c r="H9" s="47">
        <v>41456</v>
      </c>
      <c r="I9" s="47">
        <v>41487</v>
      </c>
      <c r="J9" s="47">
        <v>41518</v>
      </c>
      <c r="K9" s="47">
        <v>41548</v>
      </c>
      <c r="L9" s="47">
        <v>41579</v>
      </c>
      <c r="M9" s="51">
        <v>41609</v>
      </c>
    </row>
    <row r="10" spans="1:21" s="8" customFormat="1" ht="11.25" customHeight="1">
      <c r="A10" s="9" t="s">
        <v>128</v>
      </c>
      <c r="B10" s="57">
        <f t="shared" ref="B10:L10" si="3">B52</f>
        <v>0</v>
      </c>
      <c r="C10" s="57">
        <f t="shared" si="3"/>
        <v>0</v>
      </c>
      <c r="D10" s="57">
        <f t="shared" si="3"/>
        <v>0</v>
      </c>
      <c r="E10" s="57">
        <f t="shared" si="3"/>
        <v>0</v>
      </c>
      <c r="F10" s="57">
        <f t="shared" si="3"/>
        <v>0</v>
      </c>
      <c r="G10" s="59">
        <f t="shared" si="3"/>
        <v>0</v>
      </c>
      <c r="H10" s="59">
        <f t="shared" si="3"/>
        <v>0</v>
      </c>
      <c r="I10" s="59">
        <f t="shared" si="3"/>
        <v>0</v>
      </c>
      <c r="J10" s="59">
        <f t="shared" si="3"/>
        <v>0</v>
      </c>
      <c r="K10" s="59">
        <f t="shared" si="3"/>
        <v>0</v>
      </c>
      <c r="L10" s="158">
        <f t="shared" si="3"/>
        <v>0</v>
      </c>
      <c r="M10" s="168">
        <v>0</v>
      </c>
    </row>
    <row r="11" spans="1:21" s="8" customFormat="1" ht="11.25" customHeight="1">
      <c r="A11" s="9" t="s">
        <v>127</v>
      </c>
      <c r="B11" s="59">
        <f t="shared" ref="B11:L11" si="4">B65</f>
        <v>0</v>
      </c>
      <c r="C11" s="59">
        <f t="shared" si="4"/>
        <v>0</v>
      </c>
      <c r="D11" s="59">
        <f t="shared" si="4"/>
        <v>0</v>
      </c>
      <c r="E11" s="59">
        <f t="shared" si="4"/>
        <v>0</v>
      </c>
      <c r="F11" s="59">
        <f t="shared" si="4"/>
        <v>0</v>
      </c>
      <c r="G11" s="59">
        <f t="shared" si="4"/>
        <v>0</v>
      </c>
      <c r="H11" s="59">
        <f t="shared" si="4"/>
        <v>0</v>
      </c>
      <c r="I11" s="59">
        <f t="shared" si="4"/>
        <v>0</v>
      </c>
      <c r="J11" s="59">
        <f t="shared" si="4"/>
        <v>0</v>
      </c>
      <c r="K11" s="59">
        <f t="shared" si="4"/>
        <v>0</v>
      </c>
      <c r="L11" s="158">
        <f t="shared" si="4"/>
        <v>0</v>
      </c>
      <c r="M11" s="169">
        <v>0</v>
      </c>
    </row>
    <row r="12" spans="1:21" s="8" customFormat="1" ht="11.25" customHeight="1" thickBot="1">
      <c r="A12" s="2" t="s">
        <v>12</v>
      </c>
      <c r="B12" s="60">
        <f>COUNTIFS(Jan!$B:$B,2184,Jan!$F:$F,800)</f>
        <v>0</v>
      </c>
      <c r="C12" s="60">
        <f>COUNTIFS(Feb!$B:$B,2184,Feb!$F:$F,800)</f>
        <v>0</v>
      </c>
      <c r="D12" s="60">
        <f>COUNTIFS(Mar!$B:$B,2184,Mar!$F:$F,800)</f>
        <v>0</v>
      </c>
      <c r="E12" s="60">
        <f>COUNTIFS(Apr!$B:$B,2184,Apr!$F:$F,800)</f>
        <v>0</v>
      </c>
      <c r="F12" s="60">
        <f>COUNTIFS(May!$B:$B,2184,May!$F:$F,800)</f>
        <v>0</v>
      </c>
      <c r="G12" s="60">
        <f>COUNTIFS(Jun!$B:$B,2184,Jun!$F:$F,800)</f>
        <v>0</v>
      </c>
      <c r="H12" s="60">
        <f>COUNTIFS(Jul!$B:$B,2184,Jul!$F:$F,800)</f>
        <v>0</v>
      </c>
      <c r="I12" s="60">
        <f>COUNTIFS(Aug!$B:$B,2184,Aug!$F:$F,800)</f>
        <v>0</v>
      </c>
      <c r="J12" s="60">
        <f>COUNTIFS(Sep!$B:$B,2184,Sep!$F:$F,800)</f>
        <v>0</v>
      </c>
      <c r="K12" s="60">
        <f>COUNTIFS(Oct!$B:$B,2184,Oct!$F:$F,800)</f>
        <v>0</v>
      </c>
      <c r="L12" s="60">
        <f>COUNTIFS(Nov!$B:$B,2184,Nov!$F:$F,800)</f>
        <v>0</v>
      </c>
      <c r="M12" s="60">
        <v>0</v>
      </c>
    </row>
    <row r="13" spans="1:21" s="8" customFormat="1" ht="5.0999999999999996" customHeight="1" thickBot="1">
      <c r="A13" s="3"/>
      <c r="B13" s="17"/>
      <c r="C13" s="17"/>
      <c r="D13" s="17"/>
      <c r="E13" s="17"/>
      <c r="F13" s="17"/>
      <c r="G13" s="17"/>
      <c r="H13" s="17"/>
      <c r="I13" s="17"/>
      <c r="J13" s="17"/>
      <c r="K13" s="17"/>
      <c r="L13" s="17"/>
      <c r="M13" s="147"/>
    </row>
    <row r="14" spans="1:21" s="16" customFormat="1" ht="11.25" customHeight="1">
      <c r="A14" s="44" t="s">
        <v>131</v>
      </c>
      <c r="B14" s="120"/>
      <c r="C14" s="120"/>
      <c r="D14" s="120"/>
      <c r="E14" s="120"/>
      <c r="F14" s="120"/>
      <c r="G14" s="120"/>
      <c r="H14" s="119"/>
      <c r="I14" s="61"/>
      <c r="J14" s="61"/>
      <c r="K14" s="118"/>
      <c r="L14" s="160"/>
      <c r="M14" s="173"/>
      <c r="O14" s="22"/>
      <c r="P14" s="22"/>
      <c r="Q14" s="22"/>
    </row>
    <row r="15" spans="1:21" s="8" customFormat="1" ht="11.25" customHeight="1">
      <c r="A15" s="45" t="s">
        <v>132</v>
      </c>
      <c r="B15" s="62" t="str">
        <f>IFERROR((SUMIFS(Jan!$N:$N,Jan!$J:$J,1,Jan!$B:$B,2184)+SUMIFS(Jan!$N:$N,Jan!$D:$D,"&gt;1",Jan!$B:$B,2184))/(COUNTIFS(Jan!$J:$J,1,Jan!$B:$B,2184)+COUNTIFS(Jan!$D:$D,"&gt;1",Jan!$B:$B,2184)),"")</f>
        <v/>
      </c>
      <c r="C15" s="62" t="str">
        <f ca="1">IFERROR((SUMIFS(Feb!$N:$N,Feb!$J:$J,1,Feb!$B:$B,2184)+SUMIFS(Feb!$N:$N,Feb!$D:$D,"&gt;1",Feb!$B:$B,2184))/(COUNTIFS(Feb!$J:$J,1,Feb!$B:$B,2184)+COUNTIFS(Feb!$D:$D,"&gt;1",Feb!$B:$B,2184)),"")</f>
        <v/>
      </c>
      <c r="D15" s="62" t="str">
        <f ca="1">IFERROR((SUMIFS(Mar!$N:$N,Mar!$J:$J,1,Mar!$B:$B,2184)+SUMIFS(Mar!$N:$N,Mar!$D:$D,"&gt;1",Mar!$B:$B,2184))/(COUNTIFS(Mar!$J:$J,1,Mar!$B:$B,2184)+COUNTIFS(Mar!$D:$D,"&gt;1",Mar!$B:$B,2184)),"")</f>
        <v/>
      </c>
      <c r="E15" s="62" t="str">
        <f ca="1">IFERROR((SUMIFS(Apr!$N:$N,Apr!$J:$J,1,Apr!$B:$B,2184)+SUMIFS(Apr!$N:$N,Apr!$D:$D,"&gt;1",Apr!$B:$B,2184))/(COUNTIFS(Apr!$J:$J,1,Apr!$B:$B,2184)+COUNTIFS(Apr!$D:$D,"&gt;1",Apr!$B:$B,2184)),"")</f>
        <v/>
      </c>
      <c r="F15" s="62" t="str">
        <f ca="1">IFERROR((SUMIFS(May!$N:$N,May!$J:$J,1,May!$B:$B,2184)+SUMIFS(May!$N:$N,May!$D:$D,"&gt;1",May!$B:$B,2184))/(COUNTIFS(May!$J:$J,1,May!$B:$B,2184)+COUNTIFS(May!$D:$D,"&gt;1",May!$B:$B,2184)),"")</f>
        <v/>
      </c>
      <c r="G15" s="62" t="str">
        <f ca="1">IFERROR((SUMIFS(Jun!$N:$N,Jun!$J:$J,1,Jun!$B:$B,2184)+SUMIFS(Jun!$N:$N,Jun!$D:$D,"&gt;1",Jun!$B:$B,2184))/(COUNTIFS(Jun!$J:$J,1,Jun!$B:$B,2184)+COUNTIFS(Jun!$D:$D,"&gt;1",Jun!$B:$B,2184)),"")</f>
        <v/>
      </c>
      <c r="H15" s="62" t="str">
        <f ca="1">IFERROR((SUMIFS(Jul!$N:$N,Jul!$J:$J,1,Jul!$B:$B,2184)+SUMIFS(Jul!$N:$N,Jul!$D:$D,"&gt;1",Jul!$B:$B,2184))/(COUNTIFS(Jul!$J:$J,1,Jul!$B:$B,2184)+COUNTIFS(Jul!$D:$D,"&gt;1",Jul!$B:$B,2184)),"")</f>
        <v/>
      </c>
      <c r="I15" s="62" t="str">
        <f ca="1">IFERROR((SUMIFS(Aug!$N:$N,Aug!$J:$J,1,Aug!$B:$B,2184)+SUMIFS(Aug!$N:$N,Aug!$D:$D,"&gt;1",Aug!$B:$B,2184))/(COUNTIFS(Aug!$J:$J,1,Aug!$B:$B,2184)+COUNTIFS(Aug!$D:$D,"&gt;1",Aug!$B:$B,2184)),"")</f>
        <v/>
      </c>
      <c r="J15" s="62" t="str">
        <f ca="1">IFERROR((SUMIFS(Sep!$N:$N,Sep!$J:$J,1,Sep!$B:$B,2184)+SUMIFS(Sep!$N:$N,Sep!$D:$D,"&gt;1",Sep!$B:$B,2184))/(COUNTIFS(Sep!$J:$J,1,Sep!$B:$B,2184)+COUNTIFS(Sep!$D:$D,"&gt;1",Sep!$B:$B,2184)),"")</f>
        <v/>
      </c>
      <c r="K15" s="62" t="str">
        <f ca="1">IFERROR((SUMIFS(Oct!$N:$N,Oct!$J:$J,1,Oct!$B:$B,2184)+SUMIFS(Oct!$N:$N,Oct!$D:$D,"&gt;1",Oct!$B:$B,2184))/(COUNTIFS(Oct!$J:$J,1,Oct!$B:$B,2184)+COUNTIFS(Oct!$D:$D,"&gt;1",Oct!$B:$B,2184)),"")</f>
        <v/>
      </c>
      <c r="L15" s="62" t="str">
        <f ca="1">IFERROR((SUMIFS(Nov!$N:$N,Nov!$J:$J,1,Nov!$B:$B,2184)+SUMIFS(Nov!$N:$N,Nov!$D:$D,"&gt;1",Nov!$B:$B,2184))/(COUNTIFS(Nov!$J:$J,1,Nov!$B:$B,2184)+COUNTIFS(Nov!$D:$D,"&gt;1",Nov!$B:$B,2184)),"")</f>
        <v/>
      </c>
      <c r="M15" s="62" t="str">
        <f>IFERROR((SUMIFS(#REF!,#REF!,1,#REF!,2184)+SUMIFS(#REF!,#REF!,"&gt;1",#REF!,2184))/(COUNTIFS(#REF!,1,#REF!,2184)+COUNTIFS(#REF!,"&gt;1",#REF!,2184)),"")</f>
        <v/>
      </c>
      <c r="N15" s="15"/>
      <c r="O15" s="1"/>
      <c r="P15" s="1"/>
      <c r="Q15" s="1"/>
    </row>
    <row r="16" spans="1:21" s="8" customFormat="1" ht="11.25" customHeight="1">
      <c r="A16" s="45" t="s">
        <v>133</v>
      </c>
      <c r="B16" s="62" t="str">
        <f>IFERROR(AVERAGEIFS(Jan!$N:$N,Jan!$F:$F,800,Jan!$B:$B,2184),"")</f>
        <v/>
      </c>
      <c r="C16" s="62" t="str">
        <f ca="1">IFERROR(AVERAGEIFS(Feb!$N:$N,Feb!$F:$F,800,Feb!$B:$B,2184),"")</f>
        <v/>
      </c>
      <c r="D16" s="62" t="str">
        <f ca="1">IFERROR(AVERAGEIFS(Mar!$N:$N,Mar!$F:$F,800,Mar!$B:$B,2184),"")</f>
        <v/>
      </c>
      <c r="E16" s="62" t="str">
        <f ca="1">IFERROR(AVERAGEIFS(Apr!$N:$N,Apr!$F:$F,800,Apr!$B:$B,2184),"")</f>
        <v/>
      </c>
      <c r="F16" s="62" t="str">
        <f ca="1">IFERROR(AVERAGEIFS(May!$N:$N,May!$F:$F,800,May!$B:$B,2184),"")</f>
        <v/>
      </c>
      <c r="G16" s="62" t="str">
        <f ca="1">IFERROR(AVERAGEIFS(Jun!$N:$N,Jun!$F:$F,800,Jun!$B:$B,2184),"")</f>
        <v/>
      </c>
      <c r="H16" s="62" t="str">
        <f ca="1">IFERROR(AVERAGEIFS(Jul!$N:$N,Jul!$F:$F,800,Jul!$B:$B,2184),"")</f>
        <v/>
      </c>
      <c r="I16" s="62" t="str">
        <f ca="1">IFERROR(AVERAGEIFS(Aug!$N:$N,Aug!$F:$F,800,Aug!$B:$B,2184),"")</f>
        <v/>
      </c>
      <c r="J16" s="62" t="str">
        <f ca="1">IFERROR(AVERAGEIFS(Sep!$N:$N,Sep!$F:$F,800,Sep!$B:$B,2184),"")</f>
        <v/>
      </c>
      <c r="K16" s="62" t="str">
        <f ca="1">IFERROR(AVERAGEIFS(Oct!$N:$N,Oct!$F:$F,800,Oct!$B:$B,2184),"")</f>
        <v/>
      </c>
      <c r="L16" s="62" t="str">
        <f ca="1">IFERROR(AVERAGEIFS(Nov!$N:$N,Nov!$F:$F,800,Nov!$B:$B,2184),"")</f>
        <v/>
      </c>
      <c r="M16" s="62" t="str">
        <f>IFERROR(AVERAGEIFS(#REF!,#REF!,800,#REF!,2184),"")</f>
        <v/>
      </c>
      <c r="O16" s="1"/>
      <c r="P16" s="1"/>
      <c r="Q16" s="1"/>
    </row>
    <row r="17" spans="1:17" s="8" customFormat="1" ht="11.25" customHeight="1">
      <c r="A17" s="45" t="s">
        <v>134</v>
      </c>
      <c r="B17" s="63" t="str">
        <f>IFERROR((SUMIFS(Jan!$M:$M,Jan!$J:$J,1,Jan!$B:$B,2184)+SUMIFS(Jan!$M:$M,Jan!$D:$D,"&gt;1",Jan!$B:$B,2184))/(COUNTIFS(Jan!$J:$J,1,Jan!$B:$B,2184)+COUNTIFS(Jan!$D:$D,"&gt;1",Jan!$B:$B,2184)),"")</f>
        <v/>
      </c>
      <c r="C17" s="63" t="str">
        <f ca="1">IFERROR((SUMIFS(Feb!$M:$M,Feb!$J:$J,1,Feb!$B:$B,2184)+SUMIFS(Feb!$M:$M,Feb!$D:$D,"&gt;1",Feb!$B:$B,2184))/(COUNTIFS(Feb!$J:$J,1,Feb!$B:$B,2184)+COUNTIFS(Feb!$D:$D,"&gt;1",Feb!$B:$B,2184)),"")</f>
        <v/>
      </c>
      <c r="D17" s="63" t="str">
        <f ca="1">IFERROR((SUMIFS(Mar!$M:$M,Mar!$J:$J,1,Mar!$B:$B,2184)+SUMIFS(Mar!$M:$M,Mar!$D:$D,"&gt;1",Mar!$B:$B,2184))/(COUNTIFS(Mar!$J:$J,1,Mar!$B:$B,2184)+COUNTIFS(Mar!$D:$D,"&gt;1",Mar!$B:$B,2184)),"")</f>
        <v/>
      </c>
      <c r="E17" s="63" t="str">
        <f ca="1">IFERROR((SUMIFS(Apr!$M:$M,Apr!$J:$J,1,Apr!$B:$B,2184)+SUMIFS(Apr!$M:$M,Apr!$D:$D,"&gt;1",Apr!$B:$B,2184))/(COUNTIFS(Apr!$J:$J,1,Apr!$B:$B,2184)+COUNTIFS(Apr!$D:$D,"&gt;1",Apr!$B:$B,2184)),"")</f>
        <v/>
      </c>
      <c r="F17" s="63" t="str">
        <f ca="1">IFERROR((SUMIFS(May!$M:$M,May!$J:$J,1,May!$B:$B,2184)+SUMIFS(May!$M:$M,May!$D:$D,"&gt;1",May!$B:$B,2184))/(COUNTIFS(May!$J:$J,1,May!$B:$B,2184)+COUNTIFS(May!$D:$D,"&gt;1",May!$B:$B,2184)),"")</f>
        <v/>
      </c>
      <c r="G17" s="63" t="str">
        <f ca="1">IFERROR((SUMIFS(Jun!$M:$M,Jun!$J:$J,1,Jun!$B:$B,2184)+SUMIFS(Jun!$M:$M,Jun!$D:$D,"&gt;1",Jun!$B:$B,2184))/(COUNTIFS(Jun!$J:$J,1,Jun!$B:$B,2184)+COUNTIFS(Jun!$D:$D,"&gt;1",Jun!$B:$B,2184)),"")</f>
        <v/>
      </c>
      <c r="H17" s="63" t="str">
        <f ca="1">IFERROR((SUMIFS(Jul!$M:$M,Jul!$J:$J,1,Jul!$B:$B,2184)+SUMIFS(Jul!$M:$M,Jul!$D:$D,"&gt;1",Jul!$B:$B,2184))/(COUNTIFS(Jul!$J:$J,1,Jul!$B:$B,2184)+COUNTIFS(Jul!$D:$D,"&gt;1",Jul!$B:$B,2184)),"")</f>
        <v/>
      </c>
      <c r="I17" s="63" t="str">
        <f ca="1">IFERROR((SUMIFS(Aug!$M:$M,Aug!$J:$J,1,Aug!$B:$B,2184)+SUMIFS(Aug!$M:$M,Aug!$D:$D,"&gt;1",Aug!$B:$B,2184))/(COUNTIFS(Aug!$J:$J,1,Aug!$B:$B,2184)+COUNTIFS(Aug!$D:$D,"&gt;1",Aug!$B:$B,2184)),"")</f>
        <v/>
      </c>
      <c r="J17" s="63" t="str">
        <f ca="1">IFERROR((SUMIFS(Sep!$M:$M,Sep!$J:$J,1,Sep!$B:$B,2184)+SUMIFS(Sep!$M:$M,Sep!$D:$D,"&gt;1",Sep!$B:$B,2184))/(COUNTIFS(Sep!$J:$J,1,Sep!$B:$B,2184)+COUNTIFS(Sep!$D:$D,"&gt;1",Sep!$B:$B,2184)),"")</f>
        <v/>
      </c>
      <c r="K17" s="63" t="str">
        <f ca="1">IFERROR((SUMIFS(Oct!$M:$M,Oct!$J:$J,1,Oct!$B:$B,2184)+SUMIFS(Oct!$M:$M,Oct!$D:$D,"&gt;1",Oct!$B:$B,2184))/(COUNTIFS(Oct!$J:$J,1,Oct!$B:$B,2184)+COUNTIFS(Oct!$D:$D,"&gt;1",Oct!$B:$B,2184)),"")</f>
        <v/>
      </c>
      <c r="L17" s="63" t="str">
        <f ca="1">IFERROR((SUMIFS(Nov!$M:$M,Nov!$J:$J,1,Nov!$B:$B,2184)+SUMIFS(Nov!$M:$M,Nov!$D:$D,"&gt;1",Nov!$B:$B,2184))/(COUNTIFS(Nov!$J:$J,1,Nov!$B:$B,2184)+COUNTIFS(Nov!$D:$D,"&gt;1",Nov!$B:$B,2184)),"")</f>
        <v/>
      </c>
      <c r="M17" s="63" t="str">
        <f>IFERROR((SUMIFS(#REF!,#REF!,1,#REF!,2184)+SUMIFS(#REF!,#REF!,"&gt;1",#REF!,2184))/(COUNTIFS(#REF!,1,#REF!,2184)+COUNTIFS(#REF!,"&gt;1",#REF!,2184)),"")</f>
        <v/>
      </c>
      <c r="O17" s="1"/>
      <c r="P17" s="1"/>
      <c r="Q17" s="1"/>
    </row>
    <row r="18" spans="1:17" s="8" customFormat="1" ht="11.25" customHeight="1" thickBot="1">
      <c r="A18" s="43" t="s">
        <v>135</v>
      </c>
      <c r="B18" s="64" t="str">
        <f>IFERROR(AVERAGEIFS(Jan!$M:$M,Jan!$F:$F,800,Jan!$B:$B,2184),"")</f>
        <v/>
      </c>
      <c r="C18" s="64" t="str">
        <f ca="1">IFERROR(AVERAGEIFS(Feb!$M:$M,Feb!$F:$F,800,Feb!$B:$B,2184),"")</f>
        <v/>
      </c>
      <c r="D18" s="64" t="str">
        <f ca="1">IFERROR(AVERAGEIFS(Mar!$M:$M,Mar!$F:$F,800,Mar!$B:$B,2184),"")</f>
        <v/>
      </c>
      <c r="E18" s="64" t="str">
        <f ca="1">IFERROR(AVERAGEIFS(Apr!$M:$M,Apr!$F:$F,800,Apr!$B:$B,2184),"")</f>
        <v/>
      </c>
      <c r="F18" s="64" t="str">
        <f ca="1">IFERROR(AVERAGEIFS(May!$M:$M,May!$F:$F,800,May!$B:$B,2184),"")</f>
        <v/>
      </c>
      <c r="G18" s="64" t="str">
        <f ca="1">IFERROR(AVERAGEIFS(Jun!$M:$M,Jun!$F:$F,800,Jun!$B:$B,2184),"")</f>
        <v/>
      </c>
      <c r="H18" s="64" t="str">
        <f ca="1">IFERROR(AVERAGEIFS(Jul!$M:$M,Jul!$F:$F,800,Jul!$B:$B,2184),"")</f>
        <v/>
      </c>
      <c r="I18" s="64" t="str">
        <f ca="1">IFERROR(AVERAGEIFS(Aug!$M:$M,Aug!$F:$F,800,Aug!$B:$B,2184),"")</f>
        <v/>
      </c>
      <c r="J18" s="64" t="str">
        <f ca="1">IFERROR(AVERAGEIFS(Sep!$M:$M,Sep!$F:$F,800,Sep!$B:$B,2184),"")</f>
        <v/>
      </c>
      <c r="K18" s="64" t="str">
        <f ca="1">IFERROR(AVERAGEIFS(Oct!$M:$M,Oct!$F:$F,800,Oct!$B:$B,2184),"")</f>
        <v/>
      </c>
      <c r="L18" s="64" t="str">
        <f ca="1">IFERROR(AVERAGEIFS(Nov!$M:$M,Nov!$F:$F,800,Nov!$B:$B,2184),"")</f>
        <v/>
      </c>
      <c r="M18" s="64" t="str">
        <f>IFERROR(AVERAGEIFS(#REF!,#REF!,800,#REF!,2184),"")</f>
        <v/>
      </c>
    </row>
    <row r="19" spans="1:17" s="8" customFormat="1" ht="5.0999999999999996" customHeight="1" thickBot="1">
      <c r="A19" s="3"/>
      <c r="B19" s="17"/>
      <c r="C19" s="17"/>
      <c r="D19" s="17"/>
      <c r="E19" s="17"/>
      <c r="F19" s="17"/>
      <c r="G19" s="17"/>
      <c r="H19" s="17"/>
      <c r="I19" s="17"/>
      <c r="J19" s="17"/>
      <c r="K19" s="17"/>
      <c r="L19" s="17"/>
      <c r="M19" s="147"/>
    </row>
    <row r="20" spans="1:17" s="8" customFormat="1" ht="11.25" customHeight="1">
      <c r="A20" s="42" t="s">
        <v>52</v>
      </c>
      <c r="B20" s="65">
        <v>31</v>
      </c>
      <c r="C20" s="65">
        <v>28</v>
      </c>
      <c r="D20" s="65">
        <v>31</v>
      </c>
      <c r="E20" s="65">
        <v>30</v>
      </c>
      <c r="F20" s="65">
        <v>31</v>
      </c>
      <c r="G20" s="65">
        <v>30</v>
      </c>
      <c r="H20" s="65">
        <v>31</v>
      </c>
      <c r="I20" s="65">
        <v>31</v>
      </c>
      <c r="J20" s="65">
        <v>30</v>
      </c>
      <c r="K20" s="65">
        <v>31</v>
      </c>
      <c r="L20" s="161">
        <v>30</v>
      </c>
      <c r="M20" s="174">
        <v>31</v>
      </c>
    </row>
    <row r="21" spans="1:17" s="8" customFormat="1" ht="11.25" customHeight="1">
      <c r="A21" s="9" t="s">
        <v>15</v>
      </c>
      <c r="B21" s="66">
        <f>B12/B20</f>
        <v>0</v>
      </c>
      <c r="C21" s="66">
        <f t="shared" ref="C21:M21" si="5">C12/C20</f>
        <v>0</v>
      </c>
      <c r="D21" s="66">
        <f>D12/D20</f>
        <v>0</v>
      </c>
      <c r="E21" s="66">
        <f>E12/E20</f>
        <v>0</v>
      </c>
      <c r="F21" s="66">
        <f>F12/F20</f>
        <v>0</v>
      </c>
      <c r="G21" s="66">
        <f>G12/G20</f>
        <v>0</v>
      </c>
      <c r="H21" s="66">
        <f t="shared" si="5"/>
        <v>0</v>
      </c>
      <c r="I21" s="66">
        <f t="shared" si="5"/>
        <v>0</v>
      </c>
      <c r="J21" s="66">
        <f t="shared" si="5"/>
        <v>0</v>
      </c>
      <c r="K21" s="66">
        <f t="shared" si="5"/>
        <v>0</v>
      </c>
      <c r="L21" s="162">
        <f t="shared" si="5"/>
        <v>0</v>
      </c>
      <c r="M21" s="175">
        <f t="shared" si="5"/>
        <v>0</v>
      </c>
    </row>
    <row r="22" spans="1:17" s="8" customFormat="1" ht="11.25" customHeight="1">
      <c r="A22" s="9" t="s">
        <v>130</v>
      </c>
      <c r="B22" s="67">
        <f t="shared" ref="B22:G22" si="6">IFERROR(B12/B7,0)</f>
        <v>0</v>
      </c>
      <c r="C22" s="67">
        <f t="shared" si="6"/>
        <v>0</v>
      </c>
      <c r="D22" s="67">
        <f t="shared" si="6"/>
        <v>0</v>
      </c>
      <c r="E22" s="67">
        <f t="shared" si="6"/>
        <v>0</v>
      </c>
      <c r="F22" s="67">
        <f t="shared" si="6"/>
        <v>0</v>
      </c>
      <c r="G22" s="67">
        <f t="shared" si="6"/>
        <v>0</v>
      </c>
      <c r="H22" s="67">
        <f t="shared" ref="H22:M22" si="7">IFERROR(H12/H7,0)</f>
        <v>0</v>
      </c>
      <c r="I22" s="67">
        <f t="shared" si="7"/>
        <v>0</v>
      </c>
      <c r="J22" s="67">
        <f t="shared" si="7"/>
        <v>0</v>
      </c>
      <c r="K22" s="116">
        <f t="shared" si="7"/>
        <v>0</v>
      </c>
      <c r="L22" s="67">
        <f t="shared" si="7"/>
        <v>0</v>
      </c>
      <c r="M22" s="176">
        <f t="shared" si="7"/>
        <v>0</v>
      </c>
      <c r="N22" s="1"/>
    </row>
    <row r="23" spans="1:17" s="8" customFormat="1" ht="11.25" customHeight="1" thickBot="1">
      <c r="A23" s="9" t="s">
        <v>53</v>
      </c>
      <c r="B23" s="67">
        <f t="shared" ref="B23:G23" si="8">IFERROR(B12/(B11+B12),0)</f>
        <v>0</v>
      </c>
      <c r="C23" s="67">
        <f t="shared" si="8"/>
        <v>0</v>
      </c>
      <c r="D23" s="67">
        <f t="shared" si="8"/>
        <v>0</v>
      </c>
      <c r="E23" s="67">
        <f t="shared" si="8"/>
        <v>0</v>
      </c>
      <c r="F23" s="67">
        <f t="shared" si="8"/>
        <v>0</v>
      </c>
      <c r="G23" s="67">
        <f t="shared" si="8"/>
        <v>0</v>
      </c>
      <c r="H23" s="67">
        <f t="shared" ref="H23:M23" si="9">IFERROR(H12/(H11+H12),0)</f>
        <v>0</v>
      </c>
      <c r="I23" s="67">
        <f t="shared" si="9"/>
        <v>0</v>
      </c>
      <c r="J23" s="67">
        <f t="shared" si="9"/>
        <v>0</v>
      </c>
      <c r="K23" s="117">
        <f t="shared" si="9"/>
        <v>0</v>
      </c>
      <c r="L23" s="163">
        <f t="shared" si="9"/>
        <v>0</v>
      </c>
      <c r="M23" s="177">
        <f t="shared" si="9"/>
        <v>0</v>
      </c>
      <c r="N23" s="4"/>
    </row>
    <row r="24" spans="1:17" s="8" customFormat="1" ht="11.25" customHeight="1" thickBot="1">
      <c r="A24" s="56" t="s">
        <v>21</v>
      </c>
      <c r="B24" s="50">
        <v>41275</v>
      </c>
      <c r="C24" s="47">
        <v>41306</v>
      </c>
      <c r="D24" s="47">
        <v>41334</v>
      </c>
      <c r="E24" s="47">
        <v>41365</v>
      </c>
      <c r="F24" s="47">
        <v>41395</v>
      </c>
      <c r="G24" s="47">
        <v>41426</v>
      </c>
      <c r="H24" s="47">
        <v>41456</v>
      </c>
      <c r="I24" s="47">
        <v>41487</v>
      </c>
      <c r="J24" s="47">
        <v>41518</v>
      </c>
      <c r="K24" s="47">
        <v>41548</v>
      </c>
      <c r="L24" s="47">
        <v>41579</v>
      </c>
      <c r="M24" s="51">
        <v>41609</v>
      </c>
    </row>
    <row r="25" spans="1:17" s="8" customFormat="1" ht="11.25" customHeight="1">
      <c r="A25" s="18" t="s">
        <v>5</v>
      </c>
      <c r="B25" s="68">
        <f>COUNTIFS(Jan!$B:$B,2184,Jan!$J:$J,18)</f>
        <v>0</v>
      </c>
      <c r="C25" s="68">
        <f>COUNTIFS(Feb!$B:$B,2184,Feb!$J:$J,18)</f>
        <v>0</v>
      </c>
      <c r="D25" s="68">
        <f>COUNTIFS(Mar!$B:$B,2184,Mar!$J:$J,18)</f>
        <v>0</v>
      </c>
      <c r="E25" s="68">
        <f>COUNTIFS(Apr!$B:$B,2184,Apr!$J:$J,18)</f>
        <v>0</v>
      </c>
      <c r="F25" s="68">
        <f>COUNTIFS(May!$B:$B,2184,May!$J:$J,18)</f>
        <v>0</v>
      </c>
      <c r="G25" s="68">
        <f>COUNTIFS(Jun!$B:$B,2184,Jun!$J:$J,18)</f>
        <v>0</v>
      </c>
      <c r="H25" s="68">
        <f>COUNTIFS(Jul!$B:$B,2184,Jul!$J:$J,18)</f>
        <v>0</v>
      </c>
      <c r="I25" s="68">
        <f>COUNTIFS(Aug!$B:$B,2184,Aug!$J:$J,18)</f>
        <v>0</v>
      </c>
      <c r="J25" s="68">
        <f>COUNTIFS(Sep!$B:$B,2184,Sep!$J:$J,18)</f>
        <v>0</v>
      </c>
      <c r="K25" s="68">
        <f>COUNTIFS(Oct!$B:$B,2184,Oct!$J:$J,18)</f>
        <v>0</v>
      </c>
      <c r="L25" s="68">
        <f>COUNTIFS(Nov!$B:$B,2184,Nov!$J:$J,18)</f>
        <v>0</v>
      </c>
      <c r="M25" s="68">
        <v>0</v>
      </c>
    </row>
    <row r="26" spans="1:17" s="8" customFormat="1" ht="11.25" customHeight="1">
      <c r="A26" s="46" t="s">
        <v>40</v>
      </c>
      <c r="B26" s="57">
        <f>COUNTIFS(Jan!$B:$B,2184,Jan!$J:$J,41)</f>
        <v>0</v>
      </c>
      <c r="C26" s="57">
        <f>COUNTIFS(Feb!$B:$B,2184,Feb!$J:$J,41)</f>
        <v>0</v>
      </c>
      <c r="D26" s="57">
        <f>COUNTIFS(Mar!$B:$B,2184,Mar!$J:$J,41)</f>
        <v>0</v>
      </c>
      <c r="E26" s="57">
        <f>COUNTIFS(Apr!$B:$B,2184,Apr!$J:$J,41)</f>
        <v>0</v>
      </c>
      <c r="F26" s="57">
        <f>COUNTIFS(May!$B:$B,2184,May!$J:$J,41)</f>
        <v>0</v>
      </c>
      <c r="G26" s="57">
        <f>COUNTIFS(Jun!$B:$B,2184,Jun!$J:$J,41)</f>
        <v>0</v>
      </c>
      <c r="H26" s="57">
        <f>COUNTIFS(Jul!$B:$B,2184,Jul!$J:$J,41)</f>
        <v>0</v>
      </c>
      <c r="I26" s="57">
        <f>COUNTIFS(Aug!$B:$B,2184,Aug!$J:$J,41)</f>
        <v>0</v>
      </c>
      <c r="J26" s="57">
        <f>COUNTIFS(Sep!$B:$B,2184,Sep!$J:$J,41)</f>
        <v>0</v>
      </c>
      <c r="K26" s="57">
        <f>COUNTIFS(Oct!$B:$B,2184,Oct!$J:$J,41)</f>
        <v>0</v>
      </c>
      <c r="L26" s="57">
        <f>COUNTIFS(Nov!$B:$B,2184,Nov!$J:$J,41)</f>
        <v>0</v>
      </c>
      <c r="M26" s="57">
        <v>0</v>
      </c>
    </row>
    <row r="27" spans="1:17" s="8" customFormat="1" ht="11.25" customHeight="1">
      <c r="A27" s="9" t="s">
        <v>11</v>
      </c>
      <c r="B27" s="179">
        <f>COUNTIFS(Jan!$B:$B,2184,Jan!$J:$J,17)</f>
        <v>0</v>
      </c>
      <c r="C27" s="179">
        <f>COUNTIFS(Feb!$B:$B,2184,Feb!$J:$J,17)</f>
        <v>0</v>
      </c>
      <c r="D27" s="179">
        <f>COUNTIFS(Mar!$B:$B,2184,Mar!$J:$J,17)</f>
        <v>0</v>
      </c>
      <c r="E27" s="179">
        <f>COUNTIFS(Apr!$B:$B,2184,Apr!$J:$J,17)</f>
        <v>0</v>
      </c>
      <c r="F27" s="179">
        <f>COUNTIFS(May!$B:$B,2184,May!$J:$J,17)</f>
        <v>0</v>
      </c>
      <c r="G27" s="179">
        <f>COUNTIFS(Jun!$B:$B,2184,Jun!$J:$J,17)</f>
        <v>0</v>
      </c>
      <c r="H27" s="179">
        <f>COUNTIFS(Jul!$B:$B,2184,Jul!$J:$J,17)</f>
        <v>0</v>
      </c>
      <c r="I27" s="179">
        <f>COUNTIFS(Aug!$B:$B,2184,Aug!$J:$J,17)</f>
        <v>0</v>
      </c>
      <c r="J27" s="179">
        <f>COUNTIFS(Sep!$B:$B,2184,Sep!$J:$J,17)</f>
        <v>0</v>
      </c>
      <c r="K27" s="179">
        <f>COUNTIFS(Oct!$B:$B,2184,Oct!$J:$J,17)</f>
        <v>0</v>
      </c>
      <c r="L27" s="179">
        <f>COUNTIFS(Nov!$B:$B,2184,Nov!$J:$J,17)</f>
        <v>0</v>
      </c>
      <c r="M27" s="206">
        <v>0</v>
      </c>
    </row>
    <row r="28" spans="1:17" s="8" customFormat="1" ht="11.25" customHeight="1">
      <c r="A28" s="9" t="s">
        <v>143</v>
      </c>
      <c r="B28" s="59">
        <f>COUNTIFS(Jan!$B:$B,2184,Jan!$F:$F,455)</f>
        <v>0</v>
      </c>
      <c r="C28" s="59">
        <f>COUNTIFS(Feb!$B:$B,2184,Feb!$F:$F,455)</f>
        <v>0</v>
      </c>
      <c r="D28" s="59">
        <f>COUNTIFS(Mar!$B:$B,2184,Mar!$F:$F,455)</f>
        <v>0</v>
      </c>
      <c r="E28" s="59">
        <f>COUNTIFS(Apr!$B:$B,2184,Apr!$F:$F,455)</f>
        <v>0</v>
      </c>
      <c r="F28" s="59">
        <f>COUNTIFS(May!$B:$B,2184,May!$F:$F,455)</f>
        <v>0</v>
      </c>
      <c r="G28" s="59">
        <f>COUNTIFS(Jun!$B:$B,2184,Jun!$F:$F,455)</f>
        <v>0</v>
      </c>
      <c r="H28" s="59">
        <f>COUNTIFS(Jul!$B:$B,2184,Jul!$F:$F,455)</f>
        <v>0</v>
      </c>
      <c r="I28" s="59">
        <f>COUNTIFS(Aug!$B:$B,2184,Aug!$F:$F,455)</f>
        <v>0</v>
      </c>
      <c r="J28" s="59">
        <f>COUNTIFS(Sep!$B:$B,2184,Sep!$F:$F,455)</f>
        <v>0</v>
      </c>
      <c r="K28" s="59">
        <f>COUNTIFS(Oct!$B:$B,2184,Oct!$F:$F,455)</f>
        <v>0</v>
      </c>
      <c r="L28" s="59">
        <f>COUNTIFS(Nov!$B:$B,2184,Nov!$F:$F,455)</f>
        <v>0</v>
      </c>
      <c r="M28" s="59">
        <v>0</v>
      </c>
    </row>
    <row r="29" spans="1:17" s="8" customFormat="1" ht="11.25" customHeight="1">
      <c r="A29" s="9" t="s">
        <v>23</v>
      </c>
      <c r="B29" s="59">
        <f>COUNTIFS(Jan!$B:$B,2184,Jan!$J:$J,31)</f>
        <v>0</v>
      </c>
      <c r="C29" s="59">
        <f>COUNTIFS(Feb!$B:$B,2184,Feb!$J:$J,31)</f>
        <v>0</v>
      </c>
      <c r="D29" s="59">
        <f>COUNTIFS(Mar!$B:$B,2184,Mar!$J:$J,31)</f>
        <v>0</v>
      </c>
      <c r="E29" s="59">
        <f>COUNTIFS(Apr!$B:$B,2184,Apr!$J:$J,31)</f>
        <v>0</v>
      </c>
      <c r="F29" s="59">
        <f>COUNTIFS(May!$B:$B,2184,May!$J:$J,31)</f>
        <v>0</v>
      </c>
      <c r="G29" s="59">
        <f>COUNTIFS(Jun!$B:$B,2184,Jun!$J:$J,31)</f>
        <v>0</v>
      </c>
      <c r="H29" s="59">
        <f>COUNTIFS(Jul!$B:$B,2184,Jul!$J:$J,31)</f>
        <v>0</v>
      </c>
      <c r="I29" s="59">
        <f>COUNTIFS(Aug!$B:$B,2184,Aug!$J:$J,31)</f>
        <v>0</v>
      </c>
      <c r="J29" s="59">
        <f>COUNTIFS(Sep!$B:$B,2184,Sep!$J:$J,31)</f>
        <v>0</v>
      </c>
      <c r="K29" s="59">
        <f>COUNTIFS(Oct!$B:$B,2184,Oct!$J:$J,31)</f>
        <v>0</v>
      </c>
      <c r="L29" s="59">
        <f>COUNTIFS(Nov!$B:$B,2184,Nov!$J:$J,31)</f>
        <v>0</v>
      </c>
      <c r="M29" s="59">
        <v>0</v>
      </c>
    </row>
    <row r="30" spans="1:17" s="8" customFormat="1" ht="11.25" customHeight="1">
      <c r="A30" s="9" t="s">
        <v>37</v>
      </c>
      <c r="B30" s="59">
        <f>COUNTIFS(Jan!$B:$B,2184,Jan!$J:$J,4400)</f>
        <v>0</v>
      </c>
      <c r="C30" s="59">
        <f>COUNTIFS(Feb!$B:$B,2184,Feb!$J:$J,4400)</f>
        <v>0</v>
      </c>
      <c r="D30" s="59">
        <f>COUNTIFS(Mar!$B:$B,2184,Mar!$J:$J,4400)</f>
        <v>0</v>
      </c>
      <c r="E30" s="59">
        <f>COUNTIFS(Apr!$B:$B,2184,Apr!$J:$J,4400)</f>
        <v>0</v>
      </c>
      <c r="F30" s="59">
        <f>COUNTIFS(May!$B:$B,2184,May!$J:$J,4400)</f>
        <v>0</v>
      </c>
      <c r="G30" s="59">
        <f>COUNTIFS(Jun!$B:$B,2184,Jun!$J:$J,4400)</f>
        <v>0</v>
      </c>
      <c r="H30" s="59">
        <f>COUNTIFS(Jul!$B:$B,2184,Jul!$J:$J,4400)</f>
        <v>0</v>
      </c>
      <c r="I30" s="59">
        <f>COUNTIFS(Aug!$B:$B,2184,Aug!$J:$J,4400)</f>
        <v>0</v>
      </c>
      <c r="J30" s="59">
        <f>COUNTIFS(Sep!$B:$B,2184,Sep!$J:$J,4400)</f>
        <v>0</v>
      </c>
      <c r="K30" s="59">
        <f>COUNTIFS(Oct!$B:$B,2184,Oct!$J:$J,4400)</f>
        <v>0</v>
      </c>
      <c r="L30" s="59">
        <f>COUNTIFS(Nov!$B:$B,2184,Nov!$J:$J,4400)</f>
        <v>0</v>
      </c>
      <c r="M30" s="59">
        <v>0</v>
      </c>
    </row>
    <row r="31" spans="1:17" s="8" customFormat="1" ht="11.25" customHeight="1">
      <c r="A31" s="10" t="s">
        <v>24</v>
      </c>
      <c r="B31" s="59">
        <f>COUNTIFS(Jan!$B:$B,2184,Jan!$J:$J,30)</f>
        <v>0</v>
      </c>
      <c r="C31" s="59">
        <f>COUNTIFS(Feb!$B:$B,2184,Feb!$J:$J,30)</f>
        <v>0</v>
      </c>
      <c r="D31" s="59">
        <f>COUNTIFS(Mar!$B:$B,2184,Mar!$J:$J,30)</f>
        <v>0</v>
      </c>
      <c r="E31" s="59">
        <f>COUNTIFS(Apr!$B:$B,2184,Apr!$J:$J,30)</f>
        <v>0</v>
      </c>
      <c r="F31" s="59">
        <f>COUNTIFS(May!$B:$B,2184,May!$J:$J,30)</f>
        <v>0</v>
      </c>
      <c r="G31" s="59">
        <f>COUNTIFS(Jun!$B:$B,2184,Jun!$J:$J,30)</f>
        <v>0</v>
      </c>
      <c r="H31" s="59">
        <f>COUNTIFS(Jul!$B:$B,2184,Jul!$J:$J,30)</f>
        <v>0</v>
      </c>
      <c r="I31" s="59">
        <f>COUNTIFS(Aug!$B:$B,2184,Aug!$J:$J,30)</f>
        <v>0</v>
      </c>
      <c r="J31" s="59">
        <f>COUNTIFS(Sep!$B:$B,2184,Sep!$J:$J,30)</f>
        <v>0</v>
      </c>
      <c r="K31" s="59">
        <f>COUNTIFS(Oct!$B:$B,2184,Oct!$J:$J,30)</f>
        <v>0</v>
      </c>
      <c r="L31" s="59">
        <f>COUNTIFS(Nov!$B:$B,2184,Nov!$J:$J,30)</f>
        <v>0</v>
      </c>
      <c r="M31" s="59">
        <v>0</v>
      </c>
    </row>
    <row r="32" spans="1:17" s="14" customFormat="1" ht="11.25" customHeight="1" thickBot="1">
      <c r="A32" s="2" t="s">
        <v>140</v>
      </c>
      <c r="B32" s="60">
        <f>SUM(B25:B31)</f>
        <v>0</v>
      </c>
      <c r="C32" s="60">
        <f t="shared" ref="C32:M32" si="10">SUM(C25:C31)</f>
        <v>0</v>
      </c>
      <c r="D32" s="60">
        <f>SUM(D25:D31)</f>
        <v>0</v>
      </c>
      <c r="E32" s="60">
        <f>SUM(E25:E31)</f>
        <v>0</v>
      </c>
      <c r="F32" s="60">
        <f>SUM(F25:F31)</f>
        <v>0</v>
      </c>
      <c r="G32" s="60">
        <f>SUM(G25:G31)</f>
        <v>0</v>
      </c>
      <c r="H32" s="60">
        <f t="shared" si="10"/>
        <v>0</v>
      </c>
      <c r="I32" s="60">
        <f t="shared" si="10"/>
        <v>0</v>
      </c>
      <c r="J32" s="60">
        <f t="shared" si="10"/>
        <v>0</v>
      </c>
      <c r="K32" s="60">
        <f t="shared" si="10"/>
        <v>0</v>
      </c>
      <c r="L32" s="159">
        <f t="shared" si="10"/>
        <v>0</v>
      </c>
      <c r="M32" s="170">
        <f t="shared" si="10"/>
        <v>0</v>
      </c>
    </row>
    <row r="33" spans="1:13" ht="12" customHeight="1" thickBot="1">
      <c r="A33" s="55" t="s">
        <v>136</v>
      </c>
      <c r="B33" s="50">
        <v>41275</v>
      </c>
      <c r="C33" s="47">
        <v>41306</v>
      </c>
      <c r="D33" s="47">
        <v>41334</v>
      </c>
      <c r="E33" s="47">
        <v>41365</v>
      </c>
      <c r="F33" s="47">
        <v>41395</v>
      </c>
      <c r="G33" s="47">
        <v>41426</v>
      </c>
      <c r="H33" s="47">
        <v>41456</v>
      </c>
      <c r="I33" s="47">
        <v>41487</v>
      </c>
      <c r="J33" s="47">
        <v>41518</v>
      </c>
      <c r="K33" s="47">
        <v>41548</v>
      </c>
      <c r="L33" s="47">
        <v>41579</v>
      </c>
      <c r="M33" s="51">
        <v>41609</v>
      </c>
    </row>
    <row r="34" spans="1:13" s="8" customFormat="1" ht="11.25" customHeight="1">
      <c r="A34" s="46" t="s">
        <v>33</v>
      </c>
      <c r="B34" s="57">
        <f>COUNTIFS(Jan!$B:$B,2184,Jan!$J:$J,40)</f>
        <v>0</v>
      </c>
      <c r="C34" s="57">
        <f>COUNTIFS(Feb!$B:$B,2184,Feb!$J:$J,40)</f>
        <v>0</v>
      </c>
      <c r="D34" s="57">
        <f>COUNTIFS(Mar!$B:$B,2184,Mar!$J:$J,40)</f>
        <v>0</v>
      </c>
      <c r="E34" s="57">
        <f>COUNTIFS(Apr!$B:$B,2184,Apr!$J:$J,40)</f>
        <v>0</v>
      </c>
      <c r="F34" s="57">
        <f>COUNTIFS(May!$B:$B,2184,May!$J:$J,40)</f>
        <v>0</v>
      </c>
      <c r="G34" s="57">
        <f>COUNTIFS(Jun!$B:$B,2184,Jun!$J:$J,40)</f>
        <v>0</v>
      </c>
      <c r="H34" s="57">
        <f>COUNTIFS(Jul!$B:$B,2184,Jul!$J:$J,40)</f>
        <v>0</v>
      </c>
      <c r="I34" s="57">
        <f>COUNTIFS(Aug!$B:$B,2184,Aug!$J:$J,40)</f>
        <v>0</v>
      </c>
      <c r="J34" s="57">
        <f>COUNTIFS(Sep!$B:$B,2184,Sep!$J:$J,40)</f>
        <v>0</v>
      </c>
      <c r="K34" s="57">
        <f>COUNTIFS(Oct!$B:$B,2184,Oct!$J:$J,40)</f>
        <v>0</v>
      </c>
      <c r="L34" s="57">
        <f>COUNTIFS(Nov!$B:$B,2184,Nov!$J:$J,40)</f>
        <v>0</v>
      </c>
      <c r="M34" s="57">
        <v>0</v>
      </c>
    </row>
    <row r="35" spans="1:13" s="8" customFormat="1" ht="11.25" customHeight="1">
      <c r="A35" s="10" t="s">
        <v>4</v>
      </c>
      <c r="B35" s="59">
        <f>COUNTIFS(Jan!$B:$B,2184,Jan!$J:$J,15)</f>
        <v>0</v>
      </c>
      <c r="C35" s="59">
        <f>COUNTIFS(Feb!$B:$B,2184,Feb!$J:$J,15)</f>
        <v>0</v>
      </c>
      <c r="D35" s="59">
        <f>COUNTIFS(Mar!$B:$B,2184,Mar!$J:$J,15)</f>
        <v>0</v>
      </c>
      <c r="E35" s="59">
        <f>COUNTIFS(Apr!$B:$B,2184,Apr!$J:$J,15)</f>
        <v>0</v>
      </c>
      <c r="F35" s="59">
        <f>COUNTIFS(May!$B:$B,2184,May!$J:$J,15)</f>
        <v>0</v>
      </c>
      <c r="G35" s="59">
        <f>COUNTIFS(Jun!$B:$B,2184,Jun!$J:$J,15)</f>
        <v>0</v>
      </c>
      <c r="H35" s="59">
        <f>COUNTIFS(Jul!$B:$B,2184,Jul!$J:$J,15)</f>
        <v>0</v>
      </c>
      <c r="I35" s="59">
        <f>COUNTIFS(Aug!$B:$B,2184,Aug!$J:$J,15)</f>
        <v>0</v>
      </c>
      <c r="J35" s="59">
        <f>COUNTIFS(Sep!$B:$B,2184,Sep!$J:$J,15)</f>
        <v>0</v>
      </c>
      <c r="K35" s="59">
        <f>COUNTIFS(Oct!$B:$B,2184,Oct!$J:$J,15)</f>
        <v>0</v>
      </c>
      <c r="L35" s="59">
        <f>COUNTIFS(Nov!$B:$B,2184,Nov!$J:$J,15)</f>
        <v>0</v>
      </c>
      <c r="M35" s="59">
        <v>0</v>
      </c>
    </row>
    <row r="36" spans="1:13" s="8" customFormat="1" ht="11.25" customHeight="1">
      <c r="A36" s="10" t="s">
        <v>39</v>
      </c>
      <c r="B36" s="59">
        <f>COUNTIFS(Jan!$B:$B,2184,Jan!$J:$J,29)</f>
        <v>0</v>
      </c>
      <c r="C36" s="59">
        <f>COUNTIFS(Feb!$B:$B,2184,Feb!$J:$J,29)</f>
        <v>0</v>
      </c>
      <c r="D36" s="59">
        <f>COUNTIFS(Mar!$B:$B,2184,Mar!$J:$J,29)</f>
        <v>0</v>
      </c>
      <c r="E36" s="59">
        <f>COUNTIFS(Apr!$B:$B,2184,Apr!$J:$J,29)</f>
        <v>0</v>
      </c>
      <c r="F36" s="59">
        <f>COUNTIFS(May!$B:$B,2184,May!$J:$J,29)</f>
        <v>0</v>
      </c>
      <c r="G36" s="59">
        <f>COUNTIFS(Jun!$B:$B,2184,Jun!$J:$J,29)</f>
        <v>0</v>
      </c>
      <c r="H36" s="59">
        <f>COUNTIFS(Jul!$B:$B,2184,Jul!$J:$J,29)</f>
        <v>0</v>
      </c>
      <c r="I36" s="59">
        <f>COUNTIFS(Aug!$B:$B,2184,Aug!$J:$J,29)</f>
        <v>0</v>
      </c>
      <c r="J36" s="59">
        <f>COUNTIFS(Sep!$B:$B,2184,Sep!$J:$J,29)</f>
        <v>0</v>
      </c>
      <c r="K36" s="59">
        <f>COUNTIFS(Oct!$B:$B,2184,Oct!$J:$J,29)</f>
        <v>0</v>
      </c>
      <c r="L36" s="59">
        <f>COUNTIFS(Nov!$B:$B,2184,Nov!$J:$J,29)</f>
        <v>0</v>
      </c>
      <c r="M36" s="59">
        <v>0</v>
      </c>
    </row>
    <row r="37" spans="1:13" s="8" customFormat="1" ht="11.25" customHeight="1">
      <c r="A37" s="10" t="s">
        <v>3</v>
      </c>
      <c r="B37" s="59">
        <f>COUNTIFS(Jan!$B:$B,2184,Jan!$J:$J,13)</f>
        <v>0</v>
      </c>
      <c r="C37" s="59">
        <f>COUNTIFS(Feb!$B:$B,2184,Feb!$J:$J,13)</f>
        <v>0</v>
      </c>
      <c r="D37" s="59">
        <f>COUNTIFS(Mar!$B:$B,2184,Mar!$J:$J,13)</f>
        <v>0</v>
      </c>
      <c r="E37" s="59">
        <f>COUNTIFS(Apr!$B:$B,2184,Apr!$J:$J,13)</f>
        <v>0</v>
      </c>
      <c r="F37" s="59">
        <f>COUNTIFS(May!$B:$B,2184,May!$J:$J,13)</f>
        <v>0</v>
      </c>
      <c r="G37" s="59">
        <f>COUNTIFS(Jun!$B:$B,2184,Jun!$J:$J,13)</f>
        <v>0</v>
      </c>
      <c r="H37" s="59">
        <f>COUNTIFS(Jul!$B:$B,2184,Jul!$J:$J,13)</f>
        <v>0</v>
      </c>
      <c r="I37" s="59">
        <f>COUNTIFS(Aug!$B:$B,2184,Aug!$J:$J,13)</f>
        <v>0</v>
      </c>
      <c r="J37" s="59">
        <f>COUNTIFS(Sep!$B:$B,2184,Sep!$J:$J,13)</f>
        <v>0</v>
      </c>
      <c r="K37" s="59">
        <f>COUNTIFS(Oct!$B:$B,2184,Oct!$J:$J,13)</f>
        <v>0</v>
      </c>
      <c r="L37" s="59">
        <f>COUNTIFS(Nov!$B:$B,2184,Nov!$J:$J,13)</f>
        <v>0</v>
      </c>
      <c r="M37" s="59">
        <v>0</v>
      </c>
    </row>
    <row r="38" spans="1:13" s="8" customFormat="1" ht="11.25" customHeight="1">
      <c r="A38" s="9" t="s">
        <v>218</v>
      </c>
      <c r="B38" s="59">
        <f>COUNTIFS(Jan!$B:$B,2184,Jan!$J:$J,43)</f>
        <v>0</v>
      </c>
      <c r="C38" s="59">
        <f>COUNTIFS(Feb!$B:$B,2184,Feb!$J:$J,43)</f>
        <v>0</v>
      </c>
      <c r="D38" s="59">
        <f>COUNTIFS(Mar!$B:$B,2184,Mar!$J:$J,43)</f>
        <v>0</v>
      </c>
      <c r="E38" s="59">
        <f>COUNTIFS(Apr!$B:$B,2184,Apr!$J:$J,43)</f>
        <v>0</v>
      </c>
      <c r="F38" s="59">
        <f>COUNTIFS(May!$B:$B,2184,May!$J:$J,43)</f>
        <v>0</v>
      </c>
      <c r="G38" s="59">
        <f>COUNTIFS(Jun!$B:$B,2184,Jun!$J:$J,43)</f>
        <v>0</v>
      </c>
      <c r="H38" s="59">
        <f>COUNTIFS(Jul!$B:$B,2184,Jul!$J:$J,43)</f>
        <v>0</v>
      </c>
      <c r="I38" s="59">
        <f>COUNTIFS(Aug!$B:$B,2184,Aug!$J:$J,43)</f>
        <v>0</v>
      </c>
      <c r="J38" s="59">
        <f>COUNTIFS(Sep!$B:$B,2184,Sep!$J:$J,43)</f>
        <v>0</v>
      </c>
      <c r="K38" s="59">
        <f>COUNTIFS(Oct!$B:$B,2184,Oct!$J:$J,43)</f>
        <v>0</v>
      </c>
      <c r="L38" s="59">
        <f>COUNTIFS(Nov!$B:$B,2184,Nov!$J:$J,43)</f>
        <v>0</v>
      </c>
      <c r="M38" s="59">
        <v>0</v>
      </c>
    </row>
    <row r="39" spans="1:13" s="8" customFormat="1" ht="11.25" customHeight="1">
      <c r="A39" s="10" t="s">
        <v>25</v>
      </c>
      <c r="B39" s="59">
        <f>COUNTIFS(Jan!$B:$B,2184,Jan!$J:$J,24)</f>
        <v>0</v>
      </c>
      <c r="C39" s="59">
        <f>COUNTIFS(Feb!$B:$B,2184,Feb!$J:$J,24)</f>
        <v>0</v>
      </c>
      <c r="D39" s="59">
        <f>COUNTIFS(Mar!$B:$B,2184,Mar!$J:$J,24)</f>
        <v>0</v>
      </c>
      <c r="E39" s="59">
        <f>COUNTIFS(Apr!$B:$B,2184,Apr!$J:$J,24)</f>
        <v>0</v>
      </c>
      <c r="F39" s="59">
        <f>COUNTIFS(May!$B:$B,2184,May!$J:$J,24)</f>
        <v>0</v>
      </c>
      <c r="G39" s="59">
        <f>COUNTIFS(Jun!$B:$B,2184,Jun!$J:$J,24)</f>
        <v>0</v>
      </c>
      <c r="H39" s="59">
        <f>COUNTIFS(Jul!$B:$B,2184,Jul!$J:$J,24)</f>
        <v>0</v>
      </c>
      <c r="I39" s="59">
        <f>COUNTIFS(Aug!$B:$B,2184,Aug!$J:$J,24)</f>
        <v>0</v>
      </c>
      <c r="J39" s="59">
        <f>COUNTIFS(Sep!$B:$B,2184,Sep!$J:$J,24)</f>
        <v>0</v>
      </c>
      <c r="K39" s="59">
        <f>COUNTIFS(Oct!$B:$B,2184,Oct!$J:$J,24)</f>
        <v>0</v>
      </c>
      <c r="L39" s="59">
        <f>COUNTIFS(Nov!$B:$B,2184,Nov!$J:$J,24)</f>
        <v>0</v>
      </c>
      <c r="M39" s="59">
        <v>0</v>
      </c>
    </row>
    <row r="40" spans="1:13" s="8" customFormat="1" ht="11.25" customHeight="1">
      <c r="A40" s="10" t="s">
        <v>34</v>
      </c>
      <c r="B40" s="59">
        <f>COUNTIFS(Jan!$B:$B,2184,Jan!$J:$J,9)</f>
        <v>0</v>
      </c>
      <c r="C40" s="59">
        <f>COUNTIFS(Feb!$B:$B,2184,Feb!$J:$J,9)</f>
        <v>0</v>
      </c>
      <c r="D40" s="59">
        <f>COUNTIFS(Mar!$B:$B,2184,Mar!$J:$J,9)</f>
        <v>0</v>
      </c>
      <c r="E40" s="59">
        <f>COUNTIFS(Apr!$B:$B,2184,Apr!$J:$J,9)</f>
        <v>0</v>
      </c>
      <c r="F40" s="59">
        <f>COUNTIFS(May!$B:$B,2184,May!$J:$J,9)</f>
        <v>0</v>
      </c>
      <c r="G40" s="59">
        <f>COUNTIFS(Jun!$B:$B,2184,Jun!$J:$J,9)</f>
        <v>0</v>
      </c>
      <c r="H40" s="59">
        <f>COUNTIFS(Jul!$B:$B,2184,Jul!$J:$J,9)</f>
        <v>0</v>
      </c>
      <c r="I40" s="59">
        <f>COUNTIFS(Aug!$B:$B,2184,Aug!$J:$J,9)</f>
        <v>0</v>
      </c>
      <c r="J40" s="59">
        <f>COUNTIFS(Sep!$B:$B,2184,Sep!$J:$J,9)</f>
        <v>0</v>
      </c>
      <c r="K40" s="59">
        <f>COUNTIFS(Oct!$B:$B,2184,Oct!$J:$J,9)</f>
        <v>0</v>
      </c>
      <c r="L40" s="59">
        <f>COUNTIFS(Nov!$B:$B,2184,Nov!$J:$J,9)</f>
        <v>0</v>
      </c>
      <c r="M40" s="59">
        <v>0</v>
      </c>
    </row>
    <row r="41" spans="1:13" s="8" customFormat="1" ht="11.25" customHeight="1">
      <c r="A41" s="10" t="s">
        <v>31</v>
      </c>
      <c r="B41" s="59">
        <f>COUNTIFS(Jan!$B:$B,2184,Jan!$J:$J,10)</f>
        <v>0</v>
      </c>
      <c r="C41" s="59">
        <f>COUNTIFS(Feb!$B:$B,2184,Feb!$J:$J,10)</f>
        <v>0</v>
      </c>
      <c r="D41" s="59">
        <f>COUNTIFS(Mar!$B:$B,2184,Mar!$J:$J,10)</f>
        <v>0</v>
      </c>
      <c r="E41" s="59">
        <f>COUNTIFS(Apr!$B:$B,2184,Apr!$J:$J,10)</f>
        <v>0</v>
      </c>
      <c r="F41" s="59">
        <f>COUNTIFS(May!$B:$B,2184,May!$J:$J,10)</f>
        <v>0</v>
      </c>
      <c r="G41" s="59">
        <f>COUNTIFS(Jun!$B:$B,2184,Jun!$J:$J,10)</f>
        <v>0</v>
      </c>
      <c r="H41" s="59">
        <f>COUNTIFS(Jul!$B:$B,2184,Jul!$J:$J,10)</f>
        <v>0</v>
      </c>
      <c r="I41" s="59">
        <f>COUNTIFS(Aug!$B:$B,2184,Aug!$J:$J,10)</f>
        <v>0</v>
      </c>
      <c r="J41" s="59">
        <f>COUNTIFS(Sep!$B:$B,2184,Sep!$J:$J,10)</f>
        <v>0</v>
      </c>
      <c r="K41" s="59">
        <f>COUNTIFS(Oct!$B:$B,2184,Oct!$J:$J,10)</f>
        <v>0</v>
      </c>
      <c r="L41" s="59">
        <f>COUNTIFS(Nov!$B:$B,2184,Nov!$J:$J,10)</f>
        <v>0</v>
      </c>
      <c r="M41" s="59">
        <v>0</v>
      </c>
    </row>
    <row r="42" spans="1:13" s="8" customFormat="1" ht="11.25" customHeight="1">
      <c r="A42" s="10" t="s">
        <v>144</v>
      </c>
      <c r="B42" s="59">
        <f>COUNTIFS(Jan!$B:$B,2184,Jan!$F:$F,462)</f>
        <v>0</v>
      </c>
      <c r="C42" s="59">
        <f>COUNTIFS(Feb!$B:$B,2184,Feb!$F:$F,462)</f>
        <v>0</v>
      </c>
      <c r="D42" s="59">
        <f>COUNTIFS(Mar!$B:$B,2184,Mar!$F:$F,462)</f>
        <v>0</v>
      </c>
      <c r="E42" s="59">
        <f>COUNTIFS(Apr!$B:$B,2184,Apr!$F:$F,462)</f>
        <v>0</v>
      </c>
      <c r="F42" s="59">
        <f>COUNTIFS(May!$B:$B,2184,May!$F:$F,462)</f>
        <v>0</v>
      </c>
      <c r="G42" s="59">
        <f>COUNTIFS(Jun!$B:$B,2184,Jun!$F:$F,462)</f>
        <v>0</v>
      </c>
      <c r="H42" s="59">
        <f>COUNTIFS(Jul!$B:$B,2184,Jul!$F:$F,462)</f>
        <v>0</v>
      </c>
      <c r="I42" s="59">
        <f>COUNTIFS(Aug!$B:$B,2184,Aug!$F:$F,462)</f>
        <v>0</v>
      </c>
      <c r="J42" s="59">
        <f>COUNTIFS(Sep!$B:$B,2184,Sep!$F:$F,462)</f>
        <v>0</v>
      </c>
      <c r="K42" s="59">
        <f>COUNTIFS(Oct!$B:$B,2184,Oct!$F:$F,462)</f>
        <v>0</v>
      </c>
      <c r="L42" s="59">
        <f>COUNTIFS(Nov!$B:$B,2184,Nov!$F:$F,462)</f>
        <v>0</v>
      </c>
      <c r="M42" s="59">
        <v>0</v>
      </c>
    </row>
    <row r="43" spans="1:13" s="8" customFormat="1" ht="11.25" customHeight="1">
      <c r="A43" s="10" t="s">
        <v>1</v>
      </c>
      <c r="B43" s="59">
        <f>COUNTIFS(Jan!$B:$B,2184,Jan!$J:$J,11)</f>
        <v>0</v>
      </c>
      <c r="C43" s="59">
        <f>COUNTIFS(Feb!$B:$B,2184,Feb!$J:$J,11)</f>
        <v>0</v>
      </c>
      <c r="D43" s="59">
        <f>COUNTIFS(Mar!$B:$B,2184,Mar!$J:$J,11)</f>
        <v>0</v>
      </c>
      <c r="E43" s="59">
        <f>COUNTIFS(Apr!$B:$B,2184,Apr!$J:$J,11)</f>
        <v>0</v>
      </c>
      <c r="F43" s="59">
        <f>COUNTIFS(May!$B:$B,2184,May!$J:$J,11)</f>
        <v>0</v>
      </c>
      <c r="G43" s="59">
        <f>COUNTIFS(Jun!$B:$B,2184,Jun!$J:$J,11)</f>
        <v>0</v>
      </c>
      <c r="H43" s="59">
        <f>COUNTIFS(Jul!$B:$B,2184,Jul!$J:$J,11)</f>
        <v>0</v>
      </c>
      <c r="I43" s="59">
        <f>COUNTIFS(Aug!$B:$B,2184,Aug!$J:$J,11)</f>
        <v>0</v>
      </c>
      <c r="J43" s="59">
        <f>COUNTIFS(Sep!$B:$B,2184,Sep!$J:$J,11)</f>
        <v>0</v>
      </c>
      <c r="K43" s="59">
        <f>COUNTIFS(Oct!$B:$B,2184,Oct!$J:$J,11)</f>
        <v>0</v>
      </c>
      <c r="L43" s="59">
        <f>COUNTIFS(Nov!$B:$B,2184,Nov!$J:$J,11)</f>
        <v>0</v>
      </c>
      <c r="M43" s="59">
        <v>0</v>
      </c>
    </row>
    <row r="44" spans="1:13" s="8" customFormat="1" ht="11.25" customHeight="1">
      <c r="A44" s="10" t="s">
        <v>26</v>
      </c>
      <c r="B44" s="59">
        <f>COUNTIFS(Jan!$B:$B,2184,Jan!$J:$J,20)</f>
        <v>0</v>
      </c>
      <c r="C44" s="59">
        <f>COUNTIFS(Feb!$B:$B,2184,Feb!$J:$J,20)</f>
        <v>0</v>
      </c>
      <c r="D44" s="59">
        <f>COUNTIFS(Mar!$B:$B,2184,Mar!$J:$J,20)</f>
        <v>0</v>
      </c>
      <c r="E44" s="59">
        <f>COUNTIFS(Apr!$B:$B,2184,Apr!$J:$J,20)</f>
        <v>0</v>
      </c>
      <c r="F44" s="59">
        <f>COUNTIFS(May!$B:$B,2184,May!$J:$J,20)</f>
        <v>0</v>
      </c>
      <c r="G44" s="59">
        <f>COUNTIFS(Jun!$B:$B,2184,Jun!$J:$J,20)</f>
        <v>0</v>
      </c>
      <c r="H44" s="59">
        <f>COUNTIFS(Jul!$B:$B,2184,Jul!$J:$J,20)</f>
        <v>0</v>
      </c>
      <c r="I44" s="59">
        <f>COUNTIFS(Aug!$B:$B,2184,Aug!$J:$J,20)</f>
        <v>0</v>
      </c>
      <c r="J44" s="59">
        <f>COUNTIFS(Sep!$B:$B,2184,Sep!$J:$J,20)</f>
        <v>0</v>
      </c>
      <c r="K44" s="59">
        <f>COUNTIFS(Oct!$B:$B,2184,Oct!$J:$J,20)</f>
        <v>0</v>
      </c>
      <c r="L44" s="59">
        <f>COUNTIFS(Nov!$B:$B,2184,Nov!$J:$J,20)</f>
        <v>0</v>
      </c>
      <c r="M44" s="59">
        <v>0</v>
      </c>
    </row>
    <row r="45" spans="1:13" s="8" customFormat="1" ht="11.25" customHeight="1">
      <c r="A45" s="10" t="s">
        <v>32</v>
      </c>
      <c r="B45" s="59">
        <f>COUNTIFS(Jan!$B:$B,2184,Jan!$J:$J,2)</f>
        <v>0</v>
      </c>
      <c r="C45" s="59">
        <f>COUNTIFS(Feb!$B:$B,2184,Feb!$J:$J,2)</f>
        <v>0</v>
      </c>
      <c r="D45" s="59">
        <f>COUNTIFS(Mar!$B:$B,2184,Mar!$J:$J,2)</f>
        <v>0</v>
      </c>
      <c r="E45" s="59">
        <f>COUNTIFS(Apr!$B:$B,2184,Apr!$J:$J,2)</f>
        <v>0</v>
      </c>
      <c r="F45" s="59">
        <f>COUNTIFS(May!$B:$B,2184,May!$J:$J,2)</f>
        <v>0</v>
      </c>
      <c r="G45" s="59">
        <f>COUNTIFS(Jun!$B:$B,2184,Jun!$J:$J,2)</f>
        <v>0</v>
      </c>
      <c r="H45" s="59">
        <f>COUNTIFS(Jul!$B:$B,2184,Jul!$J:$J,2)</f>
        <v>0</v>
      </c>
      <c r="I45" s="59">
        <f>COUNTIFS(Aug!$B:$B,2184,Aug!$J:$J,2)</f>
        <v>0</v>
      </c>
      <c r="J45" s="59">
        <f>COUNTIFS(Sep!$B:$B,2184,Sep!$J:$J,2)</f>
        <v>0</v>
      </c>
      <c r="K45" s="59">
        <f>COUNTIFS(Oct!$B:$B,2184,Oct!$J:$J,2)</f>
        <v>0</v>
      </c>
      <c r="L45" s="59">
        <f>COUNTIFS(Nov!$B:$B,2184,Nov!$J:$J,2)</f>
        <v>0</v>
      </c>
      <c r="M45" s="59">
        <v>0</v>
      </c>
    </row>
    <row r="46" spans="1:13" s="8" customFormat="1" ht="11.25" customHeight="1">
      <c r="A46" s="10" t="s">
        <v>28</v>
      </c>
      <c r="B46" s="59">
        <f>COUNTIFS(Jan!$B:$B,2184,Jan!$J:$J,1700)+COUNTIFS(Jan!$B:$B,2184,Jan!$F:$F,1700)+COUNTIFS(Jan!$B:$B,2184,Jan!$J:$J,19)</f>
        <v>0</v>
      </c>
      <c r="C46" s="59">
        <f>COUNTIFS(Feb!$B:$B,2184,Feb!$J:$J,1700)+COUNTIFS(Feb!$B:$B,2184,Feb!$F:$F,1700)+COUNTIFS(Feb!$B:$B,2184,Feb!$J:$J,19)</f>
        <v>0</v>
      </c>
      <c r="D46" s="59">
        <f>COUNTIFS(Mar!$B:$B,2184,Mar!$J:$J,1700)+COUNTIFS(Mar!$B:$B,2184,Mar!$F:$F,1700)+COUNTIFS(Mar!$B:$B,2184,Mar!$J:$J,19)</f>
        <v>0</v>
      </c>
      <c r="E46" s="59">
        <f>COUNTIFS(Apr!$B:$B,2184,Apr!$J:$J,1700)+COUNTIFS(Apr!$B:$B,2184,Apr!$F:$F,1700)+COUNTIFS(Apr!$B:$B,2184,Apr!$J:$J,19)</f>
        <v>0</v>
      </c>
      <c r="F46" s="59">
        <f>COUNTIFS(May!$B:$B,2184,May!$J:$J,1700)+COUNTIFS(May!$B:$B,2184,May!$F:$F,1700)+COUNTIFS(May!$B:$B,2184,May!$J:$J,19)</f>
        <v>0</v>
      </c>
      <c r="G46" s="59">
        <f>COUNTIFS(Jun!$B:$B,2184,Jun!$J:$J,1700)+COUNTIFS(Jun!$B:$B,2184,Jun!$F:$F,1700)+COUNTIFS(Jun!$B:$B,2184,Jun!$J:$J,19)</f>
        <v>0</v>
      </c>
      <c r="H46" s="59">
        <f>COUNTIFS(Jul!$B:$B,2184,Jul!$J:$J,1700)+COUNTIFS(Jul!$B:$B,2184,Jul!$F:$F,1700)+COUNTIFS(Jul!$B:$B,2184,Jul!$J:$J,19)</f>
        <v>0</v>
      </c>
      <c r="I46" s="59">
        <f>COUNTIFS(Aug!$B:$B,2184,Aug!$J:$J,1700)+COUNTIFS(Aug!$B:$B,2184,Aug!$F:$F,1700)+COUNTIFS(Aug!$B:$B,2184,Aug!$J:$J,19)</f>
        <v>0</v>
      </c>
      <c r="J46" s="59">
        <f>COUNTIFS(Sep!$B:$B,2184,Sep!$J:$J,1700)+COUNTIFS(Sep!$B:$B,2184,Sep!$F:$F,1700)+COUNTIFS(Sep!$B:$B,2184,Sep!$J:$J,19)</f>
        <v>0</v>
      </c>
      <c r="K46" s="59">
        <f>COUNTIFS(Oct!$B:$B,2184,Oct!$J:$J,1700)+COUNTIFS(Oct!$B:$B,2184,Oct!$F:$F,1700)+COUNTIFS(Oct!$B:$B,2184,Oct!$J:$J,19)</f>
        <v>0</v>
      </c>
      <c r="L46" s="59">
        <f>COUNTIFS(Nov!$B:$B,2184,Nov!$J:$J,1700)+COUNTIFS(Nov!$B:$B,2184,Nov!$F:$F,1700)+COUNTIFS(Nov!$B:$B,2184,Nov!$J:$J,19)</f>
        <v>0</v>
      </c>
      <c r="M46" s="59">
        <v>0</v>
      </c>
    </row>
    <row r="47" spans="1:13" s="8" customFormat="1" ht="11.25" customHeight="1">
      <c r="A47" s="10" t="s">
        <v>0</v>
      </c>
      <c r="B47" s="59">
        <f>COUNTIFS(Jan!$B:$B,2184,Jan!$J:$J,3)</f>
        <v>0</v>
      </c>
      <c r="C47" s="59">
        <f>COUNTIFS(Feb!$B:$B,2184,Feb!$J:$J,3)</f>
        <v>0</v>
      </c>
      <c r="D47" s="59">
        <f>COUNTIFS(Mar!$B:$B,2184,Mar!$J:$J,3)</f>
        <v>0</v>
      </c>
      <c r="E47" s="59">
        <f>COUNTIFS(Apr!$B:$B,2184,Apr!$J:$J,3)</f>
        <v>0</v>
      </c>
      <c r="F47" s="59">
        <f>COUNTIFS(May!$B:$B,2184,May!$J:$J,3)</f>
        <v>0</v>
      </c>
      <c r="G47" s="59">
        <f>COUNTIFS(Jun!$B:$B,2184,Jun!$J:$J,3)</f>
        <v>0</v>
      </c>
      <c r="H47" s="59">
        <f>COUNTIFS(Jul!$B:$B,2184,Jul!$J:$J,3)</f>
        <v>0</v>
      </c>
      <c r="I47" s="59">
        <f>COUNTIFS(Aug!$B:$B,2184,Aug!$J:$J,3)</f>
        <v>0</v>
      </c>
      <c r="J47" s="59">
        <f>COUNTIFS(Sep!$B:$B,2184,Sep!$J:$J,3)</f>
        <v>0</v>
      </c>
      <c r="K47" s="59">
        <f>COUNTIFS(Oct!$B:$B,2184,Oct!$J:$J,3)</f>
        <v>0</v>
      </c>
      <c r="L47" s="59">
        <f>COUNTIFS(Nov!$B:$B,2184,Nov!$J:$J,3)</f>
        <v>0</v>
      </c>
      <c r="M47" s="59">
        <v>0</v>
      </c>
    </row>
    <row r="48" spans="1:13" s="8" customFormat="1" ht="11.25" customHeight="1">
      <c r="A48" s="10" t="s">
        <v>35</v>
      </c>
      <c r="B48" s="59">
        <f>COUNTIFS(Jan!$B:$B,2184,Jan!$J:$J,7400)</f>
        <v>0</v>
      </c>
      <c r="C48" s="59">
        <f>COUNTIFS(Feb!$B:$B,2184,Feb!$J:$J,7400)</f>
        <v>0</v>
      </c>
      <c r="D48" s="59">
        <f>COUNTIFS(Mar!$B:$B,2184,Mar!$J:$J,7400)</f>
        <v>0</v>
      </c>
      <c r="E48" s="59">
        <f>COUNTIFS(Apr!$B:$B,2184,Apr!$J:$J,7400)</f>
        <v>0</v>
      </c>
      <c r="F48" s="59">
        <f>COUNTIFS(May!$B:$B,2184,May!$J:$J,7400)</f>
        <v>0</v>
      </c>
      <c r="G48" s="59">
        <f>COUNTIFS(Jun!$B:$B,2184,Jun!$J:$J,7400)</f>
        <v>0</v>
      </c>
      <c r="H48" s="59">
        <f>COUNTIFS(Jul!$B:$B,2184,Jul!$J:$J,7400)</f>
        <v>0</v>
      </c>
      <c r="I48" s="59">
        <f>COUNTIFS(Aug!$B:$B,2184,Aug!$J:$J,7400)</f>
        <v>0</v>
      </c>
      <c r="J48" s="59">
        <f>COUNTIFS(Sep!$B:$B,2184,Sep!$J:$J,7400)</f>
        <v>0</v>
      </c>
      <c r="K48" s="59">
        <f>COUNTIFS(Oct!$B:$B,2184,Oct!$J:$J,7400)</f>
        <v>0</v>
      </c>
      <c r="L48" s="59">
        <f>COUNTIFS(Nov!$B:$B,2184,Nov!$J:$J,7400)</f>
        <v>0</v>
      </c>
      <c r="M48" s="59">
        <v>0</v>
      </c>
    </row>
    <row r="49" spans="1:13" s="8" customFormat="1" ht="11.25" customHeight="1">
      <c r="A49" s="10" t="s">
        <v>2</v>
      </c>
      <c r="B49" s="59">
        <f>COUNTIFS(Jan!$B:$B,2184,Jan!$J:$J,14)</f>
        <v>0</v>
      </c>
      <c r="C49" s="59">
        <f>COUNTIFS(Feb!$B:$B,2184,Feb!$J:$J,14)</f>
        <v>0</v>
      </c>
      <c r="D49" s="59">
        <f>COUNTIFS(Mar!$B:$B,2184,Mar!$J:$J,14)</f>
        <v>0</v>
      </c>
      <c r="E49" s="59">
        <f>COUNTIFS(Apr!$B:$B,2184,Apr!$J:$J,14)</f>
        <v>0</v>
      </c>
      <c r="F49" s="59">
        <f>COUNTIFS(May!$B:$B,2184,May!$J:$J,14)</f>
        <v>0</v>
      </c>
      <c r="G49" s="59">
        <f>COUNTIFS(Jun!$B:$B,2184,Jun!$J:$J,14)</f>
        <v>0</v>
      </c>
      <c r="H49" s="59">
        <f>COUNTIFS(Jul!$B:$B,2184,Jul!$J:$J,14)</f>
        <v>0</v>
      </c>
      <c r="I49" s="59">
        <f>COUNTIFS(Aug!$B:$B,2184,Aug!$J:$J,14)</f>
        <v>0</v>
      </c>
      <c r="J49" s="59">
        <f>COUNTIFS(Sep!$B:$B,2184,Sep!$J:$J,14)</f>
        <v>0</v>
      </c>
      <c r="K49" s="59">
        <f>COUNTIFS(Oct!$B:$B,2184,Oct!$J:$J,14)</f>
        <v>0</v>
      </c>
      <c r="L49" s="59">
        <f>COUNTIFS(Nov!$B:$B,2184,Nov!$J:$J,14)</f>
        <v>0</v>
      </c>
      <c r="M49" s="59">
        <v>0</v>
      </c>
    </row>
    <row r="50" spans="1:13" s="8" customFormat="1" ht="11.25" customHeight="1">
      <c r="A50" s="10" t="s">
        <v>142</v>
      </c>
      <c r="B50" s="59">
        <f>COUNTIFS(Jan!$B:$B,2184,Jan!$F:$F,466)</f>
        <v>0</v>
      </c>
      <c r="C50" s="59">
        <f>COUNTIFS(Feb!$B:$B,2184,Feb!$F:$F,466)</f>
        <v>0</v>
      </c>
      <c r="D50" s="59">
        <f>COUNTIFS(Mar!$B:$B,2184,Mar!$F:$F,466)</f>
        <v>0</v>
      </c>
      <c r="E50" s="59">
        <f>COUNTIFS(Apr!$B:$B,2184,Apr!$F:$F,466)</f>
        <v>0</v>
      </c>
      <c r="F50" s="59">
        <f>COUNTIFS(May!$B:$B,2184,May!$F:$F,466)</f>
        <v>0</v>
      </c>
      <c r="G50" s="59">
        <f>COUNTIFS(Jun!$B:$B,2184,Jun!$F:$F,466)</f>
        <v>0</v>
      </c>
      <c r="H50" s="59">
        <f>COUNTIFS(Jul!$B:$B,2184,Jul!$F:$F,466)</f>
        <v>0</v>
      </c>
      <c r="I50" s="59">
        <f>COUNTIFS(Aug!$B:$B,2184,Aug!$F:$F,466)</f>
        <v>0</v>
      </c>
      <c r="J50" s="59">
        <f>COUNTIFS(Sep!$B:$B,2184,Sep!$F:$F,466)</f>
        <v>0</v>
      </c>
      <c r="K50" s="59">
        <f>COUNTIFS(Oct!$B:$B,2184,Oct!$F:$F,466)</f>
        <v>0</v>
      </c>
      <c r="L50" s="59">
        <f>COUNTIFS(Nov!$B:$B,2184,Nov!$F:$F,466)</f>
        <v>0</v>
      </c>
      <c r="M50" s="59">
        <v>0</v>
      </c>
    </row>
    <row r="51" spans="1:13" s="8" customFormat="1" ht="11.25" customHeight="1">
      <c r="A51" s="10" t="s">
        <v>27</v>
      </c>
      <c r="B51" s="59">
        <f>COUNTIFS(Jan!$B:$B,2184,Jan!$J:$J,25)</f>
        <v>0</v>
      </c>
      <c r="C51" s="59">
        <f>COUNTIFS(Feb!$B:$B,2184,Feb!$J:$J,25)</f>
        <v>0</v>
      </c>
      <c r="D51" s="59">
        <f>COUNTIFS(Mar!$B:$B,2184,Mar!$J:$J,25)</f>
        <v>0</v>
      </c>
      <c r="E51" s="59">
        <f>COUNTIFS(Apr!$B:$B,2184,Apr!$J:$J,25)</f>
        <v>0</v>
      </c>
      <c r="F51" s="59">
        <f>COUNTIFS(May!$B:$B,2184,May!$J:$J,25)</f>
        <v>0</v>
      </c>
      <c r="G51" s="59">
        <f>COUNTIFS(Jun!$B:$B,2184,Jun!$J:$J,25)</f>
        <v>0</v>
      </c>
      <c r="H51" s="59">
        <f>COUNTIFS(Jul!$B:$B,2184,Jul!$J:$J,25)</f>
        <v>0</v>
      </c>
      <c r="I51" s="59">
        <f>COUNTIFS(Aug!$B:$B,2184,Aug!$J:$J,25)</f>
        <v>0</v>
      </c>
      <c r="J51" s="59">
        <f>COUNTIFS(Sep!$B:$B,2184,Sep!$J:$J,25)</f>
        <v>0</v>
      </c>
      <c r="K51" s="59">
        <f>COUNTIFS(Oct!$B:$B,2184,Oct!$J:$J,25)</f>
        <v>0</v>
      </c>
      <c r="L51" s="59">
        <f>COUNTIFS(Nov!$B:$B,2184,Nov!$J:$J,25)</f>
        <v>0</v>
      </c>
      <c r="M51" s="59">
        <v>0</v>
      </c>
    </row>
    <row r="52" spans="1:13" s="8" customFormat="1" ht="11.25" customHeight="1" thickBot="1">
      <c r="A52" s="11" t="s">
        <v>16</v>
      </c>
      <c r="B52" s="60">
        <f>SUM(B34:B51)</f>
        <v>0</v>
      </c>
      <c r="C52" s="60">
        <f t="shared" ref="C52:M52" si="11">SUM(C34:C51)</f>
        <v>0</v>
      </c>
      <c r="D52" s="60">
        <f>SUM(D34:D51)</f>
        <v>0</v>
      </c>
      <c r="E52" s="60">
        <f>SUM(E34:E51)</f>
        <v>0</v>
      </c>
      <c r="F52" s="60">
        <f>SUM(F34:F51)</f>
        <v>0</v>
      </c>
      <c r="G52" s="60">
        <f>SUM(G34:G51)</f>
        <v>0</v>
      </c>
      <c r="H52" s="60">
        <f t="shared" si="11"/>
        <v>0</v>
      </c>
      <c r="I52" s="60">
        <f t="shared" si="11"/>
        <v>0</v>
      </c>
      <c r="J52" s="60">
        <f t="shared" si="11"/>
        <v>0</v>
      </c>
      <c r="K52" s="60">
        <f t="shared" si="11"/>
        <v>0</v>
      </c>
      <c r="L52" s="159">
        <f t="shared" si="11"/>
        <v>0</v>
      </c>
      <c r="M52" s="170">
        <f t="shared" si="11"/>
        <v>0</v>
      </c>
    </row>
    <row r="53" spans="1:13" ht="12" customHeight="1" thickBot="1">
      <c r="A53" s="55" t="s">
        <v>137</v>
      </c>
      <c r="B53" s="50">
        <v>41275</v>
      </c>
      <c r="C53" s="47">
        <v>41306</v>
      </c>
      <c r="D53" s="47">
        <v>41334</v>
      </c>
      <c r="E53" s="47">
        <v>41365</v>
      </c>
      <c r="F53" s="47">
        <v>41395</v>
      </c>
      <c r="G53" s="47">
        <v>41426</v>
      </c>
      <c r="H53" s="47">
        <v>41456</v>
      </c>
      <c r="I53" s="47">
        <v>41487</v>
      </c>
      <c r="J53" s="47">
        <v>41518</v>
      </c>
      <c r="K53" s="47">
        <v>41548</v>
      </c>
      <c r="L53" s="47">
        <v>41579</v>
      </c>
      <c r="M53" s="51">
        <v>41609</v>
      </c>
    </row>
    <row r="54" spans="1:13" s="8" customFormat="1" ht="11.25" customHeight="1">
      <c r="A54" s="10" t="s">
        <v>30</v>
      </c>
      <c r="B54" s="57">
        <f>COUNTIFS(Jan!$B:$B,2184,Jan!$J:$J,7)</f>
        <v>0</v>
      </c>
      <c r="C54" s="57">
        <f>COUNTIFS(Feb!$B:$B,2184,Feb!$J:$J,7)</f>
        <v>0</v>
      </c>
      <c r="D54" s="57">
        <f>COUNTIFS(Mar!$B:$B,2184,Mar!$J:$J,7)</f>
        <v>0</v>
      </c>
      <c r="E54" s="57">
        <f>COUNTIFS(Apr!$B:$B,2184,Apr!$J:$J,7)</f>
        <v>0</v>
      </c>
      <c r="F54" s="57">
        <f>COUNTIFS(May!$B:$B,2184,May!$J:$J,7)</f>
        <v>0</v>
      </c>
      <c r="G54" s="57">
        <f>COUNTIFS(Jun!$B:$B,2184,Jun!$J:$J,7)</f>
        <v>0</v>
      </c>
      <c r="H54" s="57">
        <f>COUNTIFS(Jul!$B:$B,2184,Jul!$J:$J,7)</f>
        <v>0</v>
      </c>
      <c r="I54" s="57">
        <f>COUNTIFS(Aug!$B:$B,2184,Aug!$J:$J,7)</f>
        <v>0</v>
      </c>
      <c r="J54" s="57">
        <f>COUNTIFS(Sep!$B:$B,2184,Sep!$J:$J,7)</f>
        <v>0</v>
      </c>
      <c r="K54" s="57">
        <f>COUNTIFS(Oct!$B:$B,2184,Oct!$J:$J,7)</f>
        <v>0</v>
      </c>
      <c r="L54" s="57">
        <f>COUNTIFS(Nov!$B:$B,2184,Nov!$J:$J,7)</f>
        <v>0</v>
      </c>
      <c r="M54" s="57">
        <v>0</v>
      </c>
    </row>
    <row r="55" spans="1:13" s="8" customFormat="1" ht="11.25" customHeight="1">
      <c r="A55" s="10" t="s">
        <v>29</v>
      </c>
      <c r="B55" s="59">
        <f>COUNTIFS(Jan!$B:$B,2184,Jan!$J:$J,8)</f>
        <v>0</v>
      </c>
      <c r="C55" s="59">
        <f>COUNTIFS(Feb!$B:$B,2184,Feb!$J:$J,8)</f>
        <v>0</v>
      </c>
      <c r="D55" s="59">
        <f>COUNTIFS(Mar!$B:$B,2184,Mar!$J:$J,8)</f>
        <v>0</v>
      </c>
      <c r="E55" s="59">
        <f>COUNTIFS(Apr!$B:$B,2184,Apr!$J:$J,8)</f>
        <v>0</v>
      </c>
      <c r="F55" s="59">
        <f>COUNTIFS(May!$B:$B,2184,May!$J:$J,8)</f>
        <v>0</v>
      </c>
      <c r="G55" s="59">
        <f>COUNTIFS(Jun!$B:$B,2184,Jun!$J:$J,8)</f>
        <v>0</v>
      </c>
      <c r="H55" s="59">
        <f>COUNTIFS(Jul!$B:$B,2184,Jul!$J:$J,8)</f>
        <v>0</v>
      </c>
      <c r="I55" s="59">
        <f>COUNTIFS(Aug!$B:$B,2184,Aug!$J:$J,8)</f>
        <v>0</v>
      </c>
      <c r="J55" s="59">
        <f>COUNTIFS(Sep!$B:$B,2184,Sep!$J:$J,8)</f>
        <v>0</v>
      </c>
      <c r="K55" s="59">
        <f>COUNTIFS(Oct!$B:$B,2184,Oct!$J:$J,8)</f>
        <v>0</v>
      </c>
      <c r="L55" s="59">
        <f>COUNTIFS(Nov!$B:$B,2184,Nov!$J:$J,8)</f>
        <v>0</v>
      </c>
      <c r="M55" s="59">
        <v>0</v>
      </c>
    </row>
    <row r="56" spans="1:13" s="8" customFormat="1" ht="11.25" customHeight="1">
      <c r="A56" s="10" t="s">
        <v>7</v>
      </c>
      <c r="B56" s="59">
        <f>COUNTIFS(Jan!$B:$B,2184,Jan!$J:$J,12)</f>
        <v>0</v>
      </c>
      <c r="C56" s="59">
        <f>COUNTIFS(Feb!$B:$B,2184,Feb!$J:$J,12)</f>
        <v>0</v>
      </c>
      <c r="D56" s="59">
        <f>COUNTIFS(Mar!$B:$B,2184,Mar!$J:$J,12)</f>
        <v>0</v>
      </c>
      <c r="E56" s="59">
        <f>COUNTIFS(Apr!$B:$B,2184,Apr!$J:$J,12)</f>
        <v>0</v>
      </c>
      <c r="F56" s="59">
        <f>COUNTIFS(May!$B:$B,2184,May!$J:$J,12)</f>
        <v>0</v>
      </c>
      <c r="G56" s="59">
        <f>COUNTIFS(Jun!$B:$B,2184,Jun!$J:$J,12)</f>
        <v>0</v>
      </c>
      <c r="H56" s="59">
        <f>COUNTIFS(Jul!$B:$B,2184,Jul!$J:$J,12)</f>
        <v>0</v>
      </c>
      <c r="I56" s="59">
        <f>COUNTIFS(Aug!$B:$B,2184,Aug!$J:$J,12)</f>
        <v>0</v>
      </c>
      <c r="J56" s="59">
        <f>COUNTIFS(Sep!$B:$B,2184,Sep!$J:$J,12)</f>
        <v>0</v>
      </c>
      <c r="K56" s="59">
        <f>COUNTIFS(Oct!$B:$B,2184,Oct!$J:$J,12)</f>
        <v>0</v>
      </c>
      <c r="L56" s="59">
        <f>COUNTIFS(Nov!$B:$B,2184,Nov!$J:$J,12)</f>
        <v>0</v>
      </c>
      <c r="M56" s="59">
        <v>0</v>
      </c>
    </row>
    <row r="57" spans="1:13" s="8" customFormat="1" ht="11.25" customHeight="1">
      <c r="A57" s="10" t="s">
        <v>10</v>
      </c>
      <c r="B57" s="59">
        <f>COUNTIFS(Jan!$B:$B,2184,Jan!$J:$J,5100)</f>
        <v>0</v>
      </c>
      <c r="C57" s="59">
        <f>COUNTIFS(Feb!$B:$B,2184,Feb!$J:$J,5100)</f>
        <v>0</v>
      </c>
      <c r="D57" s="59">
        <f>COUNTIFS(Mar!$B:$B,2184,Mar!$J:$J,5100)</f>
        <v>0</v>
      </c>
      <c r="E57" s="59">
        <f>COUNTIFS(Apr!$B:$B,2184,Apr!$J:$J,5100)</f>
        <v>0</v>
      </c>
      <c r="F57" s="59">
        <f>COUNTIFS(May!$B:$B,2184,May!$J:$J,5100)</f>
        <v>0</v>
      </c>
      <c r="G57" s="59">
        <f>COUNTIFS(Jun!$B:$B,2184,Jun!$J:$J,5100)</f>
        <v>0</v>
      </c>
      <c r="H57" s="59">
        <f>COUNTIFS(Jul!$B:$B,2184,Jul!$J:$J,5100)</f>
        <v>0</v>
      </c>
      <c r="I57" s="59">
        <f>COUNTIFS(Aug!$B:$B,2184,Aug!$J:$J,5100)</f>
        <v>0</v>
      </c>
      <c r="J57" s="59">
        <f>COUNTIFS(Sep!$B:$B,2184,Sep!$J:$J,5100)</f>
        <v>0</v>
      </c>
      <c r="K57" s="59">
        <f>COUNTIFS(Oct!$B:$B,2184,Oct!$J:$J,5100)</f>
        <v>0</v>
      </c>
      <c r="L57" s="59">
        <f>COUNTIFS(Nov!$B:$B,2184,Nov!$J:$J,5100)</f>
        <v>0</v>
      </c>
      <c r="M57" s="59">
        <v>0</v>
      </c>
    </row>
    <row r="58" spans="1:13" s="8" customFormat="1" ht="11.25" customHeight="1">
      <c r="A58" s="10" t="s">
        <v>36</v>
      </c>
      <c r="B58" s="59">
        <f>COUNTIFS(Jan!$B:$B,2184,Jan!$J:$J,6200)</f>
        <v>0</v>
      </c>
      <c r="C58" s="59">
        <f>COUNTIFS(Feb!$B:$B,2184,Feb!$J:$J,6200)</f>
        <v>0</v>
      </c>
      <c r="D58" s="59">
        <f>COUNTIFS(Mar!$B:$B,2184,Mar!$J:$J,6200)</f>
        <v>0</v>
      </c>
      <c r="E58" s="59">
        <f>COUNTIFS(Apr!$B:$B,2184,Apr!$J:$J,6200)</f>
        <v>0</v>
      </c>
      <c r="F58" s="59">
        <f>COUNTIFS(May!$B:$B,2184,May!$J:$J,6200)</f>
        <v>0</v>
      </c>
      <c r="G58" s="59">
        <f>COUNTIFS(Jun!$B:$B,2184,Jun!$J:$J,6200)</f>
        <v>0</v>
      </c>
      <c r="H58" s="59">
        <f>COUNTIFS(Jul!$B:$B,2184,Jul!$J:$J,6200)</f>
        <v>0</v>
      </c>
      <c r="I58" s="59">
        <f>COUNTIFS(Aug!$B:$B,2184,Aug!$J:$J,6200)</f>
        <v>0</v>
      </c>
      <c r="J58" s="59">
        <f>COUNTIFS(Sep!$B:$B,2184,Sep!$J:$J,6200)</f>
        <v>0</v>
      </c>
      <c r="K58" s="59">
        <f>COUNTIFS(Oct!$B:$B,2184,Oct!$J:$J,6200)</f>
        <v>0</v>
      </c>
      <c r="L58" s="59">
        <f>COUNTIFS(Nov!$B:$B,2184,Nov!$J:$J,6200)</f>
        <v>0</v>
      </c>
      <c r="M58" s="59">
        <v>0</v>
      </c>
    </row>
    <row r="59" spans="1:13" s="8" customFormat="1" ht="11.25" customHeight="1">
      <c r="A59" s="10" t="s">
        <v>145</v>
      </c>
      <c r="B59" s="59">
        <f>COUNTIFS(Jan!$B:$B,2184,Jan!$J:$J,28)</f>
        <v>0</v>
      </c>
      <c r="C59" s="59">
        <f>COUNTIFS(Feb!$B:$B,2184,Feb!$J:$J,28)</f>
        <v>0</v>
      </c>
      <c r="D59" s="59">
        <f>COUNTIFS(Mar!$B:$B,2184,Mar!$J:$J,28)</f>
        <v>0</v>
      </c>
      <c r="E59" s="59">
        <f>COUNTIFS(Apr!$B:$B,2184,Apr!$J:$J,28)</f>
        <v>0</v>
      </c>
      <c r="F59" s="59">
        <f>COUNTIFS(May!$B:$B,2184,May!$J:$J,28)</f>
        <v>0</v>
      </c>
      <c r="G59" s="59">
        <f>COUNTIFS(Jun!$B:$B,2184,Jun!$J:$J,28)</f>
        <v>0</v>
      </c>
      <c r="H59" s="59">
        <f>COUNTIFS(Jul!$B:$B,2184,Jul!$J:$J,28)</f>
        <v>0</v>
      </c>
      <c r="I59" s="59">
        <f>COUNTIFS(Aug!$B:$B,2184,Aug!$J:$J,28)</f>
        <v>0</v>
      </c>
      <c r="J59" s="59">
        <f>COUNTIFS(Sep!$B:$B,2184,Sep!$J:$J,28)</f>
        <v>0</v>
      </c>
      <c r="K59" s="59">
        <f>COUNTIFS(Oct!$B:$B,2184,Oct!$J:$J,28)</f>
        <v>0</v>
      </c>
      <c r="L59" s="59">
        <f>COUNTIFS(Nov!$B:$B,2184,Nov!$J:$J,28)</f>
        <v>0</v>
      </c>
      <c r="M59" s="59">
        <v>0</v>
      </c>
    </row>
    <row r="60" spans="1:13" s="8" customFormat="1" ht="11.25" customHeight="1">
      <c r="A60" s="10" t="s">
        <v>38</v>
      </c>
      <c r="B60" s="59">
        <f>COUNTIFS(Jan!$B:$B,2184,Jan!$J:$J,6100)</f>
        <v>0</v>
      </c>
      <c r="C60" s="59">
        <f>COUNTIFS(Feb!$B:$B,2184,Feb!$J:$J,6100)</f>
        <v>0</v>
      </c>
      <c r="D60" s="59">
        <f>COUNTIFS(Mar!$B:$B,2184,Mar!$J:$J,6100)</f>
        <v>0</v>
      </c>
      <c r="E60" s="59">
        <f>COUNTIFS(Apr!$B:$B,2184,Apr!$J:$J,6100)</f>
        <v>0</v>
      </c>
      <c r="F60" s="59">
        <f>COUNTIFS(May!$B:$B,2184,May!$J:$J,6100)</f>
        <v>0</v>
      </c>
      <c r="G60" s="59">
        <f>COUNTIFS(Jun!$B:$B,2184,Jun!$J:$J,6100)</f>
        <v>0</v>
      </c>
      <c r="H60" s="59">
        <f>COUNTIFS(Jul!$B:$B,2184,Jul!$J:$J,6100)</f>
        <v>0</v>
      </c>
      <c r="I60" s="59">
        <f>COUNTIFS(Aug!$B:$B,2184,Aug!$J:$J,6100)</f>
        <v>0</v>
      </c>
      <c r="J60" s="59">
        <f>COUNTIFS(Sep!$B:$B,2184,Sep!$J:$J,6100)</f>
        <v>0</v>
      </c>
      <c r="K60" s="59">
        <f>COUNTIFS(Oct!$B:$B,2184,Oct!$J:$J,6100)</f>
        <v>0</v>
      </c>
      <c r="L60" s="59">
        <f>COUNTIFS(Nov!$B:$B,2184,Nov!$J:$J,6100)</f>
        <v>0</v>
      </c>
      <c r="M60" s="59">
        <v>0</v>
      </c>
    </row>
    <row r="61" spans="1:13" s="8" customFormat="1" ht="11.25" customHeight="1">
      <c r="A61" s="10" t="s">
        <v>9</v>
      </c>
      <c r="B61" s="59">
        <f>COUNTIFS(Jan!$B:$B,2184,Jan!$J:$J,6)</f>
        <v>0</v>
      </c>
      <c r="C61" s="59">
        <f>COUNTIFS(Feb!$B:$B,2184,Feb!$J:$J,6)</f>
        <v>0</v>
      </c>
      <c r="D61" s="59">
        <f>COUNTIFS(Mar!$B:$B,2184,Mar!$J:$J,6)</f>
        <v>0</v>
      </c>
      <c r="E61" s="59">
        <f>COUNTIFS(Apr!$B:$B,2184,Apr!$J:$J,6)</f>
        <v>0</v>
      </c>
      <c r="F61" s="59">
        <f>COUNTIFS(May!$B:$B,2184,May!$J:$J,6)</f>
        <v>0</v>
      </c>
      <c r="G61" s="59">
        <f>COUNTIFS(Jun!$B:$B,2184,Jun!$J:$J,6)</f>
        <v>0</v>
      </c>
      <c r="H61" s="59">
        <f>COUNTIFS(Jul!$B:$B,2184,Jul!$J:$J,6)</f>
        <v>0</v>
      </c>
      <c r="I61" s="59">
        <f>COUNTIFS(Aug!$B:$B,2184,Aug!$J:$J,6)</f>
        <v>0</v>
      </c>
      <c r="J61" s="59">
        <f>COUNTIFS(Sep!$B:$B,2184,Sep!$J:$J,6)</f>
        <v>0</v>
      </c>
      <c r="K61" s="59">
        <f>COUNTIFS(Oct!$B:$B,2184,Oct!$J:$J,6)</f>
        <v>0</v>
      </c>
      <c r="L61" s="59">
        <f>COUNTIFS(Nov!$B:$B,2184,Nov!$J:$J,6)</f>
        <v>0</v>
      </c>
      <c r="M61" s="59">
        <v>0</v>
      </c>
    </row>
    <row r="62" spans="1:13" s="8" customFormat="1" ht="11.25" customHeight="1">
      <c r="A62" s="10" t="s">
        <v>8</v>
      </c>
      <c r="B62" s="59">
        <f>COUNTIFS(Jan!$B:$B,2184,Jan!$J:$J,4)</f>
        <v>0</v>
      </c>
      <c r="C62" s="59">
        <f>COUNTIFS(Feb!$B:$B,2184,Feb!$J:$J,4)</f>
        <v>0</v>
      </c>
      <c r="D62" s="59">
        <f>COUNTIFS(Mar!$B:$B,2184,Mar!$J:$J,4)</f>
        <v>0</v>
      </c>
      <c r="E62" s="59">
        <f>COUNTIFS(Apr!$B:$B,2184,Apr!$J:$J,4)</f>
        <v>0</v>
      </c>
      <c r="F62" s="59">
        <f>COUNTIFS(May!$B:$B,2184,May!$J:$J,4)</f>
        <v>0</v>
      </c>
      <c r="G62" s="59">
        <f>COUNTIFS(Jun!$B:$B,2184,Jun!$J:$J,4)</f>
        <v>0</v>
      </c>
      <c r="H62" s="59">
        <f>COUNTIFS(Jul!$B:$B,2184,Jul!$J:$J,4)</f>
        <v>0</v>
      </c>
      <c r="I62" s="59">
        <f>COUNTIFS(Aug!$B:$B,2184,Aug!$J:$J,4)</f>
        <v>0</v>
      </c>
      <c r="J62" s="59">
        <f>COUNTIFS(Sep!$B:$B,2184,Sep!$J:$J,4)</f>
        <v>0</v>
      </c>
      <c r="K62" s="59">
        <f>COUNTIFS(Oct!$B:$B,2184,Oct!$J:$J,4)</f>
        <v>0</v>
      </c>
      <c r="L62" s="59">
        <f>COUNTIFS(Nov!$B:$B,2184,Nov!$J:$J,4)</f>
        <v>0</v>
      </c>
      <c r="M62" s="59">
        <v>0</v>
      </c>
    </row>
    <row r="63" spans="1:13" s="8" customFormat="1" ht="11.25" customHeight="1">
      <c r="A63" s="10" t="s">
        <v>6</v>
      </c>
      <c r="B63" s="59">
        <f>COUNTIFS(Jan!$B:$B,2184,Jan!$J:$J,5)</f>
        <v>0</v>
      </c>
      <c r="C63" s="59">
        <f>COUNTIFS(Feb!$B:$B,2184,Feb!$J:$J,5)</f>
        <v>0</v>
      </c>
      <c r="D63" s="59">
        <f>COUNTIFS(Mar!$B:$B,2184,Mar!$J:$J,5)</f>
        <v>0</v>
      </c>
      <c r="E63" s="59">
        <f>COUNTIFS(Apr!$B:$B,2184,Apr!$J:$J,5)</f>
        <v>0</v>
      </c>
      <c r="F63" s="59">
        <f>COUNTIFS(May!$B:$B,2184,May!$J:$J,5)</f>
        <v>0</v>
      </c>
      <c r="G63" s="59">
        <f>COUNTIFS(Jun!$B:$B,2184,Jun!$J:$J,5)</f>
        <v>0</v>
      </c>
      <c r="H63" s="59">
        <f>COUNTIFS(Jul!$B:$B,2184,Jul!$J:$J,5)</f>
        <v>0</v>
      </c>
      <c r="I63" s="59">
        <f>COUNTIFS(Aug!$B:$B,2184,Aug!$J:$J,5)</f>
        <v>0</v>
      </c>
      <c r="J63" s="59">
        <f>COUNTIFS(Sep!$B:$B,2184,Sep!$J:$J,5)</f>
        <v>0</v>
      </c>
      <c r="K63" s="59">
        <f>COUNTIFS(Oct!$B:$B,2184,Oct!$J:$J,5)</f>
        <v>0</v>
      </c>
      <c r="L63" s="59">
        <f>COUNTIFS(Nov!$B:$B,2184,Nov!$J:$J,5)</f>
        <v>0</v>
      </c>
      <c r="M63" s="59">
        <v>0</v>
      </c>
    </row>
    <row r="64" spans="1:13" s="8" customFormat="1" ht="11.25" customHeight="1">
      <c r="A64" s="52" t="s">
        <v>141</v>
      </c>
      <c r="B64" s="69">
        <f>COUNTIFS(Jan!$B:$B,2184,Jan!$F:$F,456)</f>
        <v>0</v>
      </c>
      <c r="C64" s="69">
        <f>COUNTIFS(Feb!$B:$B,2184,Feb!$F:$F,456)</f>
        <v>0</v>
      </c>
      <c r="D64" s="69">
        <f>COUNTIFS(Mar!$B:$B,2184,Mar!$F:$F,456)</f>
        <v>0</v>
      </c>
      <c r="E64" s="69">
        <f>COUNTIFS(Apr!$B:$B,2184,Apr!$F:$F,456)</f>
        <v>0</v>
      </c>
      <c r="F64" s="69">
        <f>COUNTIFS(May!$B:$B,2184,May!$F:$F,456)</f>
        <v>0</v>
      </c>
      <c r="G64" s="69">
        <f>COUNTIFS(Jun!$B:$B,2184,Jun!$F:$F,456)</f>
        <v>0</v>
      </c>
      <c r="H64" s="69">
        <f>COUNTIFS(Jul!$B:$B,2184,Jul!$F:$F,456)</f>
        <v>0</v>
      </c>
      <c r="I64" s="69">
        <f>COUNTIFS(Aug!$B:$B,2184,Aug!$F:$F,456)</f>
        <v>0</v>
      </c>
      <c r="J64" s="69">
        <f>COUNTIFS(Sep!$B:$B,2184,Sep!$F:$F,456)</f>
        <v>0</v>
      </c>
      <c r="K64" s="69">
        <f>COUNTIFS(Oct!$B:$B,2184,Oct!$F:$F,456)</f>
        <v>0</v>
      </c>
      <c r="L64" s="69">
        <f>COUNTIFS(Nov!$B:$B,2184,Nov!$F:$F,456)</f>
        <v>0</v>
      </c>
      <c r="M64" s="69">
        <v>0</v>
      </c>
    </row>
    <row r="65" spans="1:13" s="8" customFormat="1" ht="11.25" customHeight="1" thickBot="1">
      <c r="A65" s="12" t="s">
        <v>16</v>
      </c>
      <c r="B65" s="70">
        <f>SUM(B54:B64)</f>
        <v>0</v>
      </c>
      <c r="C65" s="70">
        <f t="shared" ref="C65:M65" si="12">SUM(C54:C64)</f>
        <v>0</v>
      </c>
      <c r="D65" s="70">
        <f t="shared" si="12"/>
        <v>0</v>
      </c>
      <c r="E65" s="70">
        <f t="shared" si="12"/>
        <v>0</v>
      </c>
      <c r="F65" s="70">
        <f t="shared" si="12"/>
        <v>0</v>
      </c>
      <c r="G65" s="70">
        <f t="shared" si="12"/>
        <v>0</v>
      </c>
      <c r="H65" s="70">
        <f t="shared" si="12"/>
        <v>0</v>
      </c>
      <c r="I65" s="70">
        <f t="shared" si="12"/>
        <v>0</v>
      </c>
      <c r="J65" s="70">
        <f t="shared" si="12"/>
        <v>0</v>
      </c>
      <c r="K65" s="70">
        <f t="shared" si="12"/>
        <v>0</v>
      </c>
      <c r="L65" s="165">
        <f t="shared" si="12"/>
        <v>0</v>
      </c>
      <c r="M65" s="170">
        <f t="shared" si="12"/>
        <v>0</v>
      </c>
    </row>
    <row r="66" spans="1:13" s="8" customFormat="1" ht="15.75" customHeight="1">
      <c r="A66" s="6"/>
      <c r="B66" s="7"/>
      <c r="C66" s="7"/>
      <c r="D66" s="7"/>
      <c r="E66" s="7"/>
      <c r="F66" s="7"/>
      <c r="G66" s="7"/>
      <c r="H66" s="7"/>
      <c r="I66" s="7"/>
      <c r="J66" s="7"/>
      <c r="K66" s="7"/>
      <c r="L66" s="7"/>
      <c r="M66" s="7"/>
    </row>
    <row r="67" spans="1:13" ht="12" customHeight="1">
      <c r="A67" s="6"/>
      <c r="B67" s="7"/>
      <c r="C67" s="7"/>
      <c r="D67" s="7"/>
      <c r="E67" s="7"/>
      <c r="F67" s="7"/>
      <c r="G67" s="7"/>
      <c r="H67" s="7"/>
      <c r="I67" s="7"/>
      <c r="J67" s="7"/>
      <c r="K67" s="7"/>
      <c r="L67" s="7"/>
      <c r="M67" s="7"/>
    </row>
  </sheetData>
  <phoneticPr fontId="0" type="noConversion"/>
  <printOptions horizontalCentered="1" verticalCentered="1"/>
  <pageMargins left="0.14000000000000001" right="0.16" top="0.25" bottom="0.5" header="0.5" footer="0.25"/>
  <pageSetup scale="95" firstPageNumber="3" orientation="portrait" useFirstPageNumber="1" r:id="rId1"/>
  <headerFooter alignWithMargins="0">
    <oddFooter>&amp;R35 of 51</oddFooter>
  </headerFooter>
  <ignoredErrors>
    <ignoredError sqref="M32 M52 M65" formulaRange="1"/>
  </ignoredErrors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67"/>
  <sheetViews>
    <sheetView view="pageBreakPreview" zoomScale="90" zoomScaleNormal="100" zoomScaleSheetLayoutView="90" workbookViewId="0">
      <selection activeCell="M65" sqref="M65"/>
    </sheetView>
  </sheetViews>
  <sheetFormatPr defaultRowHeight="12.75"/>
  <cols>
    <col min="1" max="1" width="22.85546875" style="1" customWidth="1"/>
    <col min="2" max="13" width="7.140625" style="1" customWidth="1"/>
    <col min="14" max="14" width="4.42578125" style="1" customWidth="1"/>
    <col min="15" max="16384" width="9.140625" style="1"/>
  </cols>
  <sheetData>
    <row r="1" spans="1:21" ht="18" customHeight="1">
      <c r="A1" s="130"/>
      <c r="B1" s="131"/>
      <c r="C1" s="131"/>
      <c r="D1" s="131"/>
      <c r="E1" s="131"/>
      <c r="F1" s="131"/>
      <c r="G1" s="130"/>
      <c r="H1" s="130"/>
      <c r="I1" s="131"/>
      <c r="J1" s="131"/>
      <c r="K1" s="131"/>
      <c r="L1" s="130"/>
      <c r="M1" s="143" t="s">
        <v>22</v>
      </c>
    </row>
    <row r="2" spans="1:21" ht="18" customHeight="1">
      <c r="A2" s="130"/>
      <c r="B2" s="135"/>
      <c r="C2" s="135"/>
      <c r="D2" s="135"/>
      <c r="E2" s="135"/>
      <c r="F2" s="135"/>
      <c r="G2" s="130"/>
      <c r="H2" s="130"/>
      <c r="I2" s="135"/>
      <c r="J2" s="135"/>
      <c r="K2" s="135"/>
      <c r="L2" s="130"/>
      <c r="M2" s="155" t="s">
        <v>13</v>
      </c>
    </row>
    <row r="3" spans="1:21" s="5" customFormat="1" ht="18" customHeight="1">
      <c r="A3" s="133"/>
      <c r="B3" s="133"/>
      <c r="C3" s="133"/>
      <c r="D3" s="133"/>
      <c r="E3" s="133"/>
      <c r="F3" s="133"/>
      <c r="G3" s="133"/>
      <c r="H3" s="133"/>
      <c r="I3" s="133"/>
      <c r="J3" s="136"/>
      <c r="K3" s="136"/>
      <c r="L3" s="133"/>
      <c r="M3" s="155" t="s">
        <v>76</v>
      </c>
      <c r="N3" s="134"/>
      <c r="O3" s="134"/>
      <c r="P3" s="134"/>
      <c r="Q3" s="134"/>
      <c r="R3" s="134"/>
      <c r="S3" s="134"/>
      <c r="T3" s="134"/>
      <c r="U3" s="134"/>
    </row>
    <row r="4" spans="1:21" s="8" customFormat="1" ht="6.75" customHeight="1" thickBot="1">
      <c r="A4" s="38"/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</row>
    <row r="5" spans="1:21" s="8" customFormat="1" ht="11.25" customHeight="1" thickBot="1">
      <c r="A5" s="53" t="s">
        <v>19</v>
      </c>
      <c r="B5" s="50">
        <v>41275</v>
      </c>
      <c r="C5" s="47">
        <v>41306</v>
      </c>
      <c r="D5" s="47">
        <v>41334</v>
      </c>
      <c r="E5" s="47">
        <v>41365</v>
      </c>
      <c r="F5" s="47">
        <v>41395</v>
      </c>
      <c r="G5" s="47">
        <v>41426</v>
      </c>
      <c r="H5" s="47">
        <v>41456</v>
      </c>
      <c r="I5" s="47">
        <v>41487</v>
      </c>
      <c r="J5" s="47">
        <v>41518</v>
      </c>
      <c r="K5" s="47">
        <v>41548</v>
      </c>
      <c r="L5" s="47">
        <v>41579</v>
      </c>
      <c r="M5" s="51">
        <v>41609</v>
      </c>
    </row>
    <row r="6" spans="1:21" s="8" customFormat="1" ht="11.25" customHeight="1">
      <c r="A6" s="41" t="s">
        <v>129</v>
      </c>
      <c r="B6" s="57">
        <f t="shared" ref="B6:M6" si="0">B32</f>
        <v>24</v>
      </c>
      <c r="C6" s="57">
        <f t="shared" si="0"/>
        <v>11</v>
      </c>
      <c r="D6" s="57">
        <f t="shared" si="0"/>
        <v>17</v>
      </c>
      <c r="E6" s="57">
        <f t="shared" si="0"/>
        <v>16</v>
      </c>
      <c r="F6" s="57">
        <f t="shared" si="0"/>
        <v>16</v>
      </c>
      <c r="G6" s="57">
        <f t="shared" si="0"/>
        <v>21</v>
      </c>
      <c r="H6" s="57">
        <f t="shared" si="0"/>
        <v>16</v>
      </c>
      <c r="I6" s="57">
        <f t="shared" si="0"/>
        <v>15</v>
      </c>
      <c r="J6" s="57">
        <f t="shared" si="0"/>
        <v>8</v>
      </c>
      <c r="K6" s="57">
        <f t="shared" si="0"/>
        <v>5</v>
      </c>
      <c r="L6" s="156">
        <f t="shared" si="0"/>
        <v>28</v>
      </c>
      <c r="M6" s="168">
        <f t="shared" si="0"/>
        <v>8</v>
      </c>
    </row>
    <row r="7" spans="1:21" s="8" customFormat="1" ht="11.25" customHeight="1">
      <c r="A7" s="42" t="s">
        <v>18</v>
      </c>
      <c r="B7" s="57">
        <f t="shared" ref="B7:M7" si="1">SUM(B10:B12)</f>
        <v>137</v>
      </c>
      <c r="C7" s="57">
        <f t="shared" si="1"/>
        <v>142</v>
      </c>
      <c r="D7" s="57">
        <f t="shared" si="1"/>
        <v>93</v>
      </c>
      <c r="E7" s="57">
        <f t="shared" si="1"/>
        <v>134</v>
      </c>
      <c r="F7" s="57">
        <f t="shared" si="1"/>
        <v>163</v>
      </c>
      <c r="G7" s="57">
        <f t="shared" si="1"/>
        <v>154</v>
      </c>
      <c r="H7" s="57">
        <f t="shared" si="1"/>
        <v>137</v>
      </c>
      <c r="I7" s="57">
        <f t="shared" si="1"/>
        <v>196</v>
      </c>
      <c r="J7" s="57">
        <f t="shared" si="1"/>
        <v>130</v>
      </c>
      <c r="K7" s="57">
        <f t="shared" si="1"/>
        <v>79</v>
      </c>
      <c r="L7" s="156">
        <f t="shared" si="1"/>
        <v>143</v>
      </c>
      <c r="M7" s="171">
        <f t="shared" si="1"/>
        <v>43</v>
      </c>
    </row>
    <row r="8" spans="1:21" s="8" customFormat="1" ht="11.25" customHeight="1" thickBot="1">
      <c r="A8" s="43" t="s">
        <v>14</v>
      </c>
      <c r="B8" s="58">
        <f t="shared" ref="B8:M8" si="2">SUM(B6:B7)</f>
        <v>161</v>
      </c>
      <c r="C8" s="58">
        <f t="shared" si="2"/>
        <v>153</v>
      </c>
      <c r="D8" s="58">
        <f t="shared" si="2"/>
        <v>110</v>
      </c>
      <c r="E8" s="58">
        <f t="shared" si="2"/>
        <v>150</v>
      </c>
      <c r="F8" s="58">
        <f t="shared" si="2"/>
        <v>179</v>
      </c>
      <c r="G8" s="58">
        <f t="shared" si="2"/>
        <v>175</v>
      </c>
      <c r="H8" s="58">
        <f t="shared" si="2"/>
        <v>153</v>
      </c>
      <c r="I8" s="58">
        <f t="shared" si="2"/>
        <v>211</v>
      </c>
      <c r="J8" s="58">
        <f t="shared" si="2"/>
        <v>138</v>
      </c>
      <c r="K8" s="58">
        <f t="shared" si="2"/>
        <v>84</v>
      </c>
      <c r="L8" s="157">
        <f t="shared" si="2"/>
        <v>171</v>
      </c>
      <c r="M8" s="172">
        <f t="shared" si="2"/>
        <v>51</v>
      </c>
    </row>
    <row r="9" spans="1:21" s="8" customFormat="1" ht="11.25" customHeight="1" thickBot="1">
      <c r="A9" s="54" t="s">
        <v>18</v>
      </c>
      <c r="B9" s="50">
        <v>41275</v>
      </c>
      <c r="C9" s="47">
        <v>41306</v>
      </c>
      <c r="D9" s="47">
        <v>41334</v>
      </c>
      <c r="E9" s="47">
        <v>41365</v>
      </c>
      <c r="F9" s="47">
        <v>41395</v>
      </c>
      <c r="G9" s="47">
        <v>41426</v>
      </c>
      <c r="H9" s="47">
        <v>41456</v>
      </c>
      <c r="I9" s="47">
        <v>41487</v>
      </c>
      <c r="J9" s="47">
        <v>41518</v>
      </c>
      <c r="K9" s="47">
        <v>41548</v>
      </c>
      <c r="L9" s="47">
        <v>41579</v>
      </c>
      <c r="M9" s="51">
        <v>41609</v>
      </c>
    </row>
    <row r="10" spans="1:21" s="8" customFormat="1" ht="11.25" customHeight="1">
      <c r="A10" s="9" t="s">
        <v>128</v>
      </c>
      <c r="B10" s="57">
        <f t="shared" ref="B10:M10" si="3">B52</f>
        <v>114</v>
      </c>
      <c r="C10" s="57">
        <f t="shared" si="3"/>
        <v>123</v>
      </c>
      <c r="D10" s="57">
        <f t="shared" si="3"/>
        <v>75</v>
      </c>
      <c r="E10" s="57">
        <f t="shared" si="3"/>
        <v>114</v>
      </c>
      <c r="F10" s="57">
        <f t="shared" si="3"/>
        <v>141</v>
      </c>
      <c r="G10" s="59">
        <f t="shared" si="3"/>
        <v>131</v>
      </c>
      <c r="H10" s="59">
        <f t="shared" si="3"/>
        <v>121</v>
      </c>
      <c r="I10" s="59">
        <f t="shared" si="3"/>
        <v>177</v>
      </c>
      <c r="J10" s="59">
        <f t="shared" si="3"/>
        <v>111</v>
      </c>
      <c r="K10" s="59">
        <f t="shared" si="3"/>
        <v>66</v>
      </c>
      <c r="L10" s="158">
        <f t="shared" si="3"/>
        <v>121</v>
      </c>
      <c r="M10" s="168">
        <f t="shared" si="3"/>
        <v>30</v>
      </c>
    </row>
    <row r="11" spans="1:21" s="8" customFormat="1" ht="11.25" customHeight="1">
      <c r="A11" s="9" t="s">
        <v>127</v>
      </c>
      <c r="B11" s="59">
        <f t="shared" ref="B11:M11" si="4">B65</f>
        <v>7</v>
      </c>
      <c r="C11" s="59">
        <f t="shared" si="4"/>
        <v>5</v>
      </c>
      <c r="D11" s="59">
        <f t="shared" si="4"/>
        <v>3</v>
      </c>
      <c r="E11" s="59">
        <f t="shared" si="4"/>
        <v>6</v>
      </c>
      <c r="F11" s="59">
        <f t="shared" si="4"/>
        <v>3</v>
      </c>
      <c r="G11" s="59">
        <f t="shared" si="4"/>
        <v>6</v>
      </c>
      <c r="H11" s="59">
        <f t="shared" si="4"/>
        <v>4</v>
      </c>
      <c r="I11" s="59">
        <f t="shared" si="4"/>
        <v>5</v>
      </c>
      <c r="J11" s="59">
        <f t="shared" si="4"/>
        <v>5</v>
      </c>
      <c r="K11" s="59">
        <f t="shared" si="4"/>
        <v>4</v>
      </c>
      <c r="L11" s="158">
        <f t="shared" si="4"/>
        <v>2</v>
      </c>
      <c r="M11" s="169">
        <f t="shared" si="4"/>
        <v>0</v>
      </c>
    </row>
    <row r="12" spans="1:21" s="8" customFormat="1" ht="11.25" customHeight="1" thickBot="1">
      <c r="A12" s="2" t="s">
        <v>12</v>
      </c>
      <c r="B12" s="60">
        <f>COUNTIFS(Jan!$B:$B,2211,Jan!$F:$F,800)</f>
        <v>16</v>
      </c>
      <c r="C12" s="60">
        <v>14</v>
      </c>
      <c r="D12" s="60">
        <v>15</v>
      </c>
      <c r="E12" s="60">
        <v>14</v>
      </c>
      <c r="F12" s="60">
        <v>19</v>
      </c>
      <c r="G12" s="60">
        <v>17</v>
      </c>
      <c r="H12" s="60">
        <v>12</v>
      </c>
      <c r="I12" s="60">
        <v>14</v>
      </c>
      <c r="J12" s="60">
        <v>14</v>
      </c>
      <c r="K12" s="60">
        <v>9</v>
      </c>
      <c r="L12" s="60">
        <v>20</v>
      </c>
      <c r="M12" s="60">
        <v>13</v>
      </c>
    </row>
    <row r="13" spans="1:21" s="8" customFormat="1" ht="5.0999999999999996" customHeight="1" thickBot="1">
      <c r="A13" s="3"/>
      <c r="B13" s="17"/>
      <c r="C13" s="17"/>
      <c r="D13" s="17"/>
      <c r="E13" s="17"/>
      <c r="F13" s="17"/>
      <c r="G13" s="17"/>
      <c r="H13" s="17"/>
      <c r="I13" s="17"/>
      <c r="J13" s="17"/>
      <c r="K13" s="17"/>
      <c r="L13" s="17"/>
      <c r="M13" s="147"/>
    </row>
    <row r="14" spans="1:21" s="16" customFormat="1" ht="11.25" customHeight="1">
      <c r="A14" s="44" t="s">
        <v>131</v>
      </c>
      <c r="B14" s="120">
        <v>30745</v>
      </c>
      <c r="C14" s="120">
        <v>39475</v>
      </c>
      <c r="D14" s="120">
        <v>30152</v>
      </c>
      <c r="E14" s="120">
        <v>31805</v>
      </c>
      <c r="F14" s="120">
        <v>35137</v>
      </c>
      <c r="G14" s="120">
        <v>30683</v>
      </c>
      <c r="H14" s="119">
        <v>28460</v>
      </c>
      <c r="I14" s="61">
        <v>31857</v>
      </c>
      <c r="J14" s="61">
        <v>34643</v>
      </c>
      <c r="K14" s="118">
        <v>33755</v>
      </c>
      <c r="L14" s="160">
        <v>29270</v>
      </c>
      <c r="M14" s="173">
        <v>22649</v>
      </c>
      <c r="O14" s="22"/>
      <c r="P14" s="22"/>
      <c r="Q14" s="22"/>
    </row>
    <row r="15" spans="1:21" s="8" customFormat="1" ht="11.25" customHeight="1">
      <c r="A15" s="45" t="s">
        <v>132</v>
      </c>
      <c r="B15" s="62">
        <f>IFERROR((SUMIFS(Jan!$N:$N,Jan!$J:$J,1,Jan!$B:$B,2211)+SUMIFS(Jan!$N:$N,Jan!$D:$D,"&gt;1",Jan!$B:$B,2211))/(COUNTIFS(Jan!$J:$J,1,Jan!$B:$B,2211)+COUNTIFS(Jan!$D:$D,"&gt;1",Jan!$B:$B,2211)),"")</f>
        <v>31.80952380952381</v>
      </c>
      <c r="C15" s="62">
        <v>21.43</v>
      </c>
      <c r="D15" s="62">
        <v>23.4</v>
      </c>
      <c r="E15" s="62">
        <v>22.15</v>
      </c>
      <c r="F15" s="62">
        <v>21.85</v>
      </c>
      <c r="G15" s="62">
        <v>22.51</v>
      </c>
      <c r="H15" s="62">
        <v>22.52</v>
      </c>
      <c r="I15" s="62">
        <v>21.91</v>
      </c>
      <c r="J15" s="62">
        <v>25.23</v>
      </c>
      <c r="K15" s="62">
        <v>23.46</v>
      </c>
      <c r="L15" s="62">
        <v>21.6</v>
      </c>
      <c r="M15" s="62">
        <v>29.72</v>
      </c>
      <c r="N15" s="15"/>
      <c r="O15" s="1"/>
      <c r="P15" s="1"/>
      <c r="Q15" s="1"/>
    </row>
    <row r="16" spans="1:21" s="8" customFormat="1" ht="11.25" customHeight="1">
      <c r="A16" s="45" t="s">
        <v>133</v>
      </c>
      <c r="B16" s="62">
        <f>IFERROR(AVERAGEIFS(Jan!$N:$N,Jan!$F:$F,800,Jan!$B:$B,2211),"")</f>
        <v>30.1875</v>
      </c>
      <c r="C16" s="62">
        <v>32.67</v>
      </c>
      <c r="D16" s="62">
        <v>34.24</v>
      </c>
      <c r="E16" s="62">
        <v>31.63</v>
      </c>
      <c r="F16" s="62">
        <v>32.79</v>
      </c>
      <c r="G16" s="62">
        <v>30.53</v>
      </c>
      <c r="H16" s="62">
        <v>35</v>
      </c>
      <c r="I16" s="62">
        <v>30.57</v>
      </c>
      <c r="J16" s="62">
        <v>35.71</v>
      </c>
      <c r="K16" s="62">
        <v>33.67</v>
      </c>
      <c r="L16" s="62">
        <v>32.200000000000003</v>
      </c>
      <c r="M16" s="62">
        <v>31.08</v>
      </c>
      <c r="O16" s="1"/>
      <c r="P16" s="1"/>
      <c r="Q16" s="1"/>
    </row>
    <row r="17" spans="1:17" s="8" customFormat="1" ht="11.25" customHeight="1">
      <c r="A17" s="45" t="s">
        <v>134</v>
      </c>
      <c r="B17" s="63">
        <f>IFERROR((SUMIFS(Jan!$M:$M,Jan!$J:$J,1,Jan!$B:$B,2211)+SUMIFS(Jan!$M:$M,Jan!$D:$D,"&gt;1",Jan!$B:$B,2211))/(COUNTIFS(Jan!$J:$J,1,Jan!$B:$B,2211)+COUNTIFS(Jan!$D:$D,"&gt;1",Jan!$B:$B,2211)),"")</f>
        <v>0.7238095238095239</v>
      </c>
      <c r="C17" s="63">
        <v>1.33</v>
      </c>
      <c r="D17" s="63">
        <v>1.3</v>
      </c>
      <c r="E17" s="63">
        <v>1.06</v>
      </c>
      <c r="F17" s="63">
        <v>1.17</v>
      </c>
      <c r="G17" s="63">
        <v>1.61</v>
      </c>
      <c r="H17" s="63">
        <v>1.29</v>
      </c>
      <c r="I17" s="63">
        <v>1.45</v>
      </c>
      <c r="J17" s="63">
        <v>1.36</v>
      </c>
      <c r="K17" s="63">
        <v>1.1399999999999999</v>
      </c>
      <c r="L17" s="63">
        <v>1.97</v>
      </c>
      <c r="M17" s="63">
        <v>0.9</v>
      </c>
      <c r="O17" s="1"/>
      <c r="P17" s="1"/>
      <c r="Q17" s="1"/>
    </row>
    <row r="18" spans="1:17" s="8" customFormat="1" ht="11.25" customHeight="1" thickBot="1">
      <c r="A18" s="43" t="s">
        <v>135</v>
      </c>
      <c r="B18" s="64">
        <f>IFERROR(AVERAGEIFS(Jan!$M:$M,Jan!$F:$F,800,Jan!$B:$B,2211),"")</f>
        <v>0.77500000000000002</v>
      </c>
      <c r="C18" s="64">
        <v>0.71</v>
      </c>
      <c r="D18" s="64">
        <v>0.74</v>
      </c>
      <c r="E18" s="64">
        <v>0.72</v>
      </c>
      <c r="F18" s="64">
        <v>0.54</v>
      </c>
      <c r="G18" s="64">
        <v>0.87</v>
      </c>
      <c r="H18" s="64">
        <v>0.72</v>
      </c>
      <c r="I18" s="64">
        <v>0.72</v>
      </c>
      <c r="J18" s="64">
        <v>0.41</v>
      </c>
      <c r="K18" s="64">
        <v>0.62</v>
      </c>
      <c r="L18" s="64">
        <v>0.66</v>
      </c>
      <c r="M18" s="64">
        <v>0.65</v>
      </c>
    </row>
    <row r="19" spans="1:17" s="8" customFormat="1" ht="5.0999999999999996" customHeight="1" thickBot="1">
      <c r="A19" s="3"/>
      <c r="B19" s="17"/>
      <c r="C19" s="17"/>
      <c r="D19" s="17"/>
      <c r="E19" s="17"/>
      <c r="F19" s="17"/>
      <c r="G19" s="17"/>
      <c r="H19" s="17"/>
      <c r="I19" s="17"/>
      <c r="J19" s="17"/>
      <c r="K19" s="17"/>
      <c r="L19" s="17"/>
      <c r="M19" s="147"/>
    </row>
    <row r="20" spans="1:17" s="8" customFormat="1" ht="11.25" customHeight="1">
      <c r="A20" s="42" t="s">
        <v>52</v>
      </c>
      <c r="B20" s="65">
        <v>31</v>
      </c>
      <c r="C20" s="65">
        <v>28</v>
      </c>
      <c r="D20" s="65">
        <v>31</v>
      </c>
      <c r="E20" s="65">
        <v>30</v>
      </c>
      <c r="F20" s="65">
        <v>31</v>
      </c>
      <c r="G20" s="65">
        <v>30</v>
      </c>
      <c r="H20" s="65">
        <v>31</v>
      </c>
      <c r="I20" s="65">
        <v>31</v>
      </c>
      <c r="J20" s="65">
        <v>30</v>
      </c>
      <c r="K20" s="65">
        <v>31</v>
      </c>
      <c r="L20" s="161">
        <v>30</v>
      </c>
      <c r="M20" s="174">
        <v>31</v>
      </c>
    </row>
    <row r="21" spans="1:17" s="8" customFormat="1" ht="11.25" customHeight="1">
      <c r="A21" s="9" t="s">
        <v>15</v>
      </c>
      <c r="B21" s="66">
        <f>B12/B20</f>
        <v>0.5161290322580645</v>
      </c>
      <c r="C21" s="66">
        <f t="shared" ref="C21:M21" si="5">C12/C20</f>
        <v>0.5</v>
      </c>
      <c r="D21" s="66">
        <f>D12/D20</f>
        <v>0.4838709677419355</v>
      </c>
      <c r="E21" s="66">
        <f>E12/E20</f>
        <v>0.46666666666666667</v>
      </c>
      <c r="F21" s="66">
        <f>F12/F20</f>
        <v>0.61290322580645162</v>
      </c>
      <c r="G21" s="66">
        <f>G12/G20</f>
        <v>0.56666666666666665</v>
      </c>
      <c r="H21" s="66">
        <f t="shared" si="5"/>
        <v>0.38709677419354838</v>
      </c>
      <c r="I21" s="66">
        <f t="shared" si="5"/>
        <v>0.45161290322580644</v>
      </c>
      <c r="J21" s="66">
        <f t="shared" si="5"/>
        <v>0.46666666666666667</v>
      </c>
      <c r="K21" s="66">
        <f t="shared" si="5"/>
        <v>0.29032258064516131</v>
      </c>
      <c r="L21" s="162">
        <f t="shared" si="5"/>
        <v>0.66666666666666663</v>
      </c>
      <c r="M21" s="175">
        <f t="shared" si="5"/>
        <v>0.41935483870967744</v>
      </c>
    </row>
    <row r="22" spans="1:17" s="8" customFormat="1" ht="11.25" customHeight="1">
      <c r="A22" s="9" t="s">
        <v>130</v>
      </c>
      <c r="B22" s="67">
        <f t="shared" ref="B22:G22" si="6">IFERROR(B12/B7,0)</f>
        <v>0.11678832116788321</v>
      </c>
      <c r="C22" s="67">
        <f t="shared" si="6"/>
        <v>9.8591549295774641E-2</v>
      </c>
      <c r="D22" s="67">
        <f t="shared" si="6"/>
        <v>0.16129032258064516</v>
      </c>
      <c r="E22" s="67">
        <f t="shared" si="6"/>
        <v>0.1044776119402985</v>
      </c>
      <c r="F22" s="67">
        <f t="shared" si="6"/>
        <v>0.1165644171779141</v>
      </c>
      <c r="G22" s="67">
        <f t="shared" si="6"/>
        <v>0.11038961038961038</v>
      </c>
      <c r="H22" s="67">
        <f t="shared" ref="H22:M22" si="7">IFERROR(H12/H7,0)</f>
        <v>8.7591240875912413E-2</v>
      </c>
      <c r="I22" s="67">
        <f t="shared" si="7"/>
        <v>7.1428571428571425E-2</v>
      </c>
      <c r="J22" s="67">
        <f t="shared" si="7"/>
        <v>0.1076923076923077</v>
      </c>
      <c r="K22" s="116">
        <f t="shared" si="7"/>
        <v>0.11392405063291139</v>
      </c>
      <c r="L22" s="67">
        <f t="shared" si="7"/>
        <v>0.13986013986013987</v>
      </c>
      <c r="M22" s="176">
        <f t="shared" si="7"/>
        <v>0.30232558139534882</v>
      </c>
      <c r="N22" s="1"/>
    </row>
    <row r="23" spans="1:17" s="8" customFormat="1" ht="11.25" customHeight="1" thickBot="1">
      <c r="A23" s="9" t="s">
        <v>53</v>
      </c>
      <c r="B23" s="67">
        <f t="shared" ref="B23:G23" si="8">IFERROR(B12/(B11+B12),0)</f>
        <v>0.69565217391304346</v>
      </c>
      <c r="C23" s="67">
        <f t="shared" si="8"/>
        <v>0.73684210526315785</v>
      </c>
      <c r="D23" s="67">
        <f t="shared" si="8"/>
        <v>0.83333333333333337</v>
      </c>
      <c r="E23" s="67">
        <f t="shared" si="8"/>
        <v>0.7</v>
      </c>
      <c r="F23" s="67">
        <f t="shared" si="8"/>
        <v>0.86363636363636365</v>
      </c>
      <c r="G23" s="67">
        <f t="shared" si="8"/>
        <v>0.73913043478260865</v>
      </c>
      <c r="H23" s="67">
        <f t="shared" ref="H23:M23" si="9">IFERROR(H12/(H11+H12),0)</f>
        <v>0.75</v>
      </c>
      <c r="I23" s="67">
        <f t="shared" si="9"/>
        <v>0.73684210526315785</v>
      </c>
      <c r="J23" s="67">
        <f t="shared" si="9"/>
        <v>0.73684210526315785</v>
      </c>
      <c r="K23" s="117">
        <f t="shared" si="9"/>
        <v>0.69230769230769229</v>
      </c>
      <c r="L23" s="163">
        <f t="shared" si="9"/>
        <v>0.90909090909090906</v>
      </c>
      <c r="M23" s="177">
        <f t="shared" si="9"/>
        <v>1</v>
      </c>
      <c r="N23" s="4"/>
    </row>
    <row r="24" spans="1:17" s="8" customFormat="1" ht="11.25" customHeight="1" thickBot="1">
      <c r="A24" s="56" t="s">
        <v>21</v>
      </c>
      <c r="B24" s="50">
        <v>41275</v>
      </c>
      <c r="C24" s="47">
        <v>41306</v>
      </c>
      <c r="D24" s="47">
        <v>41334</v>
      </c>
      <c r="E24" s="47">
        <v>41365</v>
      </c>
      <c r="F24" s="47">
        <v>41395</v>
      </c>
      <c r="G24" s="47">
        <v>41426</v>
      </c>
      <c r="H24" s="47">
        <v>41456</v>
      </c>
      <c r="I24" s="47">
        <v>41487</v>
      </c>
      <c r="J24" s="47">
        <v>41518</v>
      </c>
      <c r="K24" s="47">
        <v>41548</v>
      </c>
      <c r="L24" s="47">
        <v>41579</v>
      </c>
      <c r="M24" s="51">
        <v>41609</v>
      </c>
    </row>
    <row r="25" spans="1:17" s="8" customFormat="1" ht="11.25" customHeight="1">
      <c r="A25" s="18" t="s">
        <v>5</v>
      </c>
      <c r="B25" s="68">
        <f>COUNTIFS(Jan!$B:$B,2211,Jan!$J:$J,18)</f>
        <v>4</v>
      </c>
      <c r="C25" s="68">
        <v>1</v>
      </c>
      <c r="D25" s="68">
        <v>4</v>
      </c>
      <c r="E25" s="68">
        <v>1</v>
      </c>
      <c r="F25" s="68">
        <v>1</v>
      </c>
      <c r="G25" s="68">
        <f>COUNTIFS(Jun!$B:$B,2211,Jun!$J:$J,18)</f>
        <v>0</v>
      </c>
      <c r="H25" s="68">
        <v>4</v>
      </c>
      <c r="I25" s="68">
        <v>3</v>
      </c>
      <c r="J25" s="68">
        <f>COUNTIFS(Sep!$B:$B,2211,Sep!$J:$J,18)</f>
        <v>0</v>
      </c>
      <c r="K25" s="68">
        <v>1</v>
      </c>
      <c r="L25" s="68">
        <v>4</v>
      </c>
      <c r="M25" s="68">
        <v>3</v>
      </c>
    </row>
    <row r="26" spans="1:17" s="8" customFormat="1" ht="11.25" customHeight="1">
      <c r="A26" s="46" t="s">
        <v>40</v>
      </c>
      <c r="B26" s="57">
        <f>COUNTIFS(Jan!$B:$B,2211,Jan!$J:$J,41)</f>
        <v>0</v>
      </c>
      <c r="C26" s="57">
        <f>COUNTIFS(Feb!$B:$B,2211,Feb!$J:$J,41)</f>
        <v>0</v>
      </c>
      <c r="D26" s="57">
        <v>4</v>
      </c>
      <c r="E26" s="57">
        <f>COUNTIFS(Apr!$B:$B,2211,Apr!$J:$J,41)</f>
        <v>0</v>
      </c>
      <c r="F26" s="57">
        <f>COUNTIFS(May!$B:$B,2211,May!$J:$J,41)</f>
        <v>0</v>
      </c>
      <c r="G26" s="57">
        <f>COUNTIFS(Jun!$B:$B,2211,Jun!$J:$J,41)</f>
        <v>0</v>
      </c>
      <c r="H26" s="57">
        <f>COUNTIFS(Jul!$B:$B,2211,Jul!$J:$J,41)</f>
        <v>0</v>
      </c>
      <c r="I26" s="57">
        <f>COUNTIFS(Aug!$B:$B,2211,Aug!$J:$J,41)</f>
        <v>0</v>
      </c>
      <c r="J26" s="57">
        <f>COUNTIFS(Sep!$B:$B,2211,Sep!$J:$J,41)</f>
        <v>0</v>
      </c>
      <c r="K26" s="57">
        <f>COUNTIFS(Oct!$B:$B,2211,Oct!$J:$J,41)</f>
        <v>0</v>
      </c>
      <c r="L26" s="57">
        <f>COUNTIFS(Nov!$B:$B,2211,Nov!$J:$J,41)</f>
        <v>0</v>
      </c>
      <c r="M26" s="57">
        <v>0</v>
      </c>
    </row>
    <row r="27" spans="1:17" s="8" customFormat="1" ht="11.25" customHeight="1">
      <c r="A27" s="9" t="s">
        <v>11</v>
      </c>
      <c r="B27" s="179">
        <f>COUNTIFS(Jan!$B:$B,2211,Jan!$J:$J,17)</f>
        <v>20</v>
      </c>
      <c r="C27" s="206">
        <v>7</v>
      </c>
      <c r="D27" s="206">
        <v>9</v>
      </c>
      <c r="E27" s="206">
        <v>13</v>
      </c>
      <c r="F27" s="206">
        <v>12</v>
      </c>
      <c r="G27" s="206">
        <v>18</v>
      </c>
      <c r="H27" s="206">
        <v>10</v>
      </c>
      <c r="I27" s="206">
        <v>5</v>
      </c>
      <c r="J27" s="206">
        <v>6</v>
      </c>
      <c r="K27" s="206">
        <v>4</v>
      </c>
      <c r="L27" s="206">
        <v>24</v>
      </c>
      <c r="M27" s="206">
        <v>4</v>
      </c>
    </row>
    <row r="28" spans="1:17" s="8" customFormat="1" ht="11.25" customHeight="1">
      <c r="A28" s="9" t="s">
        <v>143</v>
      </c>
      <c r="B28" s="59">
        <f>COUNTIFS(Jan!$B:$B,2211,Jan!$F:$F,455)</f>
        <v>0</v>
      </c>
      <c r="C28" s="59">
        <f>COUNTIFS(Feb!$B:$B,2211,Feb!$F:$F,455)</f>
        <v>0</v>
      </c>
      <c r="D28" s="59">
        <f>COUNTIFS(Mar!$B:$B,2211,Mar!$F:$F,455)</f>
        <v>0</v>
      </c>
      <c r="E28" s="59">
        <f>COUNTIFS(Apr!$B:$B,2211,Apr!$F:$F,455)</f>
        <v>0</v>
      </c>
      <c r="F28" s="59">
        <f>COUNTIFS(May!$B:$B,2211,May!$F:$F,455)</f>
        <v>0</v>
      </c>
      <c r="G28" s="59">
        <f>COUNTIFS(Jun!$B:$B,2211,Jun!$F:$F,455)</f>
        <v>0</v>
      </c>
      <c r="H28" s="59">
        <f>COUNTIFS(Jul!$B:$B,2211,Jul!$F:$F,455)</f>
        <v>0</v>
      </c>
      <c r="I28" s="59">
        <f>COUNTIFS(Aug!$B:$B,2211,Aug!$F:$F,455)</f>
        <v>0</v>
      </c>
      <c r="J28" s="59">
        <f>COUNTIFS(Sep!$B:$B,2211,Sep!$F:$F,455)</f>
        <v>0</v>
      </c>
      <c r="K28" s="59">
        <f>COUNTIFS(Oct!$B:$B,2211,Oct!$F:$F,455)</f>
        <v>0</v>
      </c>
      <c r="L28" s="59">
        <f>COUNTIFS(Nov!$B:$B,2211,Nov!$F:$F,455)</f>
        <v>0</v>
      </c>
      <c r="M28" s="59">
        <v>0</v>
      </c>
    </row>
    <row r="29" spans="1:17" s="8" customFormat="1" ht="11.25" customHeight="1">
      <c r="A29" s="9" t="s">
        <v>23</v>
      </c>
      <c r="B29" s="59">
        <f>COUNTIFS(Jan!$B:$B,2211,Jan!$J:$J,31)</f>
        <v>0</v>
      </c>
      <c r="C29" s="59">
        <f>COUNTIFS(Feb!$B:$B,2211,Feb!$J:$J,31)</f>
        <v>0</v>
      </c>
      <c r="D29" s="59">
        <f>COUNTIFS(Mar!$B:$B,2211,Mar!$J:$J,31)</f>
        <v>0</v>
      </c>
      <c r="E29" s="59">
        <f>COUNTIFS(Apr!$B:$B,2211,Apr!$J:$J,31)</f>
        <v>0</v>
      </c>
      <c r="F29" s="59">
        <f>COUNTIFS(May!$B:$B,2211,May!$J:$J,31)</f>
        <v>0</v>
      </c>
      <c r="G29" s="59">
        <f>COUNTIFS(Jun!$B:$B,2211,Jun!$J:$J,31)</f>
        <v>0</v>
      </c>
      <c r="H29" s="59">
        <f>COUNTIFS(Jul!$B:$B,2211,Jul!$J:$J,31)</f>
        <v>0</v>
      </c>
      <c r="I29" s="59">
        <f>COUNTIFS(Aug!$B:$B,2211,Aug!$J:$J,31)</f>
        <v>0</v>
      </c>
      <c r="J29" s="59">
        <f>COUNTIFS(Sep!$B:$B,2211,Sep!$J:$J,31)</f>
        <v>0</v>
      </c>
      <c r="K29" s="59">
        <f>COUNTIFS(Oct!$B:$B,2211,Oct!$J:$J,31)</f>
        <v>0</v>
      </c>
      <c r="L29" s="59">
        <f>COUNTIFS(Nov!$B:$B,2211,Nov!$J:$J,31)</f>
        <v>0</v>
      </c>
      <c r="M29" s="59">
        <v>0</v>
      </c>
    </row>
    <row r="30" spans="1:17" s="8" customFormat="1" ht="11.25" customHeight="1">
      <c r="A30" s="9" t="s">
        <v>37</v>
      </c>
      <c r="B30" s="59">
        <f>COUNTIFS(Jan!$B:$B,2211,Jan!$J:$J,4400)</f>
        <v>0</v>
      </c>
      <c r="C30" s="59">
        <v>3</v>
      </c>
      <c r="D30" s="59">
        <f>COUNTIFS(Mar!$B:$B,2211,Mar!$J:$J,4400)</f>
        <v>0</v>
      </c>
      <c r="E30" s="59">
        <v>2</v>
      </c>
      <c r="F30" s="59">
        <v>3</v>
      </c>
      <c r="G30" s="59">
        <v>3</v>
      </c>
      <c r="H30" s="59">
        <v>2</v>
      </c>
      <c r="I30" s="59">
        <v>7</v>
      </c>
      <c r="J30" s="59">
        <v>2</v>
      </c>
      <c r="K30" s="59">
        <f>COUNTIFS(Oct!$B:$B,2211,Oct!$J:$J,4400)</f>
        <v>0</v>
      </c>
      <c r="L30" s="59">
        <f>COUNTIFS(Nov!$B:$B,2211,Nov!$J:$J,4400)</f>
        <v>0</v>
      </c>
      <c r="M30" s="59">
        <v>1</v>
      </c>
    </row>
    <row r="31" spans="1:17" s="8" customFormat="1" ht="11.25" customHeight="1">
      <c r="A31" s="10" t="s">
        <v>24</v>
      </c>
      <c r="B31" s="59">
        <f>COUNTIFS(Jan!$B:$B,2211,Jan!$J:$J,30)</f>
        <v>0</v>
      </c>
      <c r="C31" s="59">
        <f>COUNTIFS(Feb!$B:$B,2211,Feb!$J:$J,30)</f>
        <v>0</v>
      </c>
      <c r="D31" s="59">
        <f>COUNTIFS(Mar!$B:$B,2211,Mar!$J:$J,30)</f>
        <v>0</v>
      </c>
      <c r="E31" s="59">
        <f>COUNTIFS(Apr!$B:$B,2211,Apr!$J:$J,30)</f>
        <v>0</v>
      </c>
      <c r="F31" s="59">
        <f>COUNTIFS(May!$B:$B,2211,May!$J:$J,30)</f>
        <v>0</v>
      </c>
      <c r="G31" s="59">
        <f>COUNTIFS(Jun!$B:$B,2211,Jun!$J:$J,30)</f>
        <v>0</v>
      </c>
      <c r="H31" s="59">
        <f>COUNTIFS(Jul!$B:$B,2211,Jul!$J:$J,30)</f>
        <v>0</v>
      </c>
      <c r="I31" s="59">
        <f>COUNTIFS(Aug!$B:$B,2211,Aug!$J:$J,30)</f>
        <v>0</v>
      </c>
      <c r="J31" s="59">
        <f>COUNTIFS(Sep!$B:$B,2211,Sep!$J:$J,30)</f>
        <v>0</v>
      </c>
      <c r="K31" s="59">
        <f>COUNTIFS(Oct!$B:$B,2211,Oct!$J:$J,30)</f>
        <v>0</v>
      </c>
      <c r="L31" s="59">
        <f>COUNTIFS(Nov!$B:$B,2211,Nov!$J:$J,30)</f>
        <v>0</v>
      </c>
      <c r="M31" s="59">
        <v>0</v>
      </c>
    </row>
    <row r="32" spans="1:17" s="14" customFormat="1" ht="11.25" customHeight="1" thickBot="1">
      <c r="A32" s="2" t="s">
        <v>140</v>
      </c>
      <c r="B32" s="60">
        <f>SUM(B25:B31)</f>
        <v>24</v>
      </c>
      <c r="C32" s="60">
        <f t="shared" ref="C32:M32" si="10">SUM(C25:C31)</f>
        <v>11</v>
      </c>
      <c r="D32" s="60">
        <f>SUM(D25:D31)</f>
        <v>17</v>
      </c>
      <c r="E32" s="60">
        <f>SUM(E25:E31)</f>
        <v>16</v>
      </c>
      <c r="F32" s="60">
        <f>SUM(F25:F31)</f>
        <v>16</v>
      </c>
      <c r="G32" s="60">
        <f>SUM(G25:G31)</f>
        <v>21</v>
      </c>
      <c r="H32" s="60">
        <f t="shared" si="10"/>
        <v>16</v>
      </c>
      <c r="I32" s="60">
        <f t="shared" si="10"/>
        <v>15</v>
      </c>
      <c r="J32" s="60">
        <f t="shared" si="10"/>
        <v>8</v>
      </c>
      <c r="K32" s="60">
        <f t="shared" si="10"/>
        <v>5</v>
      </c>
      <c r="L32" s="159">
        <f t="shared" si="10"/>
        <v>28</v>
      </c>
      <c r="M32" s="170">
        <f t="shared" si="10"/>
        <v>8</v>
      </c>
    </row>
    <row r="33" spans="1:13" ht="12" customHeight="1" thickBot="1">
      <c r="A33" s="55" t="s">
        <v>136</v>
      </c>
      <c r="B33" s="50">
        <v>41275</v>
      </c>
      <c r="C33" s="47">
        <v>41306</v>
      </c>
      <c r="D33" s="47">
        <v>41334</v>
      </c>
      <c r="E33" s="47">
        <v>41365</v>
      </c>
      <c r="F33" s="47">
        <v>41395</v>
      </c>
      <c r="G33" s="47">
        <v>41426</v>
      </c>
      <c r="H33" s="47">
        <v>41456</v>
      </c>
      <c r="I33" s="47">
        <v>41487</v>
      </c>
      <c r="J33" s="47">
        <v>41518</v>
      </c>
      <c r="K33" s="47">
        <v>41548</v>
      </c>
      <c r="L33" s="47">
        <v>41579</v>
      </c>
      <c r="M33" s="51">
        <v>41609</v>
      </c>
    </row>
    <row r="34" spans="1:13" s="8" customFormat="1" ht="11.25" customHeight="1">
      <c r="A34" s="46" t="s">
        <v>33</v>
      </c>
      <c r="B34" s="57">
        <f>COUNTIFS(Jan!$B:$B,2211,Jan!$J:$J,40)</f>
        <v>0</v>
      </c>
      <c r="C34" s="57">
        <f>COUNTIFS(Feb!$B:$B,2211,Feb!$J:$J,40)</f>
        <v>0</v>
      </c>
      <c r="D34" s="57">
        <f>COUNTIFS(Mar!$B:$B,2211,Mar!$J:$J,40)</f>
        <v>0</v>
      </c>
      <c r="E34" s="57">
        <f>COUNTIFS(Apr!$B:$B,2211,Apr!$J:$J,40)</f>
        <v>0</v>
      </c>
      <c r="F34" s="57">
        <f>COUNTIFS(May!$B:$B,2211,May!$J:$J,40)</f>
        <v>0</v>
      </c>
      <c r="G34" s="57">
        <f>COUNTIFS(Jun!$B:$B,2211,Jun!$J:$J,40)</f>
        <v>0</v>
      </c>
      <c r="H34" s="57">
        <f>COUNTIFS(Jul!$B:$B,2211,Jul!$J:$J,40)</f>
        <v>0</v>
      </c>
      <c r="I34" s="57">
        <f>COUNTIFS(Aug!$B:$B,2211,Aug!$J:$J,40)</f>
        <v>0</v>
      </c>
      <c r="J34" s="57">
        <f>COUNTIFS(Sep!$B:$B,2211,Sep!$J:$J,40)</f>
        <v>0</v>
      </c>
      <c r="K34" s="57">
        <f>COUNTIFS(Oct!$B:$B,2211,Oct!$J:$J,40)</f>
        <v>0</v>
      </c>
      <c r="L34" s="57">
        <f>COUNTIFS(Nov!$B:$B,2211,Nov!$J:$J,40)</f>
        <v>0</v>
      </c>
      <c r="M34" s="57">
        <v>0</v>
      </c>
    </row>
    <row r="35" spans="1:13" s="8" customFormat="1" ht="11.25" customHeight="1">
      <c r="A35" s="10" t="s">
        <v>4</v>
      </c>
      <c r="B35" s="59">
        <f>COUNTIFS(Jan!$B:$B,2211,Jan!$J:$J,15)</f>
        <v>2</v>
      </c>
      <c r="C35" s="59">
        <f>COUNTIFS(Feb!$B:$B,2211,Feb!$J:$J,15)</f>
        <v>0</v>
      </c>
      <c r="D35" s="59">
        <v>2</v>
      </c>
      <c r="E35" s="59">
        <v>3</v>
      </c>
      <c r="F35" s="59">
        <v>2</v>
      </c>
      <c r="G35" s="59">
        <v>1</v>
      </c>
      <c r="H35" s="59">
        <v>1</v>
      </c>
      <c r="I35" s="59">
        <v>1</v>
      </c>
      <c r="J35" s="59">
        <v>1</v>
      </c>
      <c r="K35" s="59">
        <f>COUNTIFS(Oct!$B:$B,2211,Oct!$J:$J,15)</f>
        <v>0</v>
      </c>
      <c r="L35" s="59">
        <v>3</v>
      </c>
      <c r="M35" s="59">
        <v>2</v>
      </c>
    </row>
    <row r="36" spans="1:13" s="8" customFormat="1" ht="11.25" customHeight="1">
      <c r="A36" s="10" t="s">
        <v>39</v>
      </c>
      <c r="B36" s="59">
        <f>COUNTIFS(Jan!$B:$B,2211,Jan!$J:$J,29)</f>
        <v>2</v>
      </c>
      <c r="C36" s="59">
        <v>2</v>
      </c>
      <c r="D36" s="59">
        <v>1</v>
      </c>
      <c r="E36" s="59">
        <v>3</v>
      </c>
      <c r="F36" s="59">
        <v>5</v>
      </c>
      <c r="G36" s="59">
        <f>COUNTIFS(Jun!$B:$B,2211,Jun!$J:$J,29)</f>
        <v>0</v>
      </c>
      <c r="H36" s="59">
        <v>3</v>
      </c>
      <c r="I36" s="59">
        <v>1</v>
      </c>
      <c r="J36" s="59">
        <f>COUNTIFS(Sep!$B:$B,2211,Sep!$J:$J,29)</f>
        <v>0</v>
      </c>
      <c r="K36" s="59">
        <v>5</v>
      </c>
      <c r="L36" s="59">
        <v>2</v>
      </c>
      <c r="M36" s="59">
        <v>3</v>
      </c>
    </row>
    <row r="37" spans="1:13" s="8" customFormat="1" ht="11.25" customHeight="1">
      <c r="A37" s="10" t="s">
        <v>3</v>
      </c>
      <c r="B37" s="59">
        <f>COUNTIFS(Jan!$B:$B,2211,Jan!$J:$J,13)</f>
        <v>0</v>
      </c>
      <c r="C37" s="59">
        <f>COUNTIFS(Feb!$B:$B,2211,Feb!$J:$J,13)</f>
        <v>0</v>
      </c>
      <c r="D37" s="59">
        <f>COUNTIFS(Mar!$B:$B,2211,Mar!$J:$J,13)</f>
        <v>0</v>
      </c>
      <c r="E37" s="59">
        <f>COUNTIFS(Apr!$B:$B,2211,Apr!$J:$J,13)</f>
        <v>0</v>
      </c>
      <c r="F37" s="59">
        <f>COUNTIFS(May!$B:$B,2211,May!$J:$J,13)</f>
        <v>0</v>
      </c>
      <c r="G37" s="59">
        <f>COUNTIFS(Jun!$B:$B,2211,Jun!$J:$J,13)</f>
        <v>0</v>
      </c>
      <c r="H37" s="59">
        <f>COUNTIFS(Jul!$B:$B,2211,Jul!$J:$J,13)</f>
        <v>0</v>
      </c>
      <c r="I37" s="59">
        <f>COUNTIFS(Aug!$B:$B,2211,Aug!$J:$J,13)</f>
        <v>0</v>
      </c>
      <c r="J37" s="59">
        <f>COUNTIFS(Sep!$B:$B,2211,Sep!$J:$J,13)</f>
        <v>0</v>
      </c>
      <c r="K37" s="59">
        <f>COUNTIFS(Oct!$B:$B,2211,Oct!$J:$J,13)</f>
        <v>0</v>
      </c>
      <c r="L37" s="59">
        <f>COUNTIFS(Nov!$B:$B,2211,Nov!$J:$J,13)</f>
        <v>0</v>
      </c>
      <c r="M37" s="59">
        <v>0</v>
      </c>
    </row>
    <row r="38" spans="1:13" s="8" customFormat="1" ht="11.25" customHeight="1">
      <c r="A38" s="9" t="s">
        <v>218</v>
      </c>
      <c r="B38" s="59">
        <f>COUNTIFS(Jan!$B:$B,2211,Jan!$J:$J,43)</f>
        <v>85</v>
      </c>
      <c r="C38" s="59">
        <v>86</v>
      </c>
      <c r="D38" s="59">
        <v>45</v>
      </c>
      <c r="E38" s="59">
        <v>77</v>
      </c>
      <c r="F38" s="59">
        <v>82</v>
      </c>
      <c r="G38" s="59">
        <v>75</v>
      </c>
      <c r="H38" s="59">
        <v>62</v>
      </c>
      <c r="I38" s="59">
        <v>103</v>
      </c>
      <c r="J38" s="59">
        <v>60</v>
      </c>
      <c r="K38" s="59">
        <v>18</v>
      </c>
      <c r="L38" s="59">
        <v>75</v>
      </c>
      <c r="M38" s="59">
        <v>1</v>
      </c>
    </row>
    <row r="39" spans="1:13" s="8" customFormat="1" ht="11.25" customHeight="1">
      <c r="A39" s="10" t="s">
        <v>25</v>
      </c>
      <c r="B39" s="59">
        <f>COUNTIFS(Jan!$B:$B,2211,Jan!$J:$J,24)</f>
        <v>4</v>
      </c>
      <c r="C39" s="59">
        <v>2</v>
      </c>
      <c r="D39" s="59">
        <v>5</v>
      </c>
      <c r="E39" s="59">
        <v>2</v>
      </c>
      <c r="F39" s="59">
        <v>4</v>
      </c>
      <c r="G39" s="59">
        <v>7</v>
      </c>
      <c r="H39" s="59">
        <v>4</v>
      </c>
      <c r="I39" s="59">
        <v>6</v>
      </c>
      <c r="J39" s="59">
        <v>2</v>
      </c>
      <c r="K39" s="59">
        <v>5</v>
      </c>
      <c r="L39" s="59">
        <v>7</v>
      </c>
      <c r="M39" s="59">
        <v>2</v>
      </c>
    </row>
    <row r="40" spans="1:13" s="8" customFormat="1" ht="11.25" customHeight="1">
      <c r="A40" s="10" t="s">
        <v>34</v>
      </c>
      <c r="B40" s="59">
        <f>COUNTIFS(Jan!$B:$B,2211,Jan!$J:$J,9)</f>
        <v>0</v>
      </c>
      <c r="C40" s="59">
        <f>COUNTIFS(Feb!$B:$B,2211,Feb!$J:$J,9)</f>
        <v>0</v>
      </c>
      <c r="D40" s="59">
        <f>COUNTIFS(Mar!$B:$B,2211,Mar!$J:$J,9)</f>
        <v>0</v>
      </c>
      <c r="E40" s="59">
        <v>6</v>
      </c>
      <c r="F40" s="59">
        <f>COUNTIFS(May!$B:$B,2211,May!$J:$J,9)</f>
        <v>0</v>
      </c>
      <c r="G40" s="59">
        <f>COUNTIFS(Jun!$B:$B,2211,Jun!$J:$J,9)</f>
        <v>0</v>
      </c>
      <c r="H40" s="59">
        <f>COUNTIFS(Jul!$B:$B,2211,Jul!$J:$J,9)</f>
        <v>0</v>
      </c>
      <c r="I40" s="59">
        <f>COUNTIFS(Aug!$B:$B,2211,Aug!$J:$J,9)</f>
        <v>0</v>
      </c>
      <c r="J40" s="59">
        <f>COUNTIFS(Sep!$B:$B,2211,Sep!$J:$J,9)</f>
        <v>0</v>
      </c>
      <c r="K40" s="59">
        <f>COUNTIFS(Oct!$B:$B,2211,Oct!$J:$J,9)</f>
        <v>0</v>
      </c>
      <c r="L40" s="59">
        <f>COUNTIFS(Nov!$B:$B,2211,Nov!$J:$J,9)</f>
        <v>0</v>
      </c>
      <c r="M40" s="59">
        <v>0</v>
      </c>
    </row>
    <row r="41" spans="1:13" s="8" customFormat="1" ht="11.25" customHeight="1">
      <c r="A41" s="10" t="s">
        <v>31</v>
      </c>
      <c r="B41" s="59">
        <f>COUNTIFS(Jan!$B:$B,2211,Jan!$J:$J,10)</f>
        <v>0</v>
      </c>
      <c r="C41" s="59">
        <v>1</v>
      </c>
      <c r="D41" s="59">
        <v>6</v>
      </c>
      <c r="E41" s="59">
        <f>COUNTIFS(Apr!$B:$B,2211,Apr!$J:$J,10)</f>
        <v>0</v>
      </c>
      <c r="F41" s="59">
        <v>8</v>
      </c>
      <c r="G41" s="59">
        <v>12</v>
      </c>
      <c r="H41" s="59">
        <v>11</v>
      </c>
      <c r="I41" s="59">
        <v>18</v>
      </c>
      <c r="J41" s="59">
        <v>5</v>
      </c>
      <c r="K41" s="59">
        <v>2</v>
      </c>
      <c r="L41" s="59">
        <v>4</v>
      </c>
      <c r="M41" s="59">
        <v>2</v>
      </c>
    </row>
    <row r="42" spans="1:13" s="8" customFormat="1" ht="11.25" customHeight="1">
      <c r="A42" s="10" t="s">
        <v>144</v>
      </c>
      <c r="B42" s="59">
        <f>COUNTIFS(Jan!$B:$B,2211,Jan!$F:$F,462)</f>
        <v>0</v>
      </c>
      <c r="C42" s="59">
        <f>COUNTIFS(Feb!$B:$B,2211,Feb!$F:$F,462)</f>
        <v>0</v>
      </c>
      <c r="D42" s="59">
        <f>COUNTIFS(Mar!$B:$B,2211,Mar!$F:$F,462)</f>
        <v>0</v>
      </c>
      <c r="E42" s="59">
        <f>COUNTIFS(Apr!$B:$B,2211,Apr!$F:$F,462)</f>
        <v>0</v>
      </c>
      <c r="F42" s="59">
        <f>COUNTIFS(May!$B:$B,2211,May!$F:$F,462)</f>
        <v>0</v>
      </c>
      <c r="G42" s="59">
        <f>COUNTIFS(Jun!$B:$B,2211,Jun!$F:$F,462)</f>
        <v>0</v>
      </c>
      <c r="H42" s="59">
        <f>COUNTIFS(Jul!$B:$B,2211,Jul!$F:$F,462)</f>
        <v>0</v>
      </c>
      <c r="I42" s="59">
        <f>COUNTIFS(Aug!$B:$B,2211,Aug!$F:$F,462)</f>
        <v>0</v>
      </c>
      <c r="J42" s="59">
        <f>COUNTIFS(Sep!$B:$B,2211,Sep!$F:$F,462)</f>
        <v>0</v>
      </c>
      <c r="K42" s="59">
        <f>COUNTIFS(Oct!$B:$B,2211,Oct!$F:$F,462)</f>
        <v>0</v>
      </c>
      <c r="L42" s="59">
        <f>COUNTIFS(Nov!$B:$B,2211,Nov!$F:$F,462)</f>
        <v>0</v>
      </c>
      <c r="M42" s="59">
        <v>0</v>
      </c>
    </row>
    <row r="43" spans="1:13" s="8" customFormat="1" ht="11.25" customHeight="1">
      <c r="A43" s="10" t="s">
        <v>1</v>
      </c>
      <c r="B43" s="59">
        <f>COUNTIFS(Jan!$B:$B,2211,Jan!$J:$J,11)</f>
        <v>13</v>
      </c>
      <c r="C43" s="59">
        <v>20</v>
      </c>
      <c r="D43" s="59">
        <v>12</v>
      </c>
      <c r="E43" s="59">
        <v>17</v>
      </c>
      <c r="F43" s="59">
        <v>30</v>
      </c>
      <c r="G43" s="59">
        <v>24</v>
      </c>
      <c r="H43" s="59">
        <v>29</v>
      </c>
      <c r="I43" s="59">
        <v>31</v>
      </c>
      <c r="J43" s="59">
        <v>31</v>
      </c>
      <c r="K43" s="59">
        <v>28</v>
      </c>
      <c r="L43" s="59">
        <v>21</v>
      </c>
      <c r="M43" s="59">
        <v>8</v>
      </c>
    </row>
    <row r="44" spans="1:13" s="8" customFormat="1" ht="11.25" customHeight="1">
      <c r="A44" s="10" t="s">
        <v>26</v>
      </c>
      <c r="B44" s="59">
        <f>COUNTIFS(Jan!$B:$B,2211,Jan!$J:$J,20)</f>
        <v>0</v>
      </c>
      <c r="C44" s="59">
        <f>COUNTIFS(Feb!$B:$B,2211,Feb!$J:$J,20)</f>
        <v>0</v>
      </c>
      <c r="D44" s="59">
        <f>COUNTIFS(Mar!$B:$B,2211,Mar!$J:$J,20)</f>
        <v>0</v>
      </c>
      <c r="E44" s="59">
        <f>COUNTIFS(Apr!$B:$B,2211,Apr!$J:$J,20)</f>
        <v>0</v>
      </c>
      <c r="F44" s="59">
        <f>COUNTIFS(May!$B:$B,2211,May!$J:$J,20)</f>
        <v>0</v>
      </c>
      <c r="G44" s="59">
        <f>COUNTIFS(Jun!$B:$B,2211,Jun!$J:$J,20)</f>
        <v>0</v>
      </c>
      <c r="H44" s="59">
        <f>COUNTIFS(Jul!$B:$B,2211,Jul!$J:$J,20)</f>
        <v>0</v>
      </c>
      <c r="I44" s="59">
        <v>1</v>
      </c>
      <c r="J44" s="59">
        <v>1</v>
      </c>
      <c r="K44" s="59">
        <v>1</v>
      </c>
      <c r="L44" s="59">
        <f>COUNTIFS(Nov!$B:$B,2211,Nov!$J:$J,20)</f>
        <v>0</v>
      </c>
      <c r="M44" s="59">
        <v>0</v>
      </c>
    </row>
    <row r="45" spans="1:13" s="8" customFormat="1" ht="11.25" customHeight="1">
      <c r="A45" s="10" t="s">
        <v>32</v>
      </c>
      <c r="B45" s="59">
        <f>COUNTIFS(Jan!$B:$B,2211,Jan!$J:$J,2)</f>
        <v>4</v>
      </c>
      <c r="C45" s="59">
        <v>12</v>
      </c>
      <c r="D45" s="59">
        <v>2</v>
      </c>
      <c r="E45" s="59">
        <v>5</v>
      </c>
      <c r="F45" s="59">
        <v>10</v>
      </c>
      <c r="G45" s="59">
        <v>10</v>
      </c>
      <c r="H45" s="59">
        <v>6</v>
      </c>
      <c r="I45" s="59">
        <v>11</v>
      </c>
      <c r="J45" s="59">
        <v>8</v>
      </c>
      <c r="K45" s="59">
        <v>6</v>
      </c>
      <c r="L45" s="59">
        <v>5</v>
      </c>
      <c r="M45" s="59">
        <v>10</v>
      </c>
    </row>
    <row r="46" spans="1:13" s="8" customFormat="1" ht="11.25" customHeight="1">
      <c r="A46" s="10" t="s">
        <v>28</v>
      </c>
      <c r="B46" s="59">
        <f>COUNTIFS(Jan!$B:$B,2211,Jan!$J:$J,1700)+COUNTIFS(Jan!$B:$B,2211,Jan!$F:$F,1700)+COUNTIFS(Jan!$B:$B,2211,Jan!$J:$J,19)</f>
        <v>0</v>
      </c>
      <c r="C46" s="59">
        <f>COUNTIFS(Feb!$B:$B,2211,Feb!$J:$J,1700)+COUNTIFS(Feb!$B:$B,2211,Feb!$F:$F,1700)+COUNTIFS(Feb!$B:$B,2211,Feb!$J:$J,19)</f>
        <v>0</v>
      </c>
      <c r="D46" s="59">
        <f>COUNTIFS(Mar!$B:$B,2211,Mar!$J:$J,1700)+COUNTIFS(Mar!$B:$B,2211,Mar!$F:$F,1700)+COUNTIFS(Mar!$B:$B,2211,Mar!$J:$J,19)</f>
        <v>0</v>
      </c>
      <c r="E46" s="59">
        <f>COUNTIFS(Apr!$B:$B,2211,Apr!$J:$J,1700)+COUNTIFS(Apr!$B:$B,2211,Apr!$F:$F,1700)+COUNTIFS(Apr!$B:$B,2211,Apr!$J:$J,19)</f>
        <v>0</v>
      </c>
      <c r="F46" s="59">
        <f>COUNTIFS(May!$B:$B,2211,May!$J:$J,1700)+COUNTIFS(May!$B:$B,2211,May!$F:$F,1700)+COUNTIFS(May!$B:$B,2211,May!$J:$J,19)</f>
        <v>0</v>
      </c>
      <c r="G46" s="59">
        <f>COUNTIFS(Jun!$B:$B,2211,Jun!$J:$J,1700)+COUNTIFS(Jun!$B:$B,2211,Jun!$F:$F,1700)+COUNTIFS(Jun!$B:$B,2211,Jun!$J:$J,19)</f>
        <v>0</v>
      </c>
      <c r="H46" s="59">
        <f>COUNTIFS(Jul!$B:$B,2211,Jul!$J:$J,1700)+COUNTIFS(Jul!$B:$B,2211,Jul!$F:$F,1700)+COUNTIFS(Jul!$B:$B,2211,Jul!$J:$J,19)</f>
        <v>0</v>
      </c>
      <c r="I46" s="59">
        <f>COUNTIFS(Aug!$B:$B,2211,Aug!$J:$J,1700)+COUNTIFS(Aug!$B:$B,2211,Aug!$F:$F,1700)+COUNTIFS(Aug!$B:$B,2211,Aug!$J:$J,19)</f>
        <v>0</v>
      </c>
      <c r="J46" s="59">
        <f>COUNTIFS(Sep!$B:$B,2211,Sep!$J:$J,1700)+COUNTIFS(Sep!$B:$B,2211,Sep!$F:$F,1700)+COUNTIFS(Sep!$B:$B,2211,Sep!$J:$J,19)</f>
        <v>0</v>
      </c>
      <c r="K46" s="59">
        <f>COUNTIFS(Oct!$B:$B,2211,Oct!$J:$J,1700)+COUNTIFS(Oct!$B:$B,2211,Oct!$F:$F,1700)+COUNTIFS(Oct!$B:$B,2211,Oct!$J:$J,19)</f>
        <v>0</v>
      </c>
      <c r="L46" s="59">
        <f>COUNTIFS(Nov!$B:$B,2211,Nov!$J:$J,1700)+COUNTIFS(Nov!$B:$B,2211,Nov!$F:$F,1700)+COUNTIFS(Nov!$B:$B,2211,Nov!$J:$J,19)</f>
        <v>0</v>
      </c>
      <c r="M46" s="59">
        <v>0</v>
      </c>
    </row>
    <row r="47" spans="1:13" s="8" customFormat="1" ht="11.25" customHeight="1">
      <c r="A47" s="10" t="s">
        <v>0</v>
      </c>
      <c r="B47" s="59">
        <f>COUNTIFS(Jan!$B:$B,2211,Jan!$J:$J,3)</f>
        <v>0</v>
      </c>
      <c r="C47" s="59">
        <f>COUNTIFS(Feb!$B:$B,2211,Feb!$J:$J,3)</f>
        <v>0</v>
      </c>
      <c r="D47" s="59">
        <f>COUNTIFS(Mar!$B:$B,2211,Mar!$J:$J,3)</f>
        <v>0</v>
      </c>
      <c r="E47" s="59">
        <f>COUNTIFS(Apr!$B:$B,2211,Apr!$J:$J,3)</f>
        <v>0</v>
      </c>
      <c r="F47" s="59">
        <f>COUNTIFS(May!$B:$B,2211,May!$J:$J,3)</f>
        <v>0</v>
      </c>
      <c r="G47" s="59">
        <v>1</v>
      </c>
      <c r="H47" s="59">
        <f>COUNTIFS(Jul!$B:$B,2211,Jul!$J:$J,3)</f>
        <v>0</v>
      </c>
      <c r="I47" s="59">
        <v>4</v>
      </c>
      <c r="J47" s="59">
        <v>2</v>
      </c>
      <c r="K47" s="59">
        <v>1</v>
      </c>
      <c r="L47" s="59">
        <v>2</v>
      </c>
      <c r="M47" s="59">
        <v>2</v>
      </c>
    </row>
    <row r="48" spans="1:13" s="8" customFormat="1" ht="11.25" customHeight="1">
      <c r="A48" s="10" t="s">
        <v>35</v>
      </c>
      <c r="B48" s="59">
        <f>COUNTIFS(Jan!$B:$B,2211,Jan!$J:$J,7400)</f>
        <v>0</v>
      </c>
      <c r="C48" s="59">
        <f>COUNTIFS(Feb!$B:$B,2211,Feb!$J:$J,7400)</f>
        <v>0</v>
      </c>
      <c r="D48" s="59">
        <f>COUNTIFS(Mar!$B:$B,2211,Mar!$J:$J,7400)</f>
        <v>0</v>
      </c>
      <c r="E48" s="59">
        <f>COUNTIFS(Apr!$B:$B,2211,Apr!$J:$J,7400)</f>
        <v>0</v>
      </c>
      <c r="F48" s="59">
        <f>COUNTIFS(May!$B:$B,2211,May!$J:$J,7400)</f>
        <v>0</v>
      </c>
      <c r="G48" s="59">
        <f>COUNTIFS(Jun!$B:$B,2211,Jun!$J:$J,7400)</f>
        <v>0</v>
      </c>
      <c r="H48" s="59">
        <f>COUNTIFS(Jul!$B:$B,2211,Jul!$J:$J,7400)</f>
        <v>0</v>
      </c>
      <c r="I48" s="59">
        <f>COUNTIFS(Aug!$B:$B,2211,Aug!$J:$J,7400)</f>
        <v>0</v>
      </c>
      <c r="J48" s="59">
        <f>COUNTIFS(Sep!$B:$B,2211,Sep!$J:$J,7400)</f>
        <v>0</v>
      </c>
      <c r="K48" s="59">
        <f>COUNTIFS(Oct!$B:$B,2211,Oct!$J:$J,7400)</f>
        <v>0</v>
      </c>
      <c r="L48" s="59">
        <f>COUNTIFS(Nov!$B:$B,2211,Nov!$J:$J,7400)</f>
        <v>0</v>
      </c>
      <c r="M48" s="59">
        <v>0</v>
      </c>
    </row>
    <row r="49" spans="1:13" s="8" customFormat="1" ht="11.25" customHeight="1">
      <c r="A49" s="10" t="s">
        <v>2</v>
      </c>
      <c r="B49" s="59">
        <f>COUNTIFS(Jan!$B:$B,2211,Jan!$J:$J,14)</f>
        <v>4</v>
      </c>
      <c r="C49" s="59">
        <f>COUNTIFS(Feb!$B:$B,2211,Feb!$J:$J,14)</f>
        <v>0</v>
      </c>
      <c r="D49" s="59">
        <v>2</v>
      </c>
      <c r="E49" s="59">
        <f>COUNTIFS(Apr!$B:$B,2211,Apr!$J:$J,14)</f>
        <v>0</v>
      </c>
      <c r="F49" s="59">
        <f>COUNTIFS(May!$B:$B,2211,May!$J:$J,14)</f>
        <v>0</v>
      </c>
      <c r="G49" s="59">
        <v>1</v>
      </c>
      <c r="H49" s="59">
        <v>5</v>
      </c>
      <c r="I49" s="59">
        <v>1</v>
      </c>
      <c r="J49" s="59">
        <v>1</v>
      </c>
      <c r="K49" s="59">
        <f>COUNTIFS(Oct!$B:$B,2211,Oct!$J:$J,14)</f>
        <v>0</v>
      </c>
      <c r="L49" s="59">
        <v>2</v>
      </c>
      <c r="M49" s="59">
        <v>0</v>
      </c>
    </row>
    <row r="50" spans="1:13" s="8" customFormat="1" ht="11.25" customHeight="1">
      <c r="A50" s="10" t="s">
        <v>142</v>
      </c>
      <c r="B50" s="59">
        <f>COUNTIFS(Jan!$B:$B,2211,Jan!$F:$F,466)</f>
        <v>0</v>
      </c>
      <c r="C50" s="59">
        <f>COUNTIFS(Feb!$B:$B,2211,Feb!$F:$F,466)</f>
        <v>0</v>
      </c>
      <c r="D50" s="59">
        <f>COUNTIFS(Mar!$B:$B,2211,Mar!$F:$F,466)</f>
        <v>0</v>
      </c>
      <c r="E50" s="59">
        <v>1</v>
      </c>
      <c r="F50" s="59">
        <f>COUNTIFS(May!$B:$B,2211,May!$F:$F,466)</f>
        <v>0</v>
      </c>
      <c r="G50" s="59">
        <f>COUNTIFS(Jun!$B:$B,2211,Jun!$F:$F,466)</f>
        <v>0</v>
      </c>
      <c r="H50" s="59">
        <f>COUNTIFS(Jul!$B:$B,2211,Jul!$F:$F,466)</f>
        <v>0</v>
      </c>
      <c r="I50" s="59">
        <f>COUNTIFS(Aug!$B:$B,2211,Aug!$F:$F,466)</f>
        <v>0</v>
      </c>
      <c r="J50" s="59">
        <f>COUNTIFS(Sep!$B:$B,2211,Sep!$F:$F,466)</f>
        <v>0</v>
      </c>
      <c r="K50" s="59">
        <f>COUNTIFS(Oct!$B:$B,2211,Oct!$F:$F,466)</f>
        <v>0</v>
      </c>
      <c r="L50" s="59">
        <f>COUNTIFS(Nov!$B:$B,2211,Nov!$F:$F,466)</f>
        <v>0</v>
      </c>
      <c r="M50" s="59">
        <v>0</v>
      </c>
    </row>
    <row r="51" spans="1:13" s="8" customFormat="1" ht="11.25" customHeight="1">
      <c r="A51" s="10" t="s">
        <v>27</v>
      </c>
      <c r="B51" s="59">
        <f>COUNTIFS(Jan!$B:$B,2211,Jan!$J:$J,25)</f>
        <v>0</v>
      </c>
      <c r="C51" s="59">
        <f>COUNTIFS(Feb!$B:$B,2211,Feb!$J:$J,25)</f>
        <v>0</v>
      </c>
      <c r="D51" s="59">
        <f>COUNTIFS(Mar!$B:$B,2211,Mar!$J:$J,25)</f>
        <v>0</v>
      </c>
      <c r="E51" s="59">
        <f>COUNTIFS(Apr!$B:$B,2211,Apr!$J:$J,25)</f>
        <v>0</v>
      </c>
      <c r="F51" s="59">
        <f>COUNTIFS(May!$B:$B,2211,May!$J:$J,25)</f>
        <v>0</v>
      </c>
      <c r="G51" s="59">
        <f>COUNTIFS(Jun!$B:$B,2211,Jun!$J:$J,25)</f>
        <v>0</v>
      </c>
      <c r="H51" s="59">
        <f>COUNTIFS(Jul!$B:$B,2211,Jul!$J:$J,25)</f>
        <v>0</v>
      </c>
      <c r="I51" s="59">
        <f>COUNTIFS(Aug!$B:$B,2211,Aug!$J:$J,25)</f>
        <v>0</v>
      </c>
      <c r="J51" s="59">
        <f>COUNTIFS(Sep!$B:$B,2211,Sep!$J:$J,25)</f>
        <v>0</v>
      </c>
      <c r="K51" s="59">
        <f>COUNTIFS(Oct!$B:$B,2211,Oct!$J:$J,25)</f>
        <v>0</v>
      </c>
      <c r="L51" s="59">
        <f>COUNTIFS(Nov!$B:$B,2211,Nov!$J:$J,25)</f>
        <v>0</v>
      </c>
      <c r="M51" s="59">
        <v>0</v>
      </c>
    </row>
    <row r="52" spans="1:13" s="8" customFormat="1" ht="11.25" customHeight="1" thickBot="1">
      <c r="A52" s="11" t="s">
        <v>16</v>
      </c>
      <c r="B52" s="60">
        <f>SUM(B34:B51)</f>
        <v>114</v>
      </c>
      <c r="C52" s="60">
        <f t="shared" ref="C52:M52" si="11">SUM(C34:C51)</f>
        <v>123</v>
      </c>
      <c r="D52" s="60">
        <f>SUM(D34:D51)</f>
        <v>75</v>
      </c>
      <c r="E52" s="60">
        <f>SUM(E34:E51)</f>
        <v>114</v>
      </c>
      <c r="F52" s="60">
        <f>SUM(F34:F51)</f>
        <v>141</v>
      </c>
      <c r="G52" s="60">
        <f>SUM(G34:G51)</f>
        <v>131</v>
      </c>
      <c r="H52" s="60">
        <f t="shared" si="11"/>
        <v>121</v>
      </c>
      <c r="I52" s="60">
        <f t="shared" si="11"/>
        <v>177</v>
      </c>
      <c r="J52" s="60">
        <f t="shared" si="11"/>
        <v>111</v>
      </c>
      <c r="K52" s="60">
        <f t="shared" si="11"/>
        <v>66</v>
      </c>
      <c r="L52" s="159">
        <f t="shared" si="11"/>
        <v>121</v>
      </c>
      <c r="M52" s="170">
        <f t="shared" si="11"/>
        <v>30</v>
      </c>
    </row>
    <row r="53" spans="1:13" ht="12" customHeight="1" thickBot="1">
      <c r="A53" s="55" t="s">
        <v>137</v>
      </c>
      <c r="B53" s="50">
        <v>41275</v>
      </c>
      <c r="C53" s="47">
        <v>41306</v>
      </c>
      <c r="D53" s="47">
        <v>41334</v>
      </c>
      <c r="E53" s="47">
        <v>41365</v>
      </c>
      <c r="F53" s="47">
        <v>41395</v>
      </c>
      <c r="G53" s="47">
        <v>41426</v>
      </c>
      <c r="H53" s="47">
        <v>41456</v>
      </c>
      <c r="I53" s="47">
        <v>41487</v>
      </c>
      <c r="J53" s="47">
        <v>41518</v>
      </c>
      <c r="K53" s="47">
        <v>41548</v>
      </c>
      <c r="L53" s="47">
        <v>41579</v>
      </c>
      <c r="M53" s="51">
        <v>41609</v>
      </c>
    </row>
    <row r="54" spans="1:13" s="8" customFormat="1" ht="11.25" customHeight="1">
      <c r="A54" s="10" t="s">
        <v>30</v>
      </c>
      <c r="B54" s="57">
        <f>COUNTIFS(Jan!$B:$B,2211,Jan!$J:$J,7)</f>
        <v>0</v>
      </c>
      <c r="C54" s="57">
        <f>COUNTIFS(Feb!$B:$B,2211,Feb!$J:$J,7)</f>
        <v>0</v>
      </c>
      <c r="D54" s="57">
        <f>COUNTIFS(Mar!$B:$B,2211,Mar!$J:$J,7)</f>
        <v>0</v>
      </c>
      <c r="E54" s="57">
        <f>COUNTIFS(Apr!$B:$B,2211,Apr!$J:$J,7)</f>
        <v>0</v>
      </c>
      <c r="F54" s="57">
        <f>COUNTIFS(May!$B:$B,2211,May!$J:$J,7)</f>
        <v>0</v>
      </c>
      <c r="G54" s="57">
        <v>1</v>
      </c>
      <c r="H54" s="57">
        <v>3</v>
      </c>
      <c r="I54" s="57">
        <v>3</v>
      </c>
      <c r="J54" s="57">
        <v>1</v>
      </c>
      <c r="K54" s="57">
        <v>3</v>
      </c>
      <c r="L54" s="57">
        <f>COUNTIFS(Nov!$B:$B,2211,Nov!$J:$J,7)</f>
        <v>0</v>
      </c>
      <c r="M54" s="57">
        <v>0</v>
      </c>
    </row>
    <row r="55" spans="1:13" s="8" customFormat="1" ht="11.25" customHeight="1">
      <c r="A55" s="10" t="s">
        <v>29</v>
      </c>
      <c r="B55" s="59">
        <f>COUNTIFS(Jan!$B:$B,2211,Jan!$J:$J,8)</f>
        <v>0</v>
      </c>
      <c r="C55" s="59">
        <f>COUNTIFS(Feb!$B:$B,2211,Feb!$J:$J,8)</f>
        <v>0</v>
      </c>
      <c r="D55" s="59">
        <f>COUNTIFS(Mar!$B:$B,2211,Mar!$J:$J,8)</f>
        <v>0</v>
      </c>
      <c r="E55" s="59">
        <v>1</v>
      </c>
      <c r="F55" s="59">
        <f>COUNTIFS(May!$B:$B,2211,May!$J:$J,8)</f>
        <v>0</v>
      </c>
      <c r="G55" s="59">
        <f>COUNTIFS(Jun!$B:$B,2211,Jun!$J:$J,8)</f>
        <v>0</v>
      </c>
      <c r="H55" s="59">
        <f>COUNTIFS(Jul!$B:$B,2211,Jul!$J:$J,8)</f>
        <v>0</v>
      </c>
      <c r="I55" s="59">
        <f>COUNTIFS(Aug!$B:$B,2211,Aug!$J:$J,8)</f>
        <v>0</v>
      </c>
      <c r="J55" s="59">
        <f>COUNTIFS(Sep!$B:$B,2211,Sep!$J:$J,8)</f>
        <v>0</v>
      </c>
      <c r="K55" s="59">
        <f>COUNTIFS(Oct!$B:$B,2211,Oct!$J:$J,8)</f>
        <v>0</v>
      </c>
      <c r="L55" s="59">
        <f>COUNTIFS(Nov!$B:$B,2211,Nov!$J:$J,8)</f>
        <v>0</v>
      </c>
      <c r="M55" s="59">
        <v>0</v>
      </c>
    </row>
    <row r="56" spans="1:13" s="8" customFormat="1" ht="11.25" customHeight="1">
      <c r="A56" s="10" t="s">
        <v>7</v>
      </c>
      <c r="B56" s="59">
        <f>COUNTIFS(Jan!$B:$B,2211,Jan!$J:$J,12)</f>
        <v>2</v>
      </c>
      <c r="C56" s="59">
        <f>COUNTIFS(Feb!$B:$B,2211,Feb!$J:$J,12)</f>
        <v>0</v>
      </c>
      <c r="D56" s="59">
        <f>COUNTIFS(Mar!$B:$B,2211,Mar!$J:$J,12)</f>
        <v>0</v>
      </c>
      <c r="E56" s="59">
        <v>1</v>
      </c>
      <c r="F56" s="59">
        <v>1</v>
      </c>
      <c r="G56" s="59">
        <v>1</v>
      </c>
      <c r="H56" s="59">
        <f>COUNTIFS(Jul!$B:$B,2211,Jul!$J:$J,12)</f>
        <v>0</v>
      </c>
      <c r="I56" s="59">
        <v>1</v>
      </c>
      <c r="J56" s="59">
        <v>4</v>
      </c>
      <c r="K56" s="59">
        <f>COUNTIFS(Oct!$B:$B,2211,Oct!$J:$J,12)</f>
        <v>0</v>
      </c>
      <c r="L56" s="59">
        <v>1</v>
      </c>
      <c r="M56" s="59">
        <v>0</v>
      </c>
    </row>
    <row r="57" spans="1:13" s="8" customFormat="1" ht="11.25" customHeight="1">
      <c r="A57" s="10" t="s">
        <v>10</v>
      </c>
      <c r="B57" s="59">
        <f>COUNTIFS(Jan!$B:$B,2211,Jan!$J:$J,5100)</f>
        <v>0</v>
      </c>
      <c r="C57" s="59">
        <f>COUNTIFS(Feb!$B:$B,2211,Feb!$J:$J,5100)</f>
        <v>0</v>
      </c>
      <c r="D57" s="59">
        <f>COUNTIFS(Mar!$B:$B,2211,Mar!$J:$J,5100)</f>
        <v>0</v>
      </c>
      <c r="E57" s="59">
        <f>COUNTIFS(Apr!$B:$B,2211,Apr!$J:$J,5100)</f>
        <v>0</v>
      </c>
      <c r="F57" s="59">
        <f>COUNTIFS(May!$B:$B,2211,May!$J:$J,5100)</f>
        <v>0</v>
      </c>
      <c r="G57" s="59">
        <f>COUNTIFS(Jun!$B:$B,2211,Jun!$J:$J,5100)</f>
        <v>0</v>
      </c>
      <c r="H57" s="59">
        <f>COUNTIFS(Jul!$B:$B,2211,Jul!$J:$J,5100)</f>
        <v>0</v>
      </c>
      <c r="I57" s="59">
        <f>COUNTIFS(Aug!$B:$B,2211,Aug!$J:$J,5100)</f>
        <v>0</v>
      </c>
      <c r="J57" s="59">
        <f>COUNTIFS(Sep!$B:$B,2211,Sep!$J:$J,5100)</f>
        <v>0</v>
      </c>
      <c r="K57" s="59">
        <f>COUNTIFS(Oct!$B:$B,2211,Oct!$J:$J,5100)</f>
        <v>0</v>
      </c>
      <c r="L57" s="59">
        <f>COUNTIFS(Nov!$B:$B,2211,Nov!$J:$J,5100)</f>
        <v>0</v>
      </c>
      <c r="M57" s="59">
        <v>0</v>
      </c>
    </row>
    <row r="58" spans="1:13" s="8" customFormat="1" ht="11.25" customHeight="1">
      <c r="A58" s="10" t="s">
        <v>36</v>
      </c>
      <c r="B58" s="59">
        <f>COUNTIFS(Jan!$B:$B,2211,Jan!$J:$J,6200)</f>
        <v>0</v>
      </c>
      <c r="C58" s="59">
        <f>COUNTIFS(Feb!$B:$B,2211,Feb!$J:$J,6200)</f>
        <v>0</v>
      </c>
      <c r="D58" s="59">
        <f>COUNTIFS(Mar!$B:$B,2211,Mar!$J:$J,6200)</f>
        <v>0</v>
      </c>
      <c r="E58" s="59">
        <f>COUNTIFS(Apr!$B:$B,2211,Apr!$J:$J,6200)</f>
        <v>0</v>
      </c>
      <c r="F58" s="59">
        <f>COUNTIFS(May!$B:$B,2211,May!$J:$J,6200)</f>
        <v>0</v>
      </c>
      <c r="G58" s="59">
        <f>COUNTIFS(Jun!$B:$B,2211,Jun!$J:$J,6200)</f>
        <v>0</v>
      </c>
      <c r="H58" s="59">
        <f>COUNTIFS(Jul!$B:$B,2211,Jul!$J:$J,6200)</f>
        <v>0</v>
      </c>
      <c r="I58" s="59">
        <f>COUNTIFS(Aug!$B:$B,2211,Aug!$J:$J,6200)</f>
        <v>0</v>
      </c>
      <c r="J58" s="59">
        <f>COUNTIFS(Sep!$B:$B,2211,Sep!$J:$J,6200)</f>
        <v>0</v>
      </c>
      <c r="K58" s="59">
        <f>COUNTIFS(Oct!$B:$B,2211,Oct!$J:$J,6200)</f>
        <v>0</v>
      </c>
      <c r="L58" s="59">
        <f>COUNTIFS(Nov!$B:$B,2211,Nov!$J:$J,6200)</f>
        <v>0</v>
      </c>
      <c r="M58" s="59">
        <v>0</v>
      </c>
    </row>
    <row r="59" spans="1:13" s="8" customFormat="1" ht="11.25" customHeight="1">
      <c r="A59" s="10" t="s">
        <v>145</v>
      </c>
      <c r="B59" s="59">
        <f>COUNTIFS(Jan!$B:$B,2211,Jan!$J:$J,28)</f>
        <v>0</v>
      </c>
      <c r="C59" s="59">
        <f>COUNTIFS(Feb!$B:$B,2211,Feb!$J:$J,28)</f>
        <v>0</v>
      </c>
      <c r="D59" s="59">
        <f>COUNTIFS(Mar!$B:$B,2211,Mar!$J:$J,28)</f>
        <v>0</v>
      </c>
      <c r="E59" s="59">
        <f>COUNTIFS(Apr!$B:$B,2211,Apr!$J:$J,28)</f>
        <v>0</v>
      </c>
      <c r="F59" s="59">
        <f>COUNTIFS(May!$B:$B,2211,May!$J:$J,28)</f>
        <v>0</v>
      </c>
      <c r="G59" s="59">
        <f>COUNTIFS(Jun!$B:$B,2211,Jun!$J:$J,28)</f>
        <v>0</v>
      </c>
      <c r="H59" s="59">
        <f>COUNTIFS(Jul!$B:$B,2211,Jul!$J:$J,28)</f>
        <v>0</v>
      </c>
      <c r="I59" s="59">
        <f>COUNTIFS(Aug!$B:$B,2211,Aug!$J:$J,28)</f>
        <v>0</v>
      </c>
      <c r="J59" s="59">
        <f>COUNTIFS(Sep!$B:$B,2211,Sep!$J:$J,28)</f>
        <v>0</v>
      </c>
      <c r="K59" s="59">
        <f>COUNTIFS(Oct!$B:$B,2211,Oct!$J:$J,28)</f>
        <v>0</v>
      </c>
      <c r="L59" s="59">
        <f>COUNTIFS(Nov!$B:$B,2211,Nov!$J:$J,28)</f>
        <v>0</v>
      </c>
      <c r="M59" s="59">
        <v>0</v>
      </c>
    </row>
    <row r="60" spans="1:13" s="8" customFormat="1" ht="11.25" customHeight="1">
      <c r="A60" s="10" t="s">
        <v>38</v>
      </c>
      <c r="B60" s="59">
        <f>COUNTIFS(Jan!$B:$B,2211,Jan!$J:$J,6100)</f>
        <v>0</v>
      </c>
      <c r="C60" s="59">
        <f>COUNTIFS(Feb!$B:$B,2211,Feb!$J:$J,6100)</f>
        <v>0</v>
      </c>
      <c r="D60" s="59">
        <f>COUNTIFS(Mar!$B:$B,2211,Mar!$J:$J,6100)</f>
        <v>0</v>
      </c>
      <c r="E60" s="59">
        <f>COUNTIFS(Apr!$B:$B,2211,Apr!$J:$J,6100)</f>
        <v>0</v>
      </c>
      <c r="F60" s="59">
        <f>COUNTIFS(May!$B:$B,2211,May!$J:$J,6100)</f>
        <v>0</v>
      </c>
      <c r="G60" s="59">
        <f>COUNTIFS(Jun!$B:$B,2211,Jun!$J:$J,6100)</f>
        <v>0</v>
      </c>
      <c r="H60" s="59">
        <v>1</v>
      </c>
      <c r="I60" s="59">
        <f>COUNTIFS(Aug!$B:$B,2211,Aug!$J:$J,6100)</f>
        <v>0</v>
      </c>
      <c r="J60" s="59">
        <f>COUNTIFS(Sep!$B:$B,2211,Sep!$J:$J,6100)</f>
        <v>0</v>
      </c>
      <c r="K60" s="59">
        <f>COUNTIFS(Oct!$B:$B,2211,Oct!$J:$J,6100)</f>
        <v>0</v>
      </c>
      <c r="L60" s="59">
        <f>COUNTIFS(Nov!$B:$B,2211,Nov!$J:$J,6100)</f>
        <v>0</v>
      </c>
      <c r="M60" s="59">
        <v>0</v>
      </c>
    </row>
    <row r="61" spans="1:13" s="8" customFormat="1" ht="11.25" customHeight="1">
      <c r="A61" s="10" t="s">
        <v>9</v>
      </c>
      <c r="B61" s="59">
        <f>COUNTIFS(Jan!$B:$B,2211,Jan!$J:$J,6)</f>
        <v>0</v>
      </c>
      <c r="C61" s="59">
        <v>1</v>
      </c>
      <c r="D61" s="59">
        <v>1</v>
      </c>
      <c r="E61" s="59">
        <f>COUNTIFS(Apr!$B:$B,2211,Apr!$J:$J,6)</f>
        <v>0</v>
      </c>
      <c r="F61" s="59">
        <v>1</v>
      </c>
      <c r="G61" s="59">
        <v>2</v>
      </c>
      <c r="H61" s="59">
        <f>COUNTIFS(Jul!$B:$B,2211,Jul!$J:$J,6)</f>
        <v>0</v>
      </c>
      <c r="I61" s="59">
        <v>1</v>
      </c>
      <c r="J61" s="59">
        <f>COUNTIFS(Sep!$B:$B,2211,Sep!$J:$J,6)</f>
        <v>0</v>
      </c>
      <c r="K61" s="59">
        <v>1</v>
      </c>
      <c r="L61" s="59">
        <v>1</v>
      </c>
      <c r="M61" s="59">
        <v>0</v>
      </c>
    </row>
    <row r="62" spans="1:13" s="8" customFormat="1" ht="11.25" customHeight="1">
      <c r="A62" s="10" t="s">
        <v>8</v>
      </c>
      <c r="B62" s="59">
        <f>COUNTIFS(Jan!$B:$B,2211,Jan!$J:$J,4)</f>
        <v>0</v>
      </c>
      <c r="C62" s="59">
        <f>COUNTIFS(Feb!$B:$B,2211,Feb!$J:$J,4)</f>
        <v>0</v>
      </c>
      <c r="D62" s="59">
        <f>COUNTIFS(Mar!$B:$B,2211,Mar!$J:$J,4)</f>
        <v>0</v>
      </c>
      <c r="E62" s="59">
        <f>COUNTIFS(Apr!$B:$B,2211,Apr!$J:$J,4)</f>
        <v>0</v>
      </c>
      <c r="F62" s="59">
        <f>COUNTIFS(May!$B:$B,2211,May!$J:$J,4)</f>
        <v>0</v>
      </c>
      <c r="G62" s="59">
        <f>COUNTIFS(Jun!$B:$B,2211,Jun!$J:$J,4)</f>
        <v>0</v>
      </c>
      <c r="H62" s="59">
        <f>COUNTIFS(Jul!$B:$B,2211,Jul!$J:$J,4)</f>
        <v>0</v>
      </c>
      <c r="I62" s="59">
        <f>COUNTIFS(Aug!$B:$B,2211,Aug!$J:$J,4)</f>
        <v>0</v>
      </c>
      <c r="J62" s="59">
        <f>COUNTIFS(Sep!$B:$B,2211,Sep!$J:$J,4)</f>
        <v>0</v>
      </c>
      <c r="K62" s="59">
        <f>COUNTIFS(Oct!$B:$B,2211,Oct!$J:$J,4)</f>
        <v>0</v>
      </c>
      <c r="L62" s="59">
        <f>COUNTIFS(Nov!$B:$B,2211,Nov!$J:$J,4)</f>
        <v>0</v>
      </c>
      <c r="M62" s="59">
        <v>0</v>
      </c>
    </row>
    <row r="63" spans="1:13" s="8" customFormat="1" ht="11.25" customHeight="1">
      <c r="A63" s="10" t="s">
        <v>6</v>
      </c>
      <c r="B63" s="59">
        <f>COUNTIFS(Jan!$B:$B,2211,Jan!$J:$J,5)</f>
        <v>0</v>
      </c>
      <c r="C63" s="59">
        <f>COUNTIFS(Feb!$B:$B,2211,Feb!$J:$J,5)</f>
        <v>0</v>
      </c>
      <c r="D63" s="59">
        <f>COUNTIFS(Mar!$B:$B,2211,Mar!$J:$J,5)</f>
        <v>0</v>
      </c>
      <c r="E63" s="59">
        <f>COUNTIFS(Apr!$B:$B,2211,Apr!$J:$J,5)</f>
        <v>0</v>
      </c>
      <c r="F63" s="59">
        <v>1</v>
      </c>
      <c r="G63" s="59">
        <f>COUNTIFS(Jun!$B:$B,2211,Jun!$J:$J,5)</f>
        <v>0</v>
      </c>
      <c r="H63" s="59">
        <f>COUNTIFS(Jul!$B:$B,2211,Jul!$J:$J,5)</f>
        <v>0</v>
      </c>
      <c r="I63" s="59">
        <f>COUNTIFS(Aug!$B:$B,2211,Aug!$J:$J,5)</f>
        <v>0</v>
      </c>
      <c r="J63" s="59">
        <f>COUNTIFS(Sep!$B:$B,2211,Sep!$J:$J,5)</f>
        <v>0</v>
      </c>
      <c r="K63" s="59">
        <f>COUNTIFS(Oct!$B:$B,2211,Oct!$J:$J,5)</f>
        <v>0</v>
      </c>
      <c r="L63" s="59">
        <f>COUNTIFS(Nov!$B:$B,2211,Nov!$J:$J,5)</f>
        <v>0</v>
      </c>
      <c r="M63" s="59">
        <v>0</v>
      </c>
    </row>
    <row r="64" spans="1:13" s="8" customFormat="1" ht="11.25" customHeight="1">
      <c r="A64" s="52" t="s">
        <v>141</v>
      </c>
      <c r="B64" s="69">
        <f>COUNTIFS(Jan!$B:$B,2211,Jan!$F:$F,456)</f>
        <v>5</v>
      </c>
      <c r="C64" s="69">
        <v>4</v>
      </c>
      <c r="D64" s="69">
        <v>2</v>
      </c>
      <c r="E64" s="69">
        <v>4</v>
      </c>
      <c r="F64" s="69">
        <f>COUNTIFS(May!$B:$B,2211,May!$F:$F,456)</f>
        <v>0</v>
      </c>
      <c r="G64" s="69">
        <v>2</v>
      </c>
      <c r="H64" s="69">
        <f>COUNTIFS(Jul!$B:$B,2211,Jul!$F:$F,456)</f>
        <v>0</v>
      </c>
      <c r="I64" s="69">
        <f>COUNTIFS(Aug!$B:$B,2211,Aug!$F:$F,456)</f>
        <v>0</v>
      </c>
      <c r="J64" s="69">
        <f>COUNTIFS(Sep!$B:$B,2211,Sep!$F:$F,456)</f>
        <v>0</v>
      </c>
      <c r="K64" s="69">
        <f>COUNTIFS(Oct!$B:$B,2211,Oct!$F:$F,456)</f>
        <v>0</v>
      </c>
      <c r="L64" s="69">
        <f>COUNTIFS(Nov!$B:$B,2211,Nov!$F:$F,456)</f>
        <v>0</v>
      </c>
      <c r="M64" s="69">
        <v>0</v>
      </c>
    </row>
    <row r="65" spans="1:13" s="8" customFormat="1" ht="11.25" customHeight="1" thickBot="1">
      <c r="A65" s="12" t="s">
        <v>16</v>
      </c>
      <c r="B65" s="70">
        <f>SUM(B54:B64)</f>
        <v>7</v>
      </c>
      <c r="C65" s="70">
        <f t="shared" ref="C65:M65" si="12">SUM(C54:C64)</f>
        <v>5</v>
      </c>
      <c r="D65" s="70">
        <f t="shared" si="12"/>
        <v>3</v>
      </c>
      <c r="E65" s="70">
        <f t="shared" si="12"/>
        <v>6</v>
      </c>
      <c r="F65" s="70">
        <f t="shared" si="12"/>
        <v>3</v>
      </c>
      <c r="G65" s="70">
        <f t="shared" si="12"/>
        <v>6</v>
      </c>
      <c r="H65" s="70">
        <f t="shared" si="12"/>
        <v>4</v>
      </c>
      <c r="I65" s="70">
        <f t="shared" si="12"/>
        <v>5</v>
      </c>
      <c r="J65" s="70">
        <f t="shared" si="12"/>
        <v>5</v>
      </c>
      <c r="K65" s="70">
        <f t="shared" si="12"/>
        <v>4</v>
      </c>
      <c r="L65" s="165">
        <f t="shared" si="12"/>
        <v>2</v>
      </c>
      <c r="M65" s="170">
        <f t="shared" si="12"/>
        <v>0</v>
      </c>
    </row>
    <row r="66" spans="1:13" s="8" customFormat="1" ht="15.75" customHeight="1">
      <c r="A66" s="6"/>
      <c r="B66" s="7"/>
      <c r="C66" s="7"/>
      <c r="D66" s="7"/>
      <c r="E66" s="7"/>
      <c r="F66" s="7"/>
      <c r="G66" s="7"/>
      <c r="H66" s="7"/>
      <c r="I66" s="7"/>
      <c r="J66" s="7"/>
      <c r="K66" s="7"/>
      <c r="L66" s="7"/>
      <c r="M66" s="7"/>
    </row>
    <row r="67" spans="1:13" ht="12" customHeight="1">
      <c r="A67" s="6"/>
      <c r="B67" s="7"/>
      <c r="C67" s="7"/>
      <c r="D67" s="7"/>
      <c r="E67" s="7"/>
      <c r="F67" s="7"/>
      <c r="G67" s="7"/>
      <c r="H67" s="7"/>
      <c r="I67" s="7"/>
      <c r="J67" s="7"/>
      <c r="K67" s="7"/>
      <c r="L67" s="7"/>
      <c r="M67" s="7"/>
    </row>
  </sheetData>
  <phoneticPr fontId="0" type="noConversion"/>
  <printOptions horizontalCentered="1" verticalCentered="1"/>
  <pageMargins left="0.14000000000000001" right="0.16" top="0.25" bottom="0.5" header="0.5" footer="0.25"/>
  <pageSetup scale="95" firstPageNumber="3" orientation="portrait" useFirstPageNumber="1" r:id="rId1"/>
  <headerFooter alignWithMargins="0">
    <oddFooter>&amp;R36 of 51</oddFooter>
  </headerFooter>
  <ignoredErrors>
    <ignoredError sqref="M32 M52 M65" formulaRange="1"/>
  </ignoredErrors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67"/>
  <sheetViews>
    <sheetView view="pageBreakPreview" zoomScale="90" zoomScaleNormal="100" zoomScaleSheetLayoutView="90" workbookViewId="0">
      <selection activeCell="M47" sqref="M47"/>
    </sheetView>
  </sheetViews>
  <sheetFormatPr defaultRowHeight="12.75"/>
  <cols>
    <col min="1" max="1" width="22.85546875" style="1" customWidth="1"/>
    <col min="2" max="13" width="7.140625" style="1" customWidth="1"/>
    <col min="14" max="14" width="4.42578125" style="1" customWidth="1"/>
    <col min="15" max="16384" width="9.140625" style="1"/>
  </cols>
  <sheetData>
    <row r="1" spans="1:21" ht="18" customHeight="1">
      <c r="A1" s="130"/>
      <c r="B1" s="131"/>
      <c r="C1" s="131"/>
      <c r="D1" s="131"/>
      <c r="E1" s="131"/>
      <c r="F1" s="131"/>
      <c r="G1" s="131"/>
      <c r="H1" s="130"/>
      <c r="I1" s="131"/>
      <c r="J1" s="131"/>
      <c r="K1" s="131"/>
      <c r="L1" s="130"/>
      <c r="M1" s="143" t="s">
        <v>22</v>
      </c>
    </row>
    <row r="2" spans="1:21" ht="18" customHeight="1">
      <c r="A2" s="130"/>
      <c r="B2" s="135"/>
      <c r="C2" s="135"/>
      <c r="D2" s="135"/>
      <c r="E2" s="135"/>
      <c r="F2" s="135"/>
      <c r="G2" s="136"/>
      <c r="H2" s="130"/>
      <c r="I2" s="135"/>
      <c r="J2" s="135"/>
      <c r="K2" s="135"/>
      <c r="L2" s="130"/>
      <c r="M2" s="155" t="s">
        <v>13</v>
      </c>
    </row>
    <row r="3" spans="1:21" s="5" customFormat="1" ht="18" customHeight="1">
      <c r="A3" s="133"/>
      <c r="B3" s="133"/>
      <c r="C3" s="133"/>
      <c r="D3" s="133"/>
      <c r="E3" s="133"/>
      <c r="F3" s="133"/>
      <c r="G3" s="136"/>
      <c r="H3" s="133"/>
      <c r="I3" s="133"/>
      <c r="J3" s="136"/>
      <c r="K3" s="136"/>
      <c r="L3" s="133"/>
      <c r="M3" s="155" t="s">
        <v>77</v>
      </c>
      <c r="N3" s="134"/>
      <c r="O3" s="134"/>
      <c r="P3" s="134"/>
      <c r="Q3" s="134"/>
      <c r="R3" s="134"/>
      <c r="S3" s="134"/>
      <c r="T3" s="134"/>
      <c r="U3" s="134"/>
    </row>
    <row r="4" spans="1:21" s="8" customFormat="1" ht="6.75" customHeight="1" thickBot="1">
      <c r="A4" s="38"/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</row>
    <row r="5" spans="1:21" s="8" customFormat="1" ht="11.25" customHeight="1" thickBot="1">
      <c r="A5" s="53" t="s">
        <v>19</v>
      </c>
      <c r="B5" s="50">
        <v>41275</v>
      </c>
      <c r="C5" s="47">
        <v>41306</v>
      </c>
      <c r="D5" s="47">
        <v>41334</v>
      </c>
      <c r="E5" s="47">
        <v>41365</v>
      </c>
      <c r="F5" s="47">
        <v>41395</v>
      </c>
      <c r="G5" s="47">
        <v>41426</v>
      </c>
      <c r="H5" s="47">
        <v>41456</v>
      </c>
      <c r="I5" s="47">
        <v>41487</v>
      </c>
      <c r="J5" s="47">
        <v>41518</v>
      </c>
      <c r="K5" s="47">
        <v>41548</v>
      </c>
      <c r="L5" s="47">
        <v>41579</v>
      </c>
      <c r="M5" s="51">
        <v>41609</v>
      </c>
    </row>
    <row r="6" spans="1:21" s="8" customFormat="1" ht="11.25" customHeight="1">
      <c r="A6" s="41" t="s">
        <v>129</v>
      </c>
      <c r="B6" s="57">
        <f t="shared" ref="B6:M6" si="0">B32</f>
        <v>37</v>
      </c>
      <c r="C6" s="57">
        <f t="shared" si="0"/>
        <v>26</v>
      </c>
      <c r="D6" s="57">
        <f t="shared" si="0"/>
        <v>33</v>
      </c>
      <c r="E6" s="57">
        <f t="shared" si="0"/>
        <v>18</v>
      </c>
      <c r="F6" s="57">
        <f t="shared" si="0"/>
        <v>37</v>
      </c>
      <c r="G6" s="57">
        <f t="shared" si="0"/>
        <v>39</v>
      </c>
      <c r="H6" s="57">
        <f t="shared" si="0"/>
        <v>24</v>
      </c>
      <c r="I6" s="57">
        <f t="shared" si="0"/>
        <v>40</v>
      </c>
      <c r="J6" s="57">
        <f t="shared" si="0"/>
        <v>26</v>
      </c>
      <c r="K6" s="57">
        <f t="shared" si="0"/>
        <v>15</v>
      </c>
      <c r="L6" s="156">
        <f t="shared" si="0"/>
        <v>29</v>
      </c>
      <c r="M6" s="168">
        <f t="shared" si="0"/>
        <v>24</v>
      </c>
    </row>
    <row r="7" spans="1:21" s="8" customFormat="1" ht="11.25" customHeight="1">
      <c r="A7" s="42" t="s">
        <v>18</v>
      </c>
      <c r="B7" s="57">
        <f t="shared" ref="B7:M7" si="1">SUM(B10:B12)</f>
        <v>101</v>
      </c>
      <c r="C7" s="57">
        <f t="shared" si="1"/>
        <v>77</v>
      </c>
      <c r="D7" s="57">
        <f t="shared" si="1"/>
        <v>87</v>
      </c>
      <c r="E7" s="57">
        <f t="shared" si="1"/>
        <v>52</v>
      </c>
      <c r="F7" s="57">
        <f t="shared" si="1"/>
        <v>64</v>
      </c>
      <c r="G7" s="57">
        <f t="shared" si="1"/>
        <v>78</v>
      </c>
      <c r="H7" s="57">
        <f t="shared" si="1"/>
        <v>117</v>
      </c>
      <c r="I7" s="57">
        <f t="shared" si="1"/>
        <v>121</v>
      </c>
      <c r="J7" s="57">
        <f t="shared" si="1"/>
        <v>124</v>
      </c>
      <c r="K7" s="57">
        <f t="shared" si="1"/>
        <v>94</v>
      </c>
      <c r="L7" s="156">
        <f t="shared" si="1"/>
        <v>98</v>
      </c>
      <c r="M7" s="171">
        <f t="shared" si="1"/>
        <v>107</v>
      </c>
    </row>
    <row r="8" spans="1:21" s="8" customFormat="1" ht="11.25" customHeight="1" thickBot="1">
      <c r="A8" s="43" t="s">
        <v>14</v>
      </c>
      <c r="B8" s="58">
        <f t="shared" ref="B8:M8" si="2">SUM(B6:B7)</f>
        <v>138</v>
      </c>
      <c r="C8" s="58">
        <f t="shared" si="2"/>
        <v>103</v>
      </c>
      <c r="D8" s="58">
        <f t="shared" si="2"/>
        <v>120</v>
      </c>
      <c r="E8" s="58">
        <f t="shared" si="2"/>
        <v>70</v>
      </c>
      <c r="F8" s="58">
        <f t="shared" si="2"/>
        <v>101</v>
      </c>
      <c r="G8" s="58">
        <f t="shared" si="2"/>
        <v>117</v>
      </c>
      <c r="H8" s="58">
        <f t="shared" si="2"/>
        <v>141</v>
      </c>
      <c r="I8" s="58">
        <f t="shared" si="2"/>
        <v>161</v>
      </c>
      <c r="J8" s="58">
        <f t="shared" si="2"/>
        <v>150</v>
      </c>
      <c r="K8" s="58">
        <f t="shared" si="2"/>
        <v>109</v>
      </c>
      <c r="L8" s="157">
        <f t="shared" si="2"/>
        <v>127</v>
      </c>
      <c r="M8" s="172">
        <f t="shared" si="2"/>
        <v>131</v>
      </c>
    </row>
    <row r="9" spans="1:21" s="8" customFormat="1" ht="11.25" customHeight="1" thickBot="1">
      <c r="A9" s="54" t="s">
        <v>18</v>
      </c>
      <c r="B9" s="50">
        <v>41275</v>
      </c>
      <c r="C9" s="47">
        <v>41306</v>
      </c>
      <c r="D9" s="47">
        <v>41334</v>
      </c>
      <c r="E9" s="47">
        <v>41365</v>
      </c>
      <c r="F9" s="47">
        <v>41395</v>
      </c>
      <c r="G9" s="47">
        <v>41426</v>
      </c>
      <c r="H9" s="47">
        <v>41456</v>
      </c>
      <c r="I9" s="47">
        <v>41487</v>
      </c>
      <c r="J9" s="47">
        <v>41518</v>
      </c>
      <c r="K9" s="47">
        <v>41548</v>
      </c>
      <c r="L9" s="47">
        <v>41579</v>
      </c>
      <c r="M9" s="51">
        <v>41609</v>
      </c>
    </row>
    <row r="10" spans="1:21" s="8" customFormat="1" ht="11.25" customHeight="1">
      <c r="A10" s="9" t="s">
        <v>128</v>
      </c>
      <c r="B10" s="57">
        <f t="shared" ref="B10:M10" si="3">B52</f>
        <v>89</v>
      </c>
      <c r="C10" s="57">
        <f t="shared" si="3"/>
        <v>64</v>
      </c>
      <c r="D10" s="57">
        <f t="shared" si="3"/>
        <v>58</v>
      </c>
      <c r="E10" s="57">
        <f t="shared" si="3"/>
        <v>28</v>
      </c>
      <c r="F10" s="57">
        <f t="shared" si="3"/>
        <v>45</v>
      </c>
      <c r="G10" s="59">
        <f t="shared" si="3"/>
        <v>52</v>
      </c>
      <c r="H10" s="59">
        <f t="shared" si="3"/>
        <v>73</v>
      </c>
      <c r="I10" s="59">
        <f t="shared" si="3"/>
        <v>74</v>
      </c>
      <c r="J10" s="59">
        <f t="shared" si="3"/>
        <v>70</v>
      </c>
      <c r="K10" s="59">
        <f t="shared" si="3"/>
        <v>39</v>
      </c>
      <c r="L10" s="158">
        <f t="shared" si="3"/>
        <v>46</v>
      </c>
      <c r="M10" s="168">
        <f t="shared" si="3"/>
        <v>58</v>
      </c>
    </row>
    <row r="11" spans="1:21" s="8" customFormat="1" ht="11.25" customHeight="1">
      <c r="A11" s="9" t="s">
        <v>127</v>
      </c>
      <c r="B11" s="59">
        <f t="shared" ref="B11:M11" si="4">B65</f>
        <v>4</v>
      </c>
      <c r="C11" s="59">
        <f t="shared" si="4"/>
        <v>1</v>
      </c>
      <c r="D11" s="59">
        <f t="shared" si="4"/>
        <v>8</v>
      </c>
      <c r="E11" s="59">
        <f t="shared" si="4"/>
        <v>17</v>
      </c>
      <c r="F11" s="59">
        <f t="shared" si="4"/>
        <v>16</v>
      </c>
      <c r="G11" s="59">
        <f t="shared" si="4"/>
        <v>7</v>
      </c>
      <c r="H11" s="59">
        <f t="shared" si="4"/>
        <v>19</v>
      </c>
      <c r="I11" s="59">
        <f t="shared" si="4"/>
        <v>17</v>
      </c>
      <c r="J11" s="59">
        <f t="shared" si="4"/>
        <v>23</v>
      </c>
      <c r="K11" s="59">
        <f t="shared" si="4"/>
        <v>15</v>
      </c>
      <c r="L11" s="158">
        <f t="shared" si="4"/>
        <v>29</v>
      </c>
      <c r="M11" s="169">
        <f t="shared" si="4"/>
        <v>31</v>
      </c>
    </row>
    <row r="12" spans="1:21" s="8" customFormat="1" ht="11.25" customHeight="1" thickBot="1">
      <c r="A12" s="2" t="s">
        <v>12</v>
      </c>
      <c r="B12" s="60">
        <f>COUNTIFS(Jan!$B:$B,2212,Jan!$F:$F,800)</f>
        <v>8</v>
      </c>
      <c r="C12" s="60">
        <v>12</v>
      </c>
      <c r="D12" s="60">
        <v>21</v>
      </c>
      <c r="E12" s="60">
        <v>7</v>
      </c>
      <c r="F12" s="60">
        <v>3</v>
      </c>
      <c r="G12" s="60">
        <v>19</v>
      </c>
      <c r="H12" s="60">
        <v>25</v>
      </c>
      <c r="I12" s="60">
        <v>30</v>
      </c>
      <c r="J12" s="60">
        <v>31</v>
      </c>
      <c r="K12" s="60">
        <v>40</v>
      </c>
      <c r="L12" s="60">
        <v>23</v>
      </c>
      <c r="M12" s="60">
        <v>18</v>
      </c>
    </row>
    <row r="13" spans="1:21" s="8" customFormat="1" ht="5.0999999999999996" customHeight="1" thickBot="1">
      <c r="A13" s="3"/>
      <c r="B13" s="17"/>
      <c r="C13" s="17"/>
      <c r="D13" s="17"/>
      <c r="E13" s="17"/>
      <c r="F13" s="17"/>
      <c r="G13" s="17"/>
      <c r="H13" s="17"/>
      <c r="I13" s="17"/>
      <c r="J13" s="17"/>
      <c r="K13" s="17"/>
      <c r="L13" s="17"/>
      <c r="M13" s="147"/>
    </row>
    <row r="14" spans="1:21" s="16" customFormat="1" ht="11.25" customHeight="1">
      <c r="A14" s="44" t="s">
        <v>131</v>
      </c>
      <c r="B14" s="120">
        <v>22529</v>
      </c>
      <c r="C14" s="120">
        <v>22596</v>
      </c>
      <c r="D14" s="120">
        <v>24044</v>
      </c>
      <c r="E14" s="120">
        <v>22363</v>
      </c>
      <c r="F14" s="120">
        <v>23865</v>
      </c>
      <c r="G14" s="120">
        <v>25481</v>
      </c>
      <c r="H14" s="119">
        <v>24214</v>
      </c>
      <c r="I14" s="61">
        <v>22539</v>
      </c>
      <c r="J14" s="61">
        <v>22513</v>
      </c>
      <c r="K14" s="118">
        <v>23451</v>
      </c>
      <c r="L14" s="160">
        <v>17149</v>
      </c>
      <c r="M14" s="173">
        <v>21681</v>
      </c>
      <c r="O14" s="22"/>
      <c r="P14" s="22"/>
      <c r="Q14" s="22"/>
    </row>
    <row r="15" spans="1:21" s="8" customFormat="1" ht="11.25" customHeight="1">
      <c r="A15" s="45" t="s">
        <v>132</v>
      </c>
      <c r="B15" s="62">
        <f>IFERROR((SUMIFS(Jan!$N:$N,Jan!$J:$J,1,Jan!$B:$B,2212)+SUMIFS(Jan!$N:$N,Jan!$D:$D,"&gt;1",Jan!$B:$B,2212))/(COUNTIFS(Jan!$J:$J,1,Jan!$B:$B,2212)+COUNTIFS(Jan!$D:$D,"&gt;1",Jan!$B:$B,2212)),"")</f>
        <v>35.75</v>
      </c>
      <c r="C15" s="62">
        <v>34.909999999999997</v>
      </c>
      <c r="D15" s="62">
        <v>35.619999999999997</v>
      </c>
      <c r="E15" s="62">
        <v>32.659999999999997</v>
      </c>
      <c r="F15" s="62">
        <v>33.83</v>
      </c>
      <c r="G15" s="62">
        <v>35.51</v>
      </c>
      <c r="H15" s="62">
        <v>34.75</v>
      </c>
      <c r="I15" s="62">
        <v>35.69</v>
      </c>
      <c r="J15" s="62">
        <v>34.5</v>
      </c>
      <c r="K15" s="62">
        <v>34.53</v>
      </c>
      <c r="L15" s="62">
        <v>35.770000000000003</v>
      </c>
      <c r="M15" s="62">
        <v>35.18</v>
      </c>
      <c r="N15" s="15"/>
      <c r="O15" s="1"/>
      <c r="P15" s="1"/>
      <c r="Q15" s="1"/>
    </row>
    <row r="16" spans="1:21" s="8" customFormat="1" ht="11.25" customHeight="1">
      <c r="A16" s="45" t="s">
        <v>133</v>
      </c>
      <c r="B16" s="62">
        <f>IFERROR(AVERAGEIFS(Jan!$N:$N,Jan!$F:$F,800,Jan!$B:$B,2212),"")</f>
        <v>38.125</v>
      </c>
      <c r="C16" s="62">
        <v>34.5</v>
      </c>
      <c r="D16" s="62">
        <v>36.33</v>
      </c>
      <c r="E16" s="62">
        <v>34.67</v>
      </c>
      <c r="F16" s="62">
        <v>36.25</v>
      </c>
      <c r="G16" s="62">
        <v>36.159999999999997</v>
      </c>
      <c r="H16" s="62">
        <v>36.700000000000003</v>
      </c>
      <c r="I16" s="62">
        <v>34.85</v>
      </c>
      <c r="J16" s="62">
        <v>35.6</v>
      </c>
      <c r="K16" s="62">
        <v>36.07</v>
      </c>
      <c r="L16" s="62">
        <v>36.229999999999997</v>
      </c>
      <c r="M16" s="62">
        <v>34.049999999999997</v>
      </c>
      <c r="O16" s="1"/>
      <c r="P16" s="1"/>
      <c r="Q16" s="1"/>
    </row>
    <row r="17" spans="1:17" s="8" customFormat="1" ht="11.25" customHeight="1">
      <c r="A17" s="45" t="s">
        <v>134</v>
      </c>
      <c r="B17" s="63">
        <f>IFERROR((SUMIFS(Jan!$M:$M,Jan!$J:$J,1,Jan!$B:$B,2212)+SUMIFS(Jan!$M:$M,Jan!$D:$D,"&gt;1",Jan!$B:$B,2212))/(COUNTIFS(Jan!$J:$J,1,Jan!$B:$B,2212)+COUNTIFS(Jan!$D:$D,"&gt;1",Jan!$B:$B,2212)),"")</f>
        <v>0.6</v>
      </c>
      <c r="C17" s="63">
        <v>1.2</v>
      </c>
      <c r="D17" s="63">
        <v>1.59</v>
      </c>
      <c r="E17" s="63">
        <v>1.83</v>
      </c>
      <c r="F17" s="63">
        <v>1.75</v>
      </c>
      <c r="G17" s="63">
        <v>0.74</v>
      </c>
      <c r="H17" s="63">
        <v>0.78</v>
      </c>
      <c r="I17" s="63">
        <v>0.98</v>
      </c>
      <c r="J17" s="63">
        <v>0.56999999999999995</v>
      </c>
      <c r="K17" s="63">
        <v>0.78</v>
      </c>
      <c r="L17" s="63">
        <v>1.22</v>
      </c>
      <c r="M17" s="63">
        <v>0.66</v>
      </c>
      <c r="O17" s="1"/>
      <c r="P17" s="1"/>
      <c r="Q17" s="1"/>
    </row>
    <row r="18" spans="1:17" s="8" customFormat="1" ht="11.25" customHeight="1" thickBot="1">
      <c r="A18" s="43" t="s">
        <v>135</v>
      </c>
      <c r="B18" s="64">
        <f>IFERROR(AVERAGEIFS(Jan!$M:$M,Jan!$F:$F,800,Jan!$B:$B,2212),"")</f>
        <v>0.7</v>
      </c>
      <c r="C18" s="64">
        <v>1.68</v>
      </c>
      <c r="D18" s="64">
        <v>0.63</v>
      </c>
      <c r="E18" s="64">
        <v>0.73</v>
      </c>
      <c r="F18" s="64">
        <v>0.43</v>
      </c>
      <c r="G18" s="64">
        <v>0.55000000000000004</v>
      </c>
      <c r="H18" s="64">
        <v>0.6</v>
      </c>
      <c r="I18" s="64">
        <v>1.57</v>
      </c>
      <c r="J18" s="64">
        <v>0.52</v>
      </c>
      <c r="K18" s="64">
        <v>0.63</v>
      </c>
      <c r="L18" s="64">
        <v>0.51</v>
      </c>
      <c r="M18" s="64">
        <v>0.92</v>
      </c>
    </row>
    <row r="19" spans="1:17" s="8" customFormat="1" ht="5.0999999999999996" customHeight="1" thickBot="1">
      <c r="A19" s="3"/>
      <c r="B19" s="17"/>
      <c r="C19" s="17"/>
      <c r="D19" s="17"/>
      <c r="E19" s="17"/>
      <c r="F19" s="17"/>
      <c r="G19" s="17"/>
      <c r="H19" s="17"/>
      <c r="I19" s="17"/>
      <c r="J19" s="17"/>
      <c r="K19" s="17"/>
      <c r="L19" s="17"/>
      <c r="M19" s="147"/>
    </row>
    <row r="20" spans="1:17" s="8" customFormat="1" ht="11.25" customHeight="1">
      <c r="A20" s="42" t="s">
        <v>52</v>
      </c>
      <c r="B20" s="65">
        <v>31</v>
      </c>
      <c r="C20" s="65">
        <v>28</v>
      </c>
      <c r="D20" s="65">
        <v>31</v>
      </c>
      <c r="E20" s="65">
        <v>30</v>
      </c>
      <c r="F20" s="65">
        <v>31</v>
      </c>
      <c r="G20" s="65">
        <v>30</v>
      </c>
      <c r="H20" s="65">
        <v>31</v>
      </c>
      <c r="I20" s="65">
        <v>31</v>
      </c>
      <c r="J20" s="65">
        <v>30</v>
      </c>
      <c r="K20" s="65">
        <v>31</v>
      </c>
      <c r="L20" s="161">
        <v>30</v>
      </c>
      <c r="M20" s="174">
        <v>31</v>
      </c>
    </row>
    <row r="21" spans="1:17" s="8" customFormat="1" ht="11.25" customHeight="1">
      <c r="A21" s="9" t="s">
        <v>15</v>
      </c>
      <c r="B21" s="66">
        <f>B12/B20</f>
        <v>0.25806451612903225</v>
      </c>
      <c r="C21" s="66">
        <f t="shared" ref="C21:M21" si="5">C12/C20</f>
        <v>0.42857142857142855</v>
      </c>
      <c r="D21" s="66">
        <f>D12/D20</f>
        <v>0.67741935483870963</v>
      </c>
      <c r="E21" s="66">
        <f>E12/E20</f>
        <v>0.23333333333333334</v>
      </c>
      <c r="F21" s="66">
        <f>F12/F20</f>
        <v>9.6774193548387094E-2</v>
      </c>
      <c r="G21" s="66">
        <f>G12/G20</f>
        <v>0.6333333333333333</v>
      </c>
      <c r="H21" s="66">
        <f t="shared" si="5"/>
        <v>0.80645161290322576</v>
      </c>
      <c r="I21" s="66">
        <f t="shared" si="5"/>
        <v>0.967741935483871</v>
      </c>
      <c r="J21" s="66">
        <f t="shared" si="5"/>
        <v>1.0333333333333334</v>
      </c>
      <c r="K21" s="66">
        <f t="shared" si="5"/>
        <v>1.2903225806451613</v>
      </c>
      <c r="L21" s="162">
        <f t="shared" si="5"/>
        <v>0.76666666666666672</v>
      </c>
      <c r="M21" s="175">
        <f t="shared" si="5"/>
        <v>0.58064516129032262</v>
      </c>
    </row>
    <row r="22" spans="1:17" s="8" customFormat="1" ht="11.25" customHeight="1">
      <c r="A22" s="9" t="s">
        <v>130</v>
      </c>
      <c r="B22" s="67">
        <f t="shared" ref="B22:G22" si="6">IFERROR(B12/B7,0)</f>
        <v>7.9207920792079209E-2</v>
      </c>
      <c r="C22" s="67">
        <f t="shared" si="6"/>
        <v>0.15584415584415584</v>
      </c>
      <c r="D22" s="67">
        <f t="shared" si="6"/>
        <v>0.2413793103448276</v>
      </c>
      <c r="E22" s="67">
        <f t="shared" si="6"/>
        <v>0.13461538461538461</v>
      </c>
      <c r="F22" s="67">
        <f t="shared" si="6"/>
        <v>4.6875E-2</v>
      </c>
      <c r="G22" s="67">
        <f t="shared" si="6"/>
        <v>0.24358974358974358</v>
      </c>
      <c r="H22" s="67">
        <f t="shared" ref="H22:M22" si="7">IFERROR(H12/H7,0)</f>
        <v>0.21367521367521367</v>
      </c>
      <c r="I22" s="67">
        <f t="shared" si="7"/>
        <v>0.24793388429752067</v>
      </c>
      <c r="J22" s="67">
        <f t="shared" si="7"/>
        <v>0.25</v>
      </c>
      <c r="K22" s="116">
        <f t="shared" si="7"/>
        <v>0.42553191489361702</v>
      </c>
      <c r="L22" s="67">
        <f t="shared" si="7"/>
        <v>0.23469387755102042</v>
      </c>
      <c r="M22" s="176">
        <f t="shared" si="7"/>
        <v>0.16822429906542055</v>
      </c>
      <c r="N22" s="1"/>
    </row>
    <row r="23" spans="1:17" s="8" customFormat="1" ht="11.25" customHeight="1" thickBot="1">
      <c r="A23" s="9" t="s">
        <v>53</v>
      </c>
      <c r="B23" s="67">
        <f t="shared" ref="B23:G23" si="8">IFERROR(B12/(B11+B12),0)</f>
        <v>0.66666666666666663</v>
      </c>
      <c r="C23" s="67">
        <f t="shared" si="8"/>
        <v>0.92307692307692313</v>
      </c>
      <c r="D23" s="67">
        <f t="shared" si="8"/>
        <v>0.72413793103448276</v>
      </c>
      <c r="E23" s="67">
        <f t="shared" si="8"/>
        <v>0.29166666666666669</v>
      </c>
      <c r="F23" s="67">
        <f t="shared" si="8"/>
        <v>0.15789473684210525</v>
      </c>
      <c r="G23" s="67">
        <f t="shared" si="8"/>
        <v>0.73076923076923073</v>
      </c>
      <c r="H23" s="67">
        <f t="shared" ref="H23:M23" si="9">IFERROR(H12/(H11+H12),0)</f>
        <v>0.56818181818181823</v>
      </c>
      <c r="I23" s="67">
        <f t="shared" si="9"/>
        <v>0.63829787234042556</v>
      </c>
      <c r="J23" s="67">
        <f t="shared" si="9"/>
        <v>0.57407407407407407</v>
      </c>
      <c r="K23" s="117">
        <f t="shared" si="9"/>
        <v>0.72727272727272729</v>
      </c>
      <c r="L23" s="163">
        <f t="shared" si="9"/>
        <v>0.44230769230769229</v>
      </c>
      <c r="M23" s="177">
        <f t="shared" si="9"/>
        <v>0.36734693877551022</v>
      </c>
      <c r="N23" s="4"/>
    </row>
    <row r="24" spans="1:17" s="8" customFormat="1" ht="11.25" customHeight="1" thickBot="1">
      <c r="A24" s="56" t="s">
        <v>21</v>
      </c>
      <c r="B24" s="50">
        <v>41275</v>
      </c>
      <c r="C24" s="47">
        <v>41306</v>
      </c>
      <c r="D24" s="47">
        <v>41334</v>
      </c>
      <c r="E24" s="47">
        <v>41365</v>
      </c>
      <c r="F24" s="47">
        <v>41395</v>
      </c>
      <c r="G24" s="47">
        <v>41426</v>
      </c>
      <c r="H24" s="47">
        <v>41456</v>
      </c>
      <c r="I24" s="47">
        <v>41487</v>
      </c>
      <c r="J24" s="47">
        <v>41518</v>
      </c>
      <c r="K24" s="47">
        <v>41548</v>
      </c>
      <c r="L24" s="47">
        <v>41579</v>
      </c>
      <c r="M24" s="51">
        <v>41609</v>
      </c>
    </row>
    <row r="25" spans="1:17" s="8" customFormat="1" ht="11.25" customHeight="1">
      <c r="A25" s="18" t="s">
        <v>5</v>
      </c>
      <c r="B25" s="68">
        <f>COUNTIFS(Jan!$B:$B,2212,Jan!$J:$J,18)</f>
        <v>7</v>
      </c>
      <c r="C25" s="68">
        <v>1</v>
      </c>
      <c r="D25" s="68">
        <v>3</v>
      </c>
      <c r="E25" s="68">
        <v>1</v>
      </c>
      <c r="F25" s="68">
        <v>5</v>
      </c>
      <c r="G25" s="68">
        <v>2</v>
      </c>
      <c r="H25" s="68">
        <v>1</v>
      </c>
      <c r="I25" s="68">
        <v>6</v>
      </c>
      <c r="J25" s="68">
        <v>3</v>
      </c>
      <c r="K25" s="68">
        <v>2</v>
      </c>
      <c r="L25" s="68">
        <v>2</v>
      </c>
      <c r="M25" s="68">
        <v>4</v>
      </c>
    </row>
    <row r="26" spans="1:17" s="8" customFormat="1" ht="11.25" customHeight="1">
      <c r="A26" s="46" t="s">
        <v>40</v>
      </c>
      <c r="B26" s="57">
        <f>COUNTIFS(Jan!$B:$B,2212,Jan!$J:$J,41)</f>
        <v>9</v>
      </c>
      <c r="C26" s="57">
        <v>2</v>
      </c>
      <c r="D26" s="57">
        <v>3</v>
      </c>
      <c r="E26" s="57">
        <v>2</v>
      </c>
      <c r="F26" s="57">
        <v>5</v>
      </c>
      <c r="G26" s="57">
        <v>1</v>
      </c>
      <c r="H26" s="57">
        <v>3</v>
      </c>
      <c r="I26" s="57">
        <f>COUNTIFS(Aug!$B:$B,2212,Aug!$J:$J,41)</f>
        <v>0</v>
      </c>
      <c r="J26" s="57">
        <f>COUNTIFS(Sep!$B:$B,2212,Sep!$J:$J,41)</f>
        <v>0</v>
      </c>
      <c r="K26" s="57">
        <v>5</v>
      </c>
      <c r="L26" s="57">
        <v>3</v>
      </c>
      <c r="M26" s="57">
        <v>0</v>
      </c>
    </row>
    <row r="27" spans="1:17" s="8" customFormat="1" ht="11.25" customHeight="1">
      <c r="A27" s="9" t="s">
        <v>11</v>
      </c>
      <c r="B27" s="179">
        <f>COUNTIFS(Jan!$B:$B,2212,Jan!$J:$J,17)</f>
        <v>21</v>
      </c>
      <c r="C27" s="206">
        <v>23</v>
      </c>
      <c r="D27" s="206">
        <v>26</v>
      </c>
      <c r="E27" s="206">
        <v>15</v>
      </c>
      <c r="F27" s="206">
        <v>26</v>
      </c>
      <c r="G27" s="206">
        <v>34</v>
      </c>
      <c r="H27" s="206">
        <v>18</v>
      </c>
      <c r="I27" s="206">
        <v>30</v>
      </c>
      <c r="J27" s="206">
        <v>20</v>
      </c>
      <c r="K27" s="206">
        <v>7</v>
      </c>
      <c r="L27" s="206">
        <v>21</v>
      </c>
      <c r="M27" s="206">
        <v>20</v>
      </c>
    </row>
    <row r="28" spans="1:17" s="8" customFormat="1" ht="11.25" customHeight="1">
      <c r="A28" s="9" t="s">
        <v>143</v>
      </c>
      <c r="B28" s="59">
        <f>COUNTIFS(Jan!$B:$B,2212,Jan!$F:$F,455)</f>
        <v>0</v>
      </c>
      <c r="C28" s="59">
        <f>COUNTIFS(Feb!$B:$B,2212,Feb!$F:$F,455)</f>
        <v>0</v>
      </c>
      <c r="D28" s="59">
        <f>COUNTIFS(Mar!$B:$B,2212,Mar!$F:$F,455)</f>
        <v>0</v>
      </c>
      <c r="E28" s="59">
        <f>COUNTIFS(Apr!$B:$B,2212,Apr!$F:$F,455)</f>
        <v>0</v>
      </c>
      <c r="F28" s="59">
        <f>COUNTIFS(May!$B:$B,2212,May!$F:$F,455)</f>
        <v>0</v>
      </c>
      <c r="G28" s="59">
        <f>COUNTIFS(Jun!$B:$B,2212,Jun!$F:$F,455)</f>
        <v>0</v>
      </c>
      <c r="H28" s="59">
        <f>COUNTIFS(Jul!$B:$B,2212,Jul!$F:$F,455)</f>
        <v>0</v>
      </c>
      <c r="I28" s="59">
        <f>COUNTIFS(Aug!$B:$B,2212,Aug!$F:$F,455)</f>
        <v>0</v>
      </c>
      <c r="J28" s="59">
        <f>COUNTIFS(Sep!$B:$B,2212,Sep!$F:$F,455)</f>
        <v>0</v>
      </c>
      <c r="K28" s="59">
        <f>COUNTIFS(Oct!$B:$B,2212,Oct!$F:$F,455)</f>
        <v>0</v>
      </c>
      <c r="L28" s="59">
        <f>COUNTIFS(Nov!$B:$B,2212,Nov!$F:$F,455)</f>
        <v>0</v>
      </c>
      <c r="M28" s="59">
        <v>0</v>
      </c>
    </row>
    <row r="29" spans="1:17" s="8" customFormat="1" ht="11.25" customHeight="1">
      <c r="A29" s="9" t="s">
        <v>23</v>
      </c>
      <c r="B29" s="59">
        <f>COUNTIFS(Jan!$B:$B,2212,Jan!$J:$J,31)</f>
        <v>0</v>
      </c>
      <c r="C29" s="59">
        <f>COUNTIFS(Feb!$B:$B,2212,Feb!$J:$J,31)</f>
        <v>0</v>
      </c>
      <c r="D29" s="59">
        <f>COUNTIFS(Mar!$B:$B,2212,Mar!$J:$J,31)</f>
        <v>0</v>
      </c>
      <c r="E29" s="59">
        <f>COUNTIFS(Apr!$B:$B,2212,Apr!$J:$J,31)</f>
        <v>0</v>
      </c>
      <c r="F29" s="59">
        <f>COUNTIFS(May!$B:$B,2212,May!$J:$J,31)</f>
        <v>0</v>
      </c>
      <c r="G29" s="59">
        <f>COUNTIFS(Jun!$B:$B,2212,Jun!$J:$J,31)</f>
        <v>0</v>
      </c>
      <c r="H29" s="59">
        <f>COUNTIFS(Jul!$B:$B,2212,Jul!$J:$J,31)</f>
        <v>0</v>
      </c>
      <c r="I29" s="59">
        <f>COUNTIFS(Aug!$B:$B,2212,Aug!$J:$J,31)</f>
        <v>0</v>
      </c>
      <c r="J29" s="59">
        <v>1</v>
      </c>
      <c r="K29" s="59">
        <f>COUNTIFS(Oct!$B:$B,2212,Oct!$J:$J,31)</f>
        <v>0</v>
      </c>
      <c r="L29" s="59">
        <f>COUNTIFS(Nov!$B:$B,2212,Nov!$J:$J,31)</f>
        <v>0</v>
      </c>
      <c r="M29" s="59">
        <v>0</v>
      </c>
    </row>
    <row r="30" spans="1:17" s="8" customFormat="1" ht="11.25" customHeight="1">
      <c r="A30" s="9" t="s">
        <v>37</v>
      </c>
      <c r="B30" s="59">
        <f>COUNTIFS(Jan!$B:$B,2212,Jan!$J:$J,4400)</f>
        <v>0</v>
      </c>
      <c r="C30" s="59">
        <f>COUNTIFS(Feb!$B:$B,2212,Feb!$J:$J,4400)</f>
        <v>0</v>
      </c>
      <c r="D30" s="59">
        <v>1</v>
      </c>
      <c r="E30" s="59">
        <f>COUNTIFS(Apr!$B:$B,2212,Apr!$J:$J,4400)</f>
        <v>0</v>
      </c>
      <c r="F30" s="59">
        <v>1</v>
      </c>
      <c r="G30" s="59">
        <v>2</v>
      </c>
      <c r="H30" s="59">
        <v>2</v>
      </c>
      <c r="I30" s="59">
        <v>4</v>
      </c>
      <c r="J30" s="59">
        <v>2</v>
      </c>
      <c r="K30" s="59">
        <v>1</v>
      </c>
      <c r="L30" s="59">
        <v>3</v>
      </c>
      <c r="M30" s="59">
        <v>0</v>
      </c>
    </row>
    <row r="31" spans="1:17" s="8" customFormat="1" ht="11.25" customHeight="1">
      <c r="A31" s="10" t="s">
        <v>24</v>
      </c>
      <c r="B31" s="59">
        <f>COUNTIFS(Jan!$B:$B,2212,Jan!$J:$J,30)</f>
        <v>0</v>
      </c>
      <c r="C31" s="59">
        <f>COUNTIFS(Feb!$B:$B,2212,Feb!$J:$J,30)</f>
        <v>0</v>
      </c>
      <c r="D31" s="59">
        <f>COUNTIFS(Mar!$B:$B,2212,Mar!$J:$J,30)</f>
        <v>0</v>
      </c>
      <c r="E31" s="59">
        <f>COUNTIFS(Apr!$B:$B,2212,Apr!$J:$J,30)</f>
        <v>0</v>
      </c>
      <c r="F31" s="59">
        <f>COUNTIFS(May!$B:$B,2212,May!$J:$J,30)</f>
        <v>0</v>
      </c>
      <c r="G31" s="59">
        <f>COUNTIFS(Jun!$B:$B,2212,Jun!$J:$J,30)</f>
        <v>0</v>
      </c>
      <c r="H31" s="59">
        <f>COUNTIFS(Jul!$B:$B,2212,Jul!$J:$J,30)</f>
        <v>0</v>
      </c>
      <c r="I31" s="59">
        <f>COUNTIFS(Aug!$B:$B,2212,Aug!$J:$J,30)</f>
        <v>0</v>
      </c>
      <c r="J31" s="59">
        <f>COUNTIFS(Sep!$B:$B,2212,Sep!$J:$J,30)</f>
        <v>0</v>
      </c>
      <c r="K31" s="59">
        <f>COUNTIFS(Oct!$B:$B,2212,Oct!$J:$J,30)</f>
        <v>0</v>
      </c>
      <c r="L31" s="59">
        <f>COUNTIFS(Nov!$B:$B,2212,Nov!$J:$J,30)</f>
        <v>0</v>
      </c>
      <c r="M31" s="59">
        <v>0</v>
      </c>
    </row>
    <row r="32" spans="1:17" s="14" customFormat="1" ht="11.25" customHeight="1" thickBot="1">
      <c r="A32" s="2" t="s">
        <v>140</v>
      </c>
      <c r="B32" s="60">
        <f>SUM(B25:B31)</f>
        <v>37</v>
      </c>
      <c r="C32" s="60">
        <f t="shared" ref="C32:M32" si="10">SUM(C25:C31)</f>
        <v>26</v>
      </c>
      <c r="D32" s="60">
        <f>SUM(D25:D31)</f>
        <v>33</v>
      </c>
      <c r="E32" s="60">
        <f>SUM(E25:E31)</f>
        <v>18</v>
      </c>
      <c r="F32" s="60">
        <f>SUM(F25:F31)</f>
        <v>37</v>
      </c>
      <c r="G32" s="60">
        <f>SUM(G25:G31)</f>
        <v>39</v>
      </c>
      <c r="H32" s="60">
        <f t="shared" si="10"/>
        <v>24</v>
      </c>
      <c r="I32" s="60">
        <f t="shared" si="10"/>
        <v>40</v>
      </c>
      <c r="J32" s="60">
        <f t="shared" si="10"/>
        <v>26</v>
      </c>
      <c r="K32" s="60">
        <f t="shared" si="10"/>
        <v>15</v>
      </c>
      <c r="L32" s="159">
        <f t="shared" si="10"/>
        <v>29</v>
      </c>
      <c r="M32" s="170">
        <f t="shared" si="10"/>
        <v>24</v>
      </c>
    </row>
    <row r="33" spans="1:13" ht="12" customHeight="1" thickBot="1">
      <c r="A33" s="55" t="s">
        <v>136</v>
      </c>
      <c r="B33" s="50">
        <v>41275</v>
      </c>
      <c r="C33" s="47">
        <v>41306</v>
      </c>
      <c r="D33" s="47">
        <v>41334</v>
      </c>
      <c r="E33" s="47">
        <v>41365</v>
      </c>
      <c r="F33" s="47">
        <v>41395</v>
      </c>
      <c r="G33" s="47">
        <v>41426</v>
      </c>
      <c r="H33" s="47">
        <v>41456</v>
      </c>
      <c r="I33" s="47">
        <v>41487</v>
      </c>
      <c r="J33" s="47">
        <v>41518</v>
      </c>
      <c r="K33" s="47">
        <v>41548</v>
      </c>
      <c r="L33" s="47">
        <v>41579</v>
      </c>
      <c r="M33" s="51">
        <v>41609</v>
      </c>
    </row>
    <row r="34" spans="1:13" s="8" customFormat="1" ht="11.25" customHeight="1">
      <c r="A34" s="46" t="s">
        <v>33</v>
      </c>
      <c r="B34" s="57">
        <f>COUNTIFS(Jan!$B:$B,2212,Jan!$J:$J,40)</f>
        <v>0</v>
      </c>
      <c r="C34" s="57">
        <f>COUNTIFS(Feb!$B:$B,2212,Feb!$J:$J,40)</f>
        <v>0</v>
      </c>
      <c r="D34" s="57">
        <f>COUNTIFS(Mar!$B:$B,2212,Mar!$J:$J,40)</f>
        <v>0</v>
      </c>
      <c r="E34" s="57">
        <f>COUNTIFS(Apr!$B:$B,2212,Apr!$J:$J,40)</f>
        <v>0</v>
      </c>
      <c r="F34" s="57">
        <f>COUNTIFS(May!$B:$B,2212,May!$J:$J,40)</f>
        <v>0</v>
      </c>
      <c r="G34" s="57">
        <f>COUNTIFS(Jun!$B:$B,2212,Jun!$J:$J,40)</f>
        <v>0</v>
      </c>
      <c r="H34" s="57">
        <f>COUNTIFS(Jul!$B:$B,2212,Jul!$J:$J,40)</f>
        <v>0</v>
      </c>
      <c r="I34" s="57">
        <f>COUNTIFS(Aug!$B:$B,2212,Aug!$J:$J,40)</f>
        <v>0</v>
      </c>
      <c r="J34" s="57">
        <f>COUNTIFS(Sep!$B:$B,2212,Sep!$J:$J,40)</f>
        <v>0</v>
      </c>
      <c r="K34" s="57">
        <v>1</v>
      </c>
      <c r="L34" s="57">
        <f>COUNTIFS(Nov!$B:$B,2212,Nov!$J:$J,40)</f>
        <v>0</v>
      </c>
      <c r="M34" s="57">
        <v>0</v>
      </c>
    </row>
    <row r="35" spans="1:13" s="8" customFormat="1" ht="11.25" customHeight="1">
      <c r="A35" s="10" t="s">
        <v>4</v>
      </c>
      <c r="B35" s="59">
        <f>COUNTIFS(Jan!$B:$B,2212,Jan!$J:$J,15)</f>
        <v>4</v>
      </c>
      <c r="C35" s="59">
        <v>4</v>
      </c>
      <c r="D35" s="59">
        <v>1</v>
      </c>
      <c r="E35" s="59">
        <v>1</v>
      </c>
      <c r="F35" s="59">
        <v>3</v>
      </c>
      <c r="G35" s="59">
        <v>3</v>
      </c>
      <c r="H35" s="59">
        <v>1</v>
      </c>
      <c r="I35" s="59">
        <v>4</v>
      </c>
      <c r="J35" s="59">
        <v>3</v>
      </c>
      <c r="K35" s="59">
        <v>1</v>
      </c>
      <c r="L35" s="59">
        <v>1</v>
      </c>
      <c r="M35" s="59">
        <v>0</v>
      </c>
    </row>
    <row r="36" spans="1:13" s="8" customFormat="1" ht="11.25" customHeight="1">
      <c r="A36" s="10" t="s">
        <v>39</v>
      </c>
      <c r="B36" s="59">
        <f>COUNTIFS(Jan!$B:$B,2212,Jan!$J:$J,29)</f>
        <v>2</v>
      </c>
      <c r="C36" s="59">
        <v>2</v>
      </c>
      <c r="D36" s="59">
        <v>3</v>
      </c>
      <c r="E36" s="59">
        <v>1</v>
      </c>
      <c r="F36" s="59">
        <v>1</v>
      </c>
      <c r="G36" s="59">
        <v>1</v>
      </c>
      <c r="H36" s="59">
        <v>5</v>
      </c>
      <c r="I36" s="59">
        <v>7</v>
      </c>
      <c r="J36" s="59">
        <v>5</v>
      </c>
      <c r="K36" s="59">
        <v>9</v>
      </c>
      <c r="L36" s="59">
        <v>4</v>
      </c>
      <c r="M36" s="59">
        <v>4</v>
      </c>
    </row>
    <row r="37" spans="1:13" s="8" customFormat="1" ht="11.25" customHeight="1">
      <c r="A37" s="10" t="s">
        <v>3</v>
      </c>
      <c r="B37" s="59">
        <f>COUNTIFS(Jan!$B:$B,2212,Jan!$J:$J,13)</f>
        <v>1</v>
      </c>
      <c r="C37" s="59">
        <f>COUNTIFS(Feb!$B:$B,2212,Feb!$J:$J,13)</f>
        <v>0</v>
      </c>
      <c r="D37" s="59">
        <f>COUNTIFS(Mar!$B:$B,2212,Mar!$J:$J,13)</f>
        <v>0</v>
      </c>
      <c r="E37" s="59">
        <v>1</v>
      </c>
      <c r="F37" s="59">
        <f>COUNTIFS(May!$B:$B,2212,May!$J:$J,13)</f>
        <v>0</v>
      </c>
      <c r="G37" s="59">
        <v>1</v>
      </c>
      <c r="H37" s="59">
        <v>1</v>
      </c>
      <c r="I37" s="59">
        <f>COUNTIFS(Aug!$B:$B,2212,Aug!$J:$J,13)</f>
        <v>0</v>
      </c>
      <c r="J37" s="59">
        <v>3</v>
      </c>
      <c r="K37" s="59">
        <f>COUNTIFS(Oct!$B:$B,2212,Oct!$J:$J,13)</f>
        <v>0</v>
      </c>
      <c r="L37" s="59">
        <f>COUNTIFS(Nov!$B:$B,2212,Nov!$J:$J,13)</f>
        <v>0</v>
      </c>
      <c r="M37" s="59">
        <v>3</v>
      </c>
    </row>
    <row r="38" spans="1:13" s="8" customFormat="1" ht="11.25" customHeight="1">
      <c r="A38" s="9" t="s">
        <v>218</v>
      </c>
      <c r="B38" s="59">
        <f>COUNTIFS(Jan!$B:$B,2212,Jan!$J:$J,43)</f>
        <v>28</v>
      </c>
      <c r="C38" s="59">
        <f>COUNTIFS(Feb!$B:$B,2212,Feb!$J:$J,43)</f>
        <v>0</v>
      </c>
      <c r="D38" s="59">
        <f>COUNTIFS(Mar!$B:$B,2212,Mar!$J:$J,43)</f>
        <v>0</v>
      </c>
      <c r="E38" s="59">
        <f>COUNTIFS(Apr!$B:$B,2212,Apr!$J:$J,43)</f>
        <v>0</v>
      </c>
      <c r="F38" s="59">
        <v>1</v>
      </c>
      <c r="G38" s="59">
        <f>COUNTIFS(Jun!$B:$B,2212,Jun!$J:$J,43)</f>
        <v>0</v>
      </c>
      <c r="H38" s="59">
        <f>COUNTIFS(Jul!$B:$B,2212,Jul!$J:$J,43)</f>
        <v>0</v>
      </c>
      <c r="I38" s="59">
        <f>COUNTIFS(Aug!$B:$B,2212,Aug!$J:$J,43)</f>
        <v>0</v>
      </c>
      <c r="J38" s="59">
        <f>COUNTIFS(Sep!$B:$B,2212,Sep!$J:$J,43)</f>
        <v>0</v>
      </c>
      <c r="K38" s="59">
        <f>COUNTIFS(Oct!$B:$B,2212,Oct!$J:$J,43)</f>
        <v>0</v>
      </c>
      <c r="L38" s="59">
        <f>COUNTIFS(Nov!$B:$B,2212,Nov!$J:$J,43)</f>
        <v>0</v>
      </c>
      <c r="M38" s="59">
        <v>0</v>
      </c>
    </row>
    <row r="39" spans="1:13" s="8" customFormat="1" ht="11.25" customHeight="1">
      <c r="A39" s="10" t="s">
        <v>25</v>
      </c>
      <c r="B39" s="59">
        <f>COUNTIFS(Jan!$B:$B,2212,Jan!$J:$J,24)</f>
        <v>7</v>
      </c>
      <c r="C39" s="59">
        <v>1</v>
      </c>
      <c r="D39" s="59">
        <v>9</v>
      </c>
      <c r="E39" s="59">
        <v>3</v>
      </c>
      <c r="F39" s="59">
        <f>COUNTIFS(May!$B:$B,2212,May!$J:$J,24)</f>
        <v>0</v>
      </c>
      <c r="G39" s="59">
        <v>10</v>
      </c>
      <c r="H39" s="59">
        <v>7</v>
      </c>
      <c r="I39" s="59">
        <v>8</v>
      </c>
      <c r="J39" s="59">
        <v>14</v>
      </c>
      <c r="K39" s="59">
        <v>11</v>
      </c>
      <c r="L39" s="59">
        <v>14</v>
      </c>
      <c r="M39" s="59">
        <v>10</v>
      </c>
    </row>
    <row r="40" spans="1:13" s="8" customFormat="1" ht="11.25" customHeight="1">
      <c r="A40" s="10" t="s">
        <v>34</v>
      </c>
      <c r="B40" s="59">
        <f>COUNTIFS(Jan!$B:$B,2212,Jan!$J:$J,9)</f>
        <v>1</v>
      </c>
      <c r="C40" s="59">
        <f>COUNTIFS(Feb!$B:$B,2212,Feb!$J:$J,9)</f>
        <v>0</v>
      </c>
      <c r="D40" s="59">
        <f>COUNTIFS(Mar!$B:$B,2212,Mar!$J:$J,9)</f>
        <v>0</v>
      </c>
      <c r="E40" s="59">
        <f>COUNTIFS(Apr!$B:$B,2212,Apr!$J:$J,9)</f>
        <v>0</v>
      </c>
      <c r="F40" s="59">
        <v>1</v>
      </c>
      <c r="G40" s="59">
        <f>COUNTIFS(Jun!$B:$B,2212,Jun!$J:$J,9)</f>
        <v>0</v>
      </c>
      <c r="H40" s="59">
        <v>1</v>
      </c>
      <c r="I40" s="59">
        <f>COUNTIFS(Aug!$B:$B,2212,Aug!$J:$J,9)</f>
        <v>0</v>
      </c>
      <c r="J40" s="59">
        <f>COUNTIFS(Sep!$B:$B,2212,Sep!$J:$J,9)</f>
        <v>0</v>
      </c>
      <c r="K40" s="59">
        <f>COUNTIFS(Oct!$B:$B,2212,Oct!$J:$J,9)</f>
        <v>0</v>
      </c>
      <c r="L40" s="59">
        <f>COUNTIFS(Nov!$B:$B,2212,Nov!$J:$J,9)</f>
        <v>0</v>
      </c>
      <c r="M40" s="59">
        <v>0</v>
      </c>
    </row>
    <row r="41" spans="1:13" s="8" customFormat="1" ht="11.25" customHeight="1">
      <c r="A41" s="10" t="s">
        <v>31</v>
      </c>
      <c r="B41" s="59">
        <f>COUNTIFS(Jan!$B:$B,2212,Jan!$J:$J,10)</f>
        <v>0</v>
      </c>
      <c r="C41" s="59">
        <f>COUNTIFS(Feb!$B:$B,2212,Feb!$J:$J,10)</f>
        <v>0</v>
      </c>
      <c r="D41" s="59">
        <f>COUNTIFS(Mar!$B:$B,2212,Mar!$J:$J,10)</f>
        <v>0</v>
      </c>
      <c r="E41" s="59">
        <v>2</v>
      </c>
      <c r="F41" s="59">
        <v>9</v>
      </c>
      <c r="G41" s="59">
        <v>11</v>
      </c>
      <c r="H41" s="59">
        <v>23</v>
      </c>
      <c r="I41" s="59">
        <v>13</v>
      </c>
      <c r="J41" s="59">
        <v>4</v>
      </c>
      <c r="K41" s="59">
        <f>COUNTIFS(Oct!$B:$B,2212,Oct!$J:$J,10)</f>
        <v>0</v>
      </c>
      <c r="L41" s="59">
        <v>3</v>
      </c>
      <c r="M41" s="59">
        <v>2</v>
      </c>
    </row>
    <row r="42" spans="1:13" s="8" customFormat="1" ht="11.25" customHeight="1">
      <c r="A42" s="10" t="s">
        <v>144</v>
      </c>
      <c r="B42" s="59">
        <f>COUNTIFS(Jan!$B:$B,2212,Jan!$F:$F,462)</f>
        <v>0</v>
      </c>
      <c r="C42" s="59">
        <f>COUNTIFS(Feb!$B:$B,2212,Feb!$F:$F,462)</f>
        <v>0</v>
      </c>
      <c r="D42" s="59">
        <f>COUNTIFS(Mar!$B:$B,2212,Mar!$F:$F,462)</f>
        <v>0</v>
      </c>
      <c r="E42" s="59">
        <f>COUNTIFS(Apr!$B:$B,2212,Apr!$F:$F,462)</f>
        <v>0</v>
      </c>
      <c r="F42" s="59">
        <f>COUNTIFS(May!$B:$B,2212,May!$F:$F,462)</f>
        <v>0</v>
      </c>
      <c r="G42" s="59">
        <f>COUNTIFS(Jun!$B:$B,2212,Jun!$F:$F,462)</f>
        <v>0</v>
      </c>
      <c r="H42" s="59">
        <f>COUNTIFS(Jul!$B:$B,2212,Jul!$F:$F,462)</f>
        <v>0</v>
      </c>
      <c r="I42" s="59">
        <f>COUNTIFS(Aug!$B:$B,2212,Aug!$F:$F,462)</f>
        <v>0</v>
      </c>
      <c r="J42" s="59">
        <f>COUNTIFS(Sep!$B:$B,2212,Sep!$F:$F,462)</f>
        <v>0</v>
      </c>
      <c r="K42" s="59">
        <v>0</v>
      </c>
      <c r="L42" s="59">
        <f>COUNTIFS(Nov!$B:$B,2212,Nov!$F:$F,462)</f>
        <v>0</v>
      </c>
      <c r="M42" s="59">
        <v>0</v>
      </c>
    </row>
    <row r="43" spans="1:13" s="8" customFormat="1" ht="11.25" customHeight="1">
      <c r="A43" s="10" t="s">
        <v>1</v>
      </c>
      <c r="B43" s="59">
        <f>COUNTIFS(Jan!$B:$B,2212,Jan!$J:$J,11)</f>
        <v>35</v>
      </c>
      <c r="C43" s="59">
        <v>42</v>
      </c>
      <c r="D43" s="59">
        <v>27</v>
      </c>
      <c r="E43" s="59">
        <v>11</v>
      </c>
      <c r="F43" s="59">
        <v>18</v>
      </c>
      <c r="G43" s="59">
        <v>15</v>
      </c>
      <c r="H43" s="59">
        <v>10</v>
      </c>
      <c r="I43" s="59">
        <v>19</v>
      </c>
      <c r="J43" s="59">
        <v>18</v>
      </c>
      <c r="K43" s="59">
        <v>9</v>
      </c>
      <c r="L43" s="59">
        <v>7</v>
      </c>
      <c r="M43" s="59">
        <v>13</v>
      </c>
    </row>
    <row r="44" spans="1:13" s="8" customFormat="1" ht="11.25" customHeight="1">
      <c r="A44" s="10" t="s">
        <v>26</v>
      </c>
      <c r="B44" s="59">
        <f>COUNTIFS(Jan!$B:$B,2212,Jan!$J:$J,20)</f>
        <v>0</v>
      </c>
      <c r="C44" s="59">
        <f>COUNTIFS(Feb!$B:$B,2212,Feb!$J:$J,20)</f>
        <v>0</v>
      </c>
      <c r="D44" s="59">
        <f>COUNTIFS(Mar!$B:$B,2212,Mar!$J:$J,20)</f>
        <v>0</v>
      </c>
      <c r="E44" s="59">
        <f>COUNTIFS(Apr!$B:$B,2212,Apr!$J:$J,20)</f>
        <v>0</v>
      </c>
      <c r="F44" s="59">
        <f>COUNTIFS(May!$B:$B,2212,May!$J:$J,20)</f>
        <v>0</v>
      </c>
      <c r="G44" s="59">
        <f>COUNTIFS(Jun!$B:$B,2212,Jun!$J:$J,20)</f>
        <v>0</v>
      </c>
      <c r="H44" s="59">
        <f>COUNTIFS(Jul!$B:$B,2212,Jul!$J:$J,20)</f>
        <v>0</v>
      </c>
      <c r="I44" s="59">
        <f>COUNTIFS(Aug!$B:$B,2212,Aug!$J:$J,20)</f>
        <v>0</v>
      </c>
      <c r="J44" s="59">
        <f>COUNTIFS(Sep!$B:$B,2212,Sep!$J:$J,20)</f>
        <v>0</v>
      </c>
      <c r="K44" s="59">
        <f>COUNTIFS(Oct!$B:$B,2212,Oct!$J:$J,20)</f>
        <v>0</v>
      </c>
      <c r="L44" s="59">
        <f>COUNTIFS(Nov!$B:$B,2212,Nov!$J:$J,20)</f>
        <v>0</v>
      </c>
      <c r="M44" s="59">
        <v>0</v>
      </c>
    </row>
    <row r="45" spans="1:13" s="8" customFormat="1" ht="11.25" customHeight="1">
      <c r="A45" s="10" t="s">
        <v>32</v>
      </c>
      <c r="B45" s="59">
        <f>COUNTIFS(Jan!$B:$B,2212,Jan!$J:$J,2)</f>
        <v>9</v>
      </c>
      <c r="C45" s="59">
        <v>10</v>
      </c>
      <c r="D45" s="59">
        <v>14</v>
      </c>
      <c r="E45" s="59">
        <v>7</v>
      </c>
      <c r="F45" s="59">
        <v>11</v>
      </c>
      <c r="G45" s="59">
        <v>11</v>
      </c>
      <c r="H45" s="59">
        <v>18</v>
      </c>
      <c r="I45" s="59">
        <v>16</v>
      </c>
      <c r="J45" s="59">
        <v>12</v>
      </c>
      <c r="K45" s="59">
        <v>6</v>
      </c>
      <c r="L45" s="59">
        <v>11</v>
      </c>
      <c r="M45" s="59">
        <v>17</v>
      </c>
    </row>
    <row r="46" spans="1:13" s="8" customFormat="1" ht="11.25" customHeight="1">
      <c r="A46" s="10" t="s">
        <v>28</v>
      </c>
      <c r="B46" s="59">
        <f>COUNTIFS(Jan!$B:$B,2212,Jan!$J:$J,1700)+COUNTIFS(Jan!$B:$B,2212,Jan!$F:$F,1700)+COUNTIFS(Jan!$B:$B,2212,Jan!$J:$J,19)</f>
        <v>0</v>
      </c>
      <c r="C46" s="59">
        <f>COUNTIFS(Feb!$B:$B,2212,Feb!$J:$J,1700)+COUNTIFS(Feb!$B:$B,2212,Feb!$F:$F,1700)+COUNTIFS(Feb!$B:$B,2212,Feb!$J:$J,19)</f>
        <v>0</v>
      </c>
      <c r="D46" s="59">
        <f>COUNTIFS(Mar!$B:$B,2212,Mar!$J:$J,1700)+COUNTIFS(Mar!$B:$B,2212,Mar!$F:$F,1700)+COUNTIFS(Mar!$B:$B,2212,Mar!$J:$J,19)</f>
        <v>0</v>
      </c>
      <c r="E46" s="59">
        <f>COUNTIFS(Apr!$B:$B,2212,Apr!$J:$J,1700)+COUNTIFS(Apr!$B:$B,2212,Apr!$F:$F,1700)+COUNTIFS(Apr!$B:$B,2212,Apr!$J:$J,19)</f>
        <v>0</v>
      </c>
      <c r="F46" s="59">
        <f>COUNTIFS(May!$B:$B,2212,May!$J:$J,1700)+COUNTIFS(May!$B:$B,2212,May!$F:$F,1700)+COUNTIFS(May!$B:$B,2212,May!$J:$J,19)</f>
        <v>0</v>
      </c>
      <c r="G46" s="59">
        <f>COUNTIFS(Jun!$B:$B,2212,Jun!$J:$J,1700)+COUNTIFS(Jun!$B:$B,2212,Jun!$F:$F,1700)+COUNTIFS(Jun!$B:$B,2212,Jun!$J:$J,19)</f>
        <v>0</v>
      </c>
      <c r="H46" s="59">
        <f>COUNTIFS(Jul!$B:$B,2212,Jul!$J:$J,1700)+COUNTIFS(Jul!$B:$B,2212,Jul!$F:$F,1700)+COUNTIFS(Jul!$B:$B,2212,Jul!$J:$J,19)</f>
        <v>0</v>
      </c>
      <c r="I46" s="59">
        <v>1</v>
      </c>
      <c r="J46" s="59">
        <f>COUNTIFS(Sep!$B:$B,2212,Sep!$J:$J,1700)+COUNTIFS(Sep!$B:$B,2212,Sep!$F:$F,1700)+COUNTIFS(Sep!$B:$B,2212,Sep!$J:$J,19)</f>
        <v>0</v>
      </c>
      <c r="K46" s="59">
        <f>COUNTIFS(Oct!$B:$B,2212,Oct!$J:$J,1700)+COUNTIFS(Oct!$B:$B,2212,Oct!$F:$F,1700)+COUNTIFS(Oct!$B:$B,2212,Oct!$J:$J,19)</f>
        <v>0</v>
      </c>
      <c r="L46" s="59">
        <f>COUNTIFS(Nov!$B:$B,2212,Nov!$J:$J,1700)+COUNTIFS(Nov!$B:$B,2212,Nov!$F:$F,1700)+COUNTIFS(Nov!$B:$B,2212,Nov!$J:$J,19)</f>
        <v>0</v>
      </c>
      <c r="M46" s="59">
        <v>2</v>
      </c>
    </row>
    <row r="47" spans="1:13" s="8" customFormat="1" ht="11.25" customHeight="1">
      <c r="A47" s="10" t="s">
        <v>0</v>
      </c>
      <c r="B47" s="59">
        <f>COUNTIFS(Jan!$B:$B,2212,Jan!$J:$J,3)</f>
        <v>0</v>
      </c>
      <c r="C47" s="59">
        <v>5</v>
      </c>
      <c r="D47" s="59">
        <v>2</v>
      </c>
      <c r="E47" s="59">
        <f>COUNTIFS(Apr!$B:$B,2212,Apr!$J:$J,3)</f>
        <v>0</v>
      </c>
      <c r="F47" s="59">
        <v>1</v>
      </c>
      <c r="G47" s="59">
        <f>COUNTIFS(Jun!$B:$B,2212,Jun!$J:$J,3)</f>
        <v>0</v>
      </c>
      <c r="H47" s="59">
        <v>5</v>
      </c>
      <c r="I47" s="59">
        <v>4</v>
      </c>
      <c r="J47" s="59">
        <v>8</v>
      </c>
      <c r="K47" s="59">
        <v>2</v>
      </c>
      <c r="L47" s="59">
        <v>6</v>
      </c>
      <c r="M47" s="59">
        <v>6</v>
      </c>
    </row>
    <row r="48" spans="1:13" s="8" customFormat="1" ht="11.25" customHeight="1">
      <c r="A48" s="10" t="s">
        <v>35</v>
      </c>
      <c r="B48" s="59">
        <f>COUNTIFS(Jan!$B:$B,2212,Jan!$J:$J,7400)</f>
        <v>0</v>
      </c>
      <c r="C48" s="59">
        <f>COUNTIFS(Feb!$B:$B,2212,Feb!$J:$J,7400)</f>
        <v>0</v>
      </c>
      <c r="D48" s="59">
        <f>COUNTIFS(Mar!$B:$B,2212,Mar!$J:$J,7400)</f>
        <v>0</v>
      </c>
      <c r="E48" s="59">
        <f>COUNTIFS(Apr!$B:$B,2212,Apr!$J:$J,7400)</f>
        <v>0</v>
      </c>
      <c r="F48" s="59">
        <f>COUNTIFS(May!$B:$B,2212,May!$J:$J,7400)</f>
        <v>0</v>
      </c>
      <c r="G48" s="59">
        <f>COUNTIFS(Jun!$B:$B,2212,Jun!$J:$J,7400)</f>
        <v>0</v>
      </c>
      <c r="H48" s="59">
        <f>COUNTIFS(Jul!$B:$B,2212,Jul!$J:$J,7400)</f>
        <v>0</v>
      </c>
      <c r="I48" s="59">
        <f>COUNTIFS(Aug!$B:$B,2212,Aug!$J:$J,7400)</f>
        <v>0</v>
      </c>
      <c r="J48" s="59">
        <f>COUNTIFS(Sep!$B:$B,2212,Sep!$J:$J,7400)</f>
        <v>0</v>
      </c>
      <c r="K48" s="59">
        <f>COUNTIFS(Oct!$B:$B,2212,Oct!$J:$J,7400)</f>
        <v>0</v>
      </c>
      <c r="L48" s="59">
        <f>COUNTIFS(Nov!$B:$B,2212,Nov!$J:$J,7400)</f>
        <v>0</v>
      </c>
      <c r="M48" s="59">
        <v>0</v>
      </c>
    </row>
    <row r="49" spans="1:13" s="8" customFormat="1" ht="11.25" customHeight="1">
      <c r="A49" s="10" t="s">
        <v>2</v>
      </c>
      <c r="B49" s="59">
        <f>COUNTIFS(Jan!$B:$B,2212,Jan!$J:$J,14)</f>
        <v>1</v>
      </c>
      <c r="C49" s="59">
        <f>COUNTIFS(Feb!$B:$B,2212,Feb!$J:$J,14)</f>
        <v>0</v>
      </c>
      <c r="D49" s="59">
        <v>1</v>
      </c>
      <c r="E49" s="59">
        <v>1</v>
      </c>
      <c r="F49" s="59">
        <f>COUNTIFS(May!$B:$B,2212,May!$J:$J,14)</f>
        <v>0</v>
      </c>
      <c r="G49" s="59">
        <f>COUNTIFS(Jun!$B:$B,2212,Jun!$J:$J,14)</f>
        <v>0</v>
      </c>
      <c r="H49" s="59">
        <v>2</v>
      </c>
      <c r="I49" s="59">
        <v>2</v>
      </c>
      <c r="J49" s="59">
        <v>2</v>
      </c>
      <c r="K49" s="59">
        <f>COUNTIFS(Oct!$B:$B,2212,Oct!$J:$J,14)</f>
        <v>0</v>
      </c>
      <c r="L49" s="59">
        <f>COUNTIFS(Nov!$B:$B,2212,Nov!$J:$J,14)</f>
        <v>0</v>
      </c>
      <c r="M49" s="59">
        <v>1</v>
      </c>
    </row>
    <row r="50" spans="1:13" s="8" customFormat="1" ht="11.25" customHeight="1">
      <c r="A50" s="10" t="s">
        <v>142</v>
      </c>
      <c r="B50" s="59">
        <f>COUNTIFS(Jan!$B:$B,2212,Jan!$F:$F,466)</f>
        <v>1</v>
      </c>
      <c r="C50" s="59">
        <f>COUNTIFS(Feb!$B:$B,2212,Feb!$F:$F,466)</f>
        <v>0</v>
      </c>
      <c r="D50" s="59">
        <v>1</v>
      </c>
      <c r="E50" s="59">
        <v>1</v>
      </c>
      <c r="F50" s="59">
        <f>COUNTIFS(May!$B:$B,2212,May!$F:$F,466)</f>
        <v>0</v>
      </c>
      <c r="G50" s="59">
        <f>COUNTIFS(Jun!$B:$B,2212,Jun!$F:$F,466)</f>
        <v>0</v>
      </c>
      <c r="H50" s="59">
        <f>COUNTIFS(Jul!$B:$B,2212,Jul!$F:$F,466)</f>
        <v>0</v>
      </c>
      <c r="I50" s="59">
        <f>COUNTIFS(Aug!$B:$B,2212,Aug!$F:$F,466)</f>
        <v>0</v>
      </c>
      <c r="J50" s="59">
        <v>1</v>
      </c>
      <c r="K50" s="59">
        <f>COUNTIFS(Oct!$B:$B,2212,Oct!$F:$F,466)</f>
        <v>0</v>
      </c>
      <c r="L50" s="59">
        <f>COUNTIFS(Nov!$B:$B,2212,Nov!$F:$F,466)</f>
        <v>0</v>
      </c>
      <c r="M50" s="59">
        <v>0</v>
      </c>
    </row>
    <row r="51" spans="1:13" s="8" customFormat="1" ht="11.25" customHeight="1">
      <c r="A51" s="10" t="s">
        <v>27</v>
      </c>
      <c r="B51" s="59">
        <f>COUNTIFS(Jan!$B:$B,2212,Jan!$J:$J,25)</f>
        <v>0</v>
      </c>
      <c r="C51" s="59">
        <f>COUNTIFS(Feb!$B:$B,2212,Feb!$J:$J,25)</f>
        <v>0</v>
      </c>
      <c r="D51" s="59">
        <v>0</v>
      </c>
      <c r="E51" s="59">
        <f>COUNTIFS(Apr!$B:$B,2212,Apr!$J:$J,25)</f>
        <v>0</v>
      </c>
      <c r="F51" s="59">
        <f>COUNTIFS(May!$B:$B,2212,May!$J:$J,25)</f>
        <v>0</v>
      </c>
      <c r="G51" s="59">
        <f>COUNTIFS(Jun!$B:$B,2212,Jun!$J:$J,25)</f>
        <v>0</v>
      </c>
      <c r="H51" s="59">
        <f>COUNTIFS(Jul!$B:$B,2212,Jul!$J:$J,25)</f>
        <v>0</v>
      </c>
      <c r="I51" s="59">
        <f>COUNTIFS(Aug!$B:$B,2212,Aug!$J:$J,25)</f>
        <v>0</v>
      </c>
      <c r="J51" s="59">
        <f>COUNTIFS(Sep!$B:$B,2212,Sep!$J:$J,25)</f>
        <v>0</v>
      </c>
      <c r="K51" s="59">
        <f>COUNTIFS(Oct!$B:$B,2212,Oct!$J:$J,25)</f>
        <v>0</v>
      </c>
      <c r="L51" s="59">
        <f>COUNTIFS(Nov!$B:$B,2212,Nov!$J:$J,25)</f>
        <v>0</v>
      </c>
      <c r="M51" s="59">
        <v>0</v>
      </c>
    </row>
    <row r="52" spans="1:13" s="8" customFormat="1" ht="11.25" customHeight="1" thickBot="1">
      <c r="A52" s="11" t="s">
        <v>16</v>
      </c>
      <c r="B52" s="60">
        <f>SUM(B34:B51)</f>
        <v>89</v>
      </c>
      <c r="C52" s="60">
        <f t="shared" ref="C52:M52" si="11">SUM(C34:C51)</f>
        <v>64</v>
      </c>
      <c r="D52" s="60">
        <f>SUM(D34:D51)</f>
        <v>58</v>
      </c>
      <c r="E52" s="60">
        <f>SUM(E34:E51)</f>
        <v>28</v>
      </c>
      <c r="F52" s="60">
        <f>SUM(F34:F51)</f>
        <v>45</v>
      </c>
      <c r="G52" s="60">
        <f>SUM(G34:G51)</f>
        <v>52</v>
      </c>
      <c r="H52" s="60">
        <f t="shared" si="11"/>
        <v>73</v>
      </c>
      <c r="I52" s="60">
        <f t="shared" si="11"/>
        <v>74</v>
      </c>
      <c r="J52" s="60">
        <f t="shared" si="11"/>
        <v>70</v>
      </c>
      <c r="K52" s="60">
        <f t="shared" si="11"/>
        <v>39</v>
      </c>
      <c r="L52" s="159">
        <f t="shared" si="11"/>
        <v>46</v>
      </c>
      <c r="M52" s="170">
        <f t="shared" si="11"/>
        <v>58</v>
      </c>
    </row>
    <row r="53" spans="1:13" ht="12" customHeight="1" thickBot="1">
      <c r="A53" s="55" t="s">
        <v>137</v>
      </c>
      <c r="B53" s="50">
        <v>41275</v>
      </c>
      <c r="C53" s="47">
        <v>41306</v>
      </c>
      <c r="D53" s="47">
        <v>41334</v>
      </c>
      <c r="E53" s="47">
        <v>41365</v>
      </c>
      <c r="F53" s="47">
        <v>41395</v>
      </c>
      <c r="G53" s="47">
        <v>41426</v>
      </c>
      <c r="H53" s="47">
        <v>41456</v>
      </c>
      <c r="I53" s="47">
        <v>41487</v>
      </c>
      <c r="J53" s="47">
        <v>41518</v>
      </c>
      <c r="K53" s="47">
        <v>41548</v>
      </c>
      <c r="L53" s="47">
        <v>41579</v>
      </c>
      <c r="M53" s="51">
        <v>41609</v>
      </c>
    </row>
    <row r="54" spans="1:13" s="8" customFormat="1" ht="11.25" customHeight="1">
      <c r="A54" s="10" t="s">
        <v>30</v>
      </c>
      <c r="B54" s="57">
        <f>COUNTIFS(Jan!$B:$B,2212,Jan!$J:$J,7)</f>
        <v>0</v>
      </c>
      <c r="C54" s="57">
        <v>1</v>
      </c>
      <c r="D54" s="57">
        <v>1</v>
      </c>
      <c r="E54" s="57">
        <f>COUNTIFS(Apr!$B:$B,2212,Apr!$J:$J,7)</f>
        <v>0</v>
      </c>
      <c r="F54" s="57">
        <f>COUNTIFS(May!$B:$B,2212,May!$J:$J,7)</f>
        <v>0</v>
      </c>
      <c r="G54" s="57">
        <v>1</v>
      </c>
      <c r="H54" s="57">
        <v>5</v>
      </c>
      <c r="I54" s="57">
        <v>6</v>
      </c>
      <c r="J54" s="57">
        <v>11</v>
      </c>
      <c r="K54" s="57">
        <v>6</v>
      </c>
      <c r="L54" s="57">
        <v>6</v>
      </c>
      <c r="M54" s="57">
        <v>7</v>
      </c>
    </row>
    <row r="55" spans="1:13" s="8" customFormat="1" ht="11.25" customHeight="1">
      <c r="A55" s="10" t="s">
        <v>29</v>
      </c>
      <c r="B55" s="59">
        <f>COUNTIFS(Jan!$B:$B,2212,Jan!$J:$J,8)</f>
        <v>0</v>
      </c>
      <c r="C55" s="59">
        <f>COUNTIFS(Feb!$B:$B,2212,Feb!$J:$J,8)</f>
        <v>0</v>
      </c>
      <c r="D55" s="59">
        <f>COUNTIFS(Mar!$B:$B,2212,Mar!$J:$J,8)</f>
        <v>0</v>
      </c>
      <c r="E55" s="59">
        <f>COUNTIFS(Apr!$B:$B,2212,Apr!$J:$J,8)</f>
        <v>0</v>
      </c>
      <c r="F55" s="59">
        <f>COUNTIFS(May!$B:$B,2212,May!$J:$J,8)</f>
        <v>0</v>
      </c>
      <c r="G55" s="59">
        <f>COUNTIFS(Jun!$B:$B,2212,Jun!$J:$J,8)</f>
        <v>0</v>
      </c>
      <c r="H55" s="59">
        <f>COUNTIFS(Jul!$B:$B,2212,Jul!$J:$J,8)</f>
        <v>0</v>
      </c>
      <c r="I55" s="59">
        <f>COUNTIFS(Aug!$B:$B,2212,Aug!$J:$J,8)</f>
        <v>0</v>
      </c>
      <c r="J55" s="59">
        <f>COUNTIFS(Sep!$B:$B,2212,Sep!$J:$J,8)</f>
        <v>0</v>
      </c>
      <c r="K55" s="59">
        <f>COUNTIFS(Oct!$B:$B,2212,Oct!$J:$J,8)</f>
        <v>0</v>
      </c>
      <c r="L55" s="59">
        <v>1</v>
      </c>
      <c r="M55" s="59">
        <v>0</v>
      </c>
    </row>
    <row r="56" spans="1:13" s="8" customFormat="1" ht="11.25" customHeight="1">
      <c r="A56" s="10" t="s">
        <v>7</v>
      </c>
      <c r="B56" s="59">
        <f>COUNTIFS(Jan!$B:$B,2212,Jan!$J:$J,12)</f>
        <v>1</v>
      </c>
      <c r="C56" s="59">
        <f>COUNTIFS(Feb!$B:$B,2212,Feb!$J:$J,12)</f>
        <v>0</v>
      </c>
      <c r="D56" s="59">
        <f>COUNTIFS(Mar!$B:$B,2212,Mar!$J:$J,12)</f>
        <v>0</v>
      </c>
      <c r="E56" s="59">
        <v>12</v>
      </c>
      <c r="F56" s="59">
        <v>14</v>
      </c>
      <c r="G56" s="59">
        <v>5</v>
      </c>
      <c r="H56" s="59">
        <v>8</v>
      </c>
      <c r="I56" s="59">
        <v>8</v>
      </c>
      <c r="J56" s="59">
        <v>9</v>
      </c>
      <c r="K56" s="59">
        <v>8</v>
      </c>
      <c r="L56" s="59">
        <v>13</v>
      </c>
      <c r="M56" s="59">
        <v>22</v>
      </c>
    </row>
    <row r="57" spans="1:13" s="8" customFormat="1" ht="11.25" customHeight="1">
      <c r="A57" s="10" t="s">
        <v>10</v>
      </c>
      <c r="B57" s="59">
        <f>COUNTIFS(Jan!$B:$B,2212,Jan!$J:$J,5100)</f>
        <v>0</v>
      </c>
      <c r="C57" s="59">
        <f>COUNTIFS(Feb!$B:$B,2212,Feb!$J:$J,5100)</f>
        <v>0</v>
      </c>
      <c r="D57" s="59">
        <f>COUNTIFS(Mar!$B:$B,2212,Mar!$J:$J,5100)</f>
        <v>0</v>
      </c>
      <c r="E57" s="59">
        <f>COUNTIFS(Apr!$B:$B,2212,Apr!$J:$J,5100)</f>
        <v>0</v>
      </c>
      <c r="F57" s="59">
        <f>COUNTIFS(May!$B:$B,2212,May!$J:$J,5100)</f>
        <v>0</v>
      </c>
      <c r="G57" s="59">
        <f>COUNTIFS(Jun!$B:$B,2212,Jun!$J:$J,5100)</f>
        <v>0</v>
      </c>
      <c r="H57" s="59">
        <f>COUNTIFS(Jul!$B:$B,2212,Jul!$J:$J,5100)</f>
        <v>0</v>
      </c>
      <c r="I57" s="59">
        <v>0</v>
      </c>
      <c r="J57" s="59">
        <f>COUNTIFS(Sep!$B:$B,2212,Sep!$J:$J,5100)</f>
        <v>0</v>
      </c>
      <c r="K57" s="59">
        <f>COUNTIFS(Oct!$B:$B,2212,Oct!$J:$J,5100)</f>
        <v>0</v>
      </c>
      <c r="L57" s="59">
        <f>COUNTIFS(Nov!$B:$B,2212,Nov!$J:$J,5100)</f>
        <v>0</v>
      </c>
      <c r="M57" s="59">
        <v>0</v>
      </c>
    </row>
    <row r="58" spans="1:13" s="8" customFormat="1" ht="11.25" customHeight="1">
      <c r="A58" s="10" t="s">
        <v>36</v>
      </c>
      <c r="B58" s="59">
        <f>COUNTIFS(Jan!$B:$B,2212,Jan!$J:$J,6200)</f>
        <v>0</v>
      </c>
      <c r="C58" s="59">
        <f>COUNTIFS(Feb!$B:$B,2212,Feb!$J:$J,6200)</f>
        <v>0</v>
      </c>
      <c r="D58" s="59">
        <f>COUNTIFS(Mar!$B:$B,2212,Mar!$J:$J,6200)</f>
        <v>0</v>
      </c>
      <c r="E58" s="59">
        <f>COUNTIFS(Apr!$B:$B,2212,Apr!$J:$J,6200)</f>
        <v>0</v>
      </c>
      <c r="F58" s="59">
        <f>COUNTIFS(May!$B:$B,2212,May!$J:$J,6200)</f>
        <v>0</v>
      </c>
      <c r="G58" s="59">
        <v>1</v>
      </c>
      <c r="H58" s="59">
        <f>COUNTIFS(Jul!$B:$B,2212,Jul!$J:$J,6200)</f>
        <v>0</v>
      </c>
      <c r="I58" s="59">
        <f>COUNTIFS(Aug!$B:$B,2212,Aug!$J:$J,6200)</f>
        <v>0</v>
      </c>
      <c r="J58" s="59">
        <f>COUNTIFS(Sep!$B:$B,2212,Sep!$J:$J,6200)</f>
        <v>0</v>
      </c>
      <c r="K58" s="59">
        <f>COUNTIFS(Oct!$B:$B,2212,Oct!$J:$J,6200)</f>
        <v>0</v>
      </c>
      <c r="L58" s="59">
        <f>COUNTIFS(Nov!$B:$B,2212,Nov!$J:$J,6200)</f>
        <v>0</v>
      </c>
      <c r="M58" s="59">
        <v>0</v>
      </c>
    </row>
    <row r="59" spans="1:13" s="8" customFormat="1" ht="11.25" customHeight="1">
      <c r="A59" s="10" t="s">
        <v>145</v>
      </c>
      <c r="B59" s="59">
        <f>COUNTIFS(Jan!$B:$B,2212,Jan!$J:$J,28)</f>
        <v>0</v>
      </c>
      <c r="C59" s="59">
        <f>COUNTIFS(Feb!$B:$B,2212,Feb!$J:$J,28)</f>
        <v>0</v>
      </c>
      <c r="D59" s="59">
        <f>COUNTIFS(Mar!$B:$B,2212,Mar!$J:$J,28)</f>
        <v>0</v>
      </c>
      <c r="E59" s="59">
        <f>COUNTIFS(Apr!$B:$B,2212,Apr!$J:$J,28)</f>
        <v>0</v>
      </c>
      <c r="F59" s="59">
        <f>COUNTIFS(May!$B:$B,2212,May!$J:$J,28)</f>
        <v>0</v>
      </c>
      <c r="G59" s="59">
        <f>COUNTIFS(Jun!$B:$B,2212,Jun!$J:$J,28)</f>
        <v>0</v>
      </c>
      <c r="H59" s="59">
        <f>COUNTIFS(Jul!$B:$B,2212,Jul!$J:$J,28)</f>
        <v>0</v>
      </c>
      <c r="I59" s="59">
        <f>COUNTIFS(Aug!$B:$B,2212,Aug!$J:$J,28)</f>
        <v>0</v>
      </c>
      <c r="J59" s="59">
        <f>COUNTIFS(Sep!$B:$B,2212,Sep!$J:$J,28)</f>
        <v>0</v>
      </c>
      <c r="K59" s="59">
        <f>COUNTIFS(Oct!$B:$B,2212,Oct!$J:$J,28)</f>
        <v>0</v>
      </c>
      <c r="L59" s="59">
        <f>COUNTIFS(Nov!$B:$B,2212,Nov!$J:$J,28)</f>
        <v>0</v>
      </c>
      <c r="M59" s="59">
        <v>0</v>
      </c>
    </row>
    <row r="60" spans="1:13" s="8" customFormat="1" ht="11.25" customHeight="1">
      <c r="A60" s="10" t="s">
        <v>38</v>
      </c>
      <c r="B60" s="59">
        <f>COUNTIFS(Jan!$B:$B,2212,Jan!$J:$J,6100)</f>
        <v>0</v>
      </c>
      <c r="C60" s="59">
        <f>COUNTIFS(Feb!$B:$B,2212,Feb!$J:$J,6100)</f>
        <v>0</v>
      </c>
      <c r="D60" s="59">
        <v>1</v>
      </c>
      <c r="E60" s="59">
        <v>1</v>
      </c>
      <c r="F60" s="59">
        <v>1</v>
      </c>
      <c r="G60" s="59">
        <f>COUNTIFS(Jun!$B:$B,2212,Jun!$J:$J,6100)</f>
        <v>0</v>
      </c>
      <c r="H60" s="59">
        <v>1</v>
      </c>
      <c r="I60" s="59">
        <f>COUNTIFS(Aug!$B:$B,2212,Aug!$J:$J,6100)</f>
        <v>0</v>
      </c>
      <c r="J60" s="59">
        <v>1</v>
      </c>
      <c r="K60" s="59">
        <f>COUNTIFS(Oct!$B:$B,2212,Oct!$J:$J,6100)</f>
        <v>0</v>
      </c>
      <c r="L60" s="59">
        <v>2</v>
      </c>
      <c r="M60" s="59">
        <v>1</v>
      </c>
    </row>
    <row r="61" spans="1:13" s="8" customFormat="1" ht="11.25" customHeight="1">
      <c r="A61" s="10" t="s">
        <v>9</v>
      </c>
      <c r="B61" s="59">
        <f>COUNTIFS(Jan!$B:$B,2212,Jan!$J:$J,6)</f>
        <v>0</v>
      </c>
      <c r="C61" s="59">
        <f>COUNTIFS(Feb!$B:$B,2212,Feb!$J:$J,6)</f>
        <v>0</v>
      </c>
      <c r="D61" s="59">
        <v>1</v>
      </c>
      <c r="E61" s="59">
        <f>COUNTIFS(Apr!$B:$B,2212,Apr!$J:$J,6)</f>
        <v>0</v>
      </c>
      <c r="F61" s="59">
        <f>COUNTIFS(May!$B:$B,2212,May!$J:$J,6)</f>
        <v>0</v>
      </c>
      <c r="G61" s="59">
        <f>COUNTIFS(Jun!$B:$B,2212,Jun!$J:$J,6)</f>
        <v>0</v>
      </c>
      <c r="H61" s="59">
        <f>COUNTIFS(Jul!$B:$B,2212,Jul!$J:$J,6)</f>
        <v>0</v>
      </c>
      <c r="I61" s="59">
        <f>COUNTIFS(Aug!$B:$B,2212,Aug!$J:$J,6)</f>
        <v>0</v>
      </c>
      <c r="J61" s="59">
        <f>COUNTIFS(Sep!$B:$B,2212,Sep!$J:$J,6)</f>
        <v>0</v>
      </c>
      <c r="K61" s="59">
        <f>COUNTIFS(Oct!$B:$B,2212,Oct!$J:$J,6)</f>
        <v>0</v>
      </c>
      <c r="L61" s="59">
        <f>COUNTIFS(Nov!$B:$B,2212,Nov!$J:$J,6)</f>
        <v>0</v>
      </c>
      <c r="M61" s="59">
        <v>0</v>
      </c>
    </row>
    <row r="62" spans="1:13" s="8" customFormat="1" ht="11.25" customHeight="1">
      <c r="A62" s="10" t="s">
        <v>8</v>
      </c>
      <c r="B62" s="59">
        <f>COUNTIFS(Jan!$B:$B,2212,Jan!$J:$J,4)</f>
        <v>0</v>
      </c>
      <c r="C62" s="59">
        <f>COUNTIFS(Feb!$B:$B,2212,Feb!$J:$J,4)</f>
        <v>0</v>
      </c>
      <c r="D62" s="59">
        <f>COUNTIFS(Mar!$B:$B,2212,Mar!$J:$J,4)</f>
        <v>0</v>
      </c>
      <c r="E62" s="59">
        <f>COUNTIFS(Apr!$B:$B,2212,Apr!$J:$J,4)</f>
        <v>0</v>
      </c>
      <c r="F62" s="59">
        <f>COUNTIFS(May!$B:$B,2212,May!$J:$J,4)</f>
        <v>0</v>
      </c>
      <c r="G62" s="59">
        <f>COUNTIFS(Jun!$B:$B,2212,Jun!$J:$J,4)</f>
        <v>0</v>
      </c>
      <c r="H62" s="59">
        <f>COUNTIFS(Jul!$B:$B,2212,Jul!$J:$J,4)</f>
        <v>0</v>
      </c>
      <c r="I62" s="59">
        <f>COUNTIFS(Aug!$B:$B,2212,Aug!$J:$J,4)</f>
        <v>0</v>
      </c>
      <c r="J62" s="59">
        <f>COUNTIFS(Sep!$B:$B,2212,Sep!$J:$J,4)</f>
        <v>0</v>
      </c>
      <c r="K62" s="59">
        <f>COUNTIFS(Oct!$B:$B,2212,Oct!$J:$J,4)</f>
        <v>0</v>
      </c>
      <c r="L62" s="59">
        <f>COUNTIFS(Nov!$B:$B,2212,Nov!$J:$J,4)</f>
        <v>0</v>
      </c>
      <c r="M62" s="59">
        <v>0</v>
      </c>
    </row>
    <row r="63" spans="1:13" s="8" customFormat="1" ht="11.25" customHeight="1">
      <c r="A63" s="10" t="s">
        <v>6</v>
      </c>
      <c r="B63" s="59">
        <f>COUNTIFS(Jan!$B:$B,2212,Jan!$J:$J,5)</f>
        <v>0</v>
      </c>
      <c r="C63" s="59">
        <f>COUNTIFS(Feb!$B:$B,2212,Feb!$J:$J,5)</f>
        <v>0</v>
      </c>
      <c r="D63" s="59">
        <f>COUNTIFS(Mar!$B:$B,2212,Mar!$J:$J,5)</f>
        <v>0</v>
      </c>
      <c r="E63" s="59">
        <f>COUNTIFS(Apr!$B:$B,2212,Apr!$J:$J,5)</f>
        <v>0</v>
      </c>
      <c r="F63" s="59">
        <f>COUNTIFS(May!$B:$B,2212,May!$J:$J,5)</f>
        <v>0</v>
      </c>
      <c r="G63" s="59">
        <f>COUNTIFS(Jun!$B:$B,2212,Jun!$J:$J,5)</f>
        <v>0</v>
      </c>
      <c r="H63" s="59">
        <f>COUNTIFS(Jul!$B:$B,2212,Jul!$J:$J,5)</f>
        <v>0</v>
      </c>
      <c r="I63" s="59">
        <f>COUNTIFS(Aug!$B:$B,2212,Aug!$J:$J,5)</f>
        <v>0</v>
      </c>
      <c r="J63" s="59">
        <f>COUNTIFS(Sep!$B:$B,2212,Sep!$J:$J,5)</f>
        <v>0</v>
      </c>
      <c r="K63" s="59">
        <f>COUNTIFS(Oct!$B:$B,2212,Oct!$J:$J,5)</f>
        <v>0</v>
      </c>
      <c r="L63" s="59">
        <f>COUNTIFS(Nov!$B:$B,2212,Nov!$J:$J,5)</f>
        <v>0</v>
      </c>
      <c r="M63" s="59">
        <v>0</v>
      </c>
    </row>
    <row r="64" spans="1:13" s="8" customFormat="1" ht="11.25" customHeight="1">
      <c r="A64" s="52" t="s">
        <v>141</v>
      </c>
      <c r="B64" s="69">
        <f>COUNTIFS(Jan!$B:$B,2212,Jan!$F:$F,456)</f>
        <v>3</v>
      </c>
      <c r="C64" s="69">
        <f>COUNTIFS(Feb!$B:$B,2212,Feb!$F:$F,456)</f>
        <v>0</v>
      </c>
      <c r="D64" s="69">
        <v>5</v>
      </c>
      <c r="E64" s="69">
        <v>4</v>
      </c>
      <c r="F64" s="69">
        <v>1</v>
      </c>
      <c r="G64" s="69">
        <f>COUNTIFS(Jun!$B:$B,2212,Jun!$F:$F,456)</f>
        <v>0</v>
      </c>
      <c r="H64" s="69">
        <v>5</v>
      </c>
      <c r="I64" s="69">
        <v>3</v>
      </c>
      <c r="J64" s="69">
        <v>2</v>
      </c>
      <c r="K64" s="69">
        <v>1</v>
      </c>
      <c r="L64" s="69">
        <v>7</v>
      </c>
      <c r="M64" s="69">
        <v>1</v>
      </c>
    </row>
    <row r="65" spans="1:13" s="8" customFormat="1" ht="11.25" customHeight="1" thickBot="1">
      <c r="A65" s="12" t="s">
        <v>16</v>
      </c>
      <c r="B65" s="70">
        <f>SUM(B54:B64)</f>
        <v>4</v>
      </c>
      <c r="C65" s="70">
        <f t="shared" ref="C65:M65" si="12">SUM(C54:C64)</f>
        <v>1</v>
      </c>
      <c r="D65" s="70">
        <f t="shared" si="12"/>
        <v>8</v>
      </c>
      <c r="E65" s="70">
        <f t="shared" si="12"/>
        <v>17</v>
      </c>
      <c r="F65" s="70">
        <f t="shared" si="12"/>
        <v>16</v>
      </c>
      <c r="G65" s="70">
        <f t="shared" si="12"/>
        <v>7</v>
      </c>
      <c r="H65" s="70">
        <f t="shared" si="12"/>
        <v>19</v>
      </c>
      <c r="I65" s="70">
        <f t="shared" si="12"/>
        <v>17</v>
      </c>
      <c r="J65" s="70">
        <f t="shared" si="12"/>
        <v>23</v>
      </c>
      <c r="K65" s="70">
        <f t="shared" si="12"/>
        <v>15</v>
      </c>
      <c r="L65" s="165">
        <f t="shared" si="12"/>
        <v>29</v>
      </c>
      <c r="M65" s="170">
        <f t="shared" si="12"/>
        <v>31</v>
      </c>
    </row>
    <row r="66" spans="1:13" s="8" customFormat="1" ht="15.75" customHeight="1">
      <c r="A66" s="6"/>
      <c r="B66" s="7"/>
      <c r="C66" s="7"/>
      <c r="D66" s="7"/>
      <c r="E66" s="7"/>
      <c r="F66" s="7"/>
      <c r="G66" s="7"/>
      <c r="H66" s="7"/>
      <c r="I66" s="7"/>
      <c r="J66" s="7"/>
      <c r="K66" s="7"/>
      <c r="L66" s="7"/>
      <c r="M66" s="7"/>
    </row>
    <row r="67" spans="1:13" ht="12" customHeight="1">
      <c r="A67" s="6"/>
      <c r="B67" s="7"/>
      <c r="C67" s="7"/>
      <c r="D67" s="7"/>
      <c r="E67" s="7"/>
      <c r="F67" s="7"/>
      <c r="G67" s="7"/>
      <c r="H67" s="7"/>
      <c r="I67" s="7"/>
      <c r="J67" s="7"/>
      <c r="K67" s="7"/>
      <c r="L67" s="7"/>
      <c r="M67" s="7"/>
    </row>
  </sheetData>
  <phoneticPr fontId="0" type="noConversion"/>
  <printOptions horizontalCentered="1" verticalCentered="1"/>
  <pageMargins left="0.14000000000000001" right="0.16" top="0.25" bottom="0.5" header="0.5" footer="0.25"/>
  <pageSetup scale="95" firstPageNumber="3" orientation="portrait" useFirstPageNumber="1" r:id="rId1"/>
  <headerFooter alignWithMargins="0">
    <oddFooter>&amp;R37 of 51</oddFooter>
  </headerFooter>
  <ignoredErrors>
    <ignoredError sqref="M32 M52 M65" formulaRange="1"/>
  </ignoredErrors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67"/>
  <sheetViews>
    <sheetView view="pageBreakPreview" topLeftCell="A13" zoomScale="90" zoomScaleNormal="100" zoomScaleSheetLayoutView="90" workbookViewId="0">
      <selection activeCell="M65" sqref="M65"/>
    </sheetView>
  </sheetViews>
  <sheetFormatPr defaultRowHeight="12.75"/>
  <cols>
    <col min="1" max="1" width="22.85546875" style="1" customWidth="1"/>
    <col min="2" max="13" width="7.140625" style="1" customWidth="1"/>
    <col min="14" max="14" width="4.42578125" style="1" customWidth="1"/>
    <col min="15" max="16384" width="9.140625" style="1"/>
  </cols>
  <sheetData>
    <row r="1" spans="1:21" ht="18" customHeight="1">
      <c r="A1" s="130"/>
      <c r="B1" s="131"/>
      <c r="C1" s="131"/>
      <c r="D1" s="131"/>
      <c r="E1" s="131"/>
      <c r="F1" s="131"/>
      <c r="G1" s="130"/>
      <c r="H1" s="130"/>
      <c r="I1" s="131"/>
      <c r="J1" s="131"/>
      <c r="K1" s="131"/>
      <c r="L1" s="130"/>
      <c r="M1" s="143" t="s">
        <v>22</v>
      </c>
    </row>
    <row r="2" spans="1:21" ht="18" customHeight="1">
      <c r="A2" s="130"/>
      <c r="B2" s="135"/>
      <c r="C2" s="135"/>
      <c r="D2" s="135"/>
      <c r="E2" s="135"/>
      <c r="F2" s="135"/>
      <c r="G2" s="130"/>
      <c r="H2" s="130"/>
      <c r="I2" s="135"/>
      <c r="J2" s="135"/>
      <c r="K2" s="135"/>
      <c r="L2" s="130"/>
      <c r="M2" s="155" t="s">
        <v>13</v>
      </c>
    </row>
    <row r="3" spans="1:21" s="5" customFormat="1" ht="18" customHeight="1">
      <c r="A3" s="133"/>
      <c r="B3" s="133"/>
      <c r="C3" s="133"/>
      <c r="D3" s="133"/>
      <c r="E3" s="133"/>
      <c r="F3" s="133"/>
      <c r="G3" s="133"/>
      <c r="H3" s="133"/>
      <c r="I3" s="133"/>
      <c r="J3" s="136"/>
      <c r="K3" s="136"/>
      <c r="L3" s="133"/>
      <c r="M3" s="155" t="s">
        <v>78</v>
      </c>
      <c r="N3" s="134"/>
      <c r="O3" s="134"/>
      <c r="P3" s="134"/>
      <c r="Q3" s="134"/>
      <c r="R3" s="134"/>
      <c r="S3" s="134"/>
      <c r="T3" s="134"/>
      <c r="U3" s="134"/>
    </row>
    <row r="4" spans="1:21" s="8" customFormat="1" ht="6.75" customHeight="1" thickBot="1">
      <c r="A4" s="38"/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</row>
    <row r="5" spans="1:21" s="8" customFormat="1" ht="11.25" customHeight="1" thickBot="1">
      <c r="A5" s="53" t="s">
        <v>19</v>
      </c>
      <c r="B5" s="50">
        <v>41275</v>
      </c>
      <c r="C5" s="47">
        <v>41306</v>
      </c>
      <c r="D5" s="47">
        <v>41334</v>
      </c>
      <c r="E5" s="47">
        <v>41365</v>
      </c>
      <c r="F5" s="47">
        <v>41395</v>
      </c>
      <c r="G5" s="47">
        <v>41426</v>
      </c>
      <c r="H5" s="47">
        <v>41456</v>
      </c>
      <c r="I5" s="47">
        <v>41487</v>
      </c>
      <c r="J5" s="47">
        <v>41518</v>
      </c>
      <c r="K5" s="47">
        <v>41548</v>
      </c>
      <c r="L5" s="47">
        <v>41579</v>
      </c>
      <c r="M5" s="51">
        <v>41609</v>
      </c>
    </row>
    <row r="6" spans="1:21" s="8" customFormat="1" ht="11.25" customHeight="1">
      <c r="A6" s="41" t="s">
        <v>129</v>
      </c>
      <c r="B6" s="57">
        <f t="shared" ref="B6:L6" si="0">B32</f>
        <v>0</v>
      </c>
      <c r="C6" s="57">
        <f t="shared" si="0"/>
        <v>0</v>
      </c>
      <c r="D6" s="57">
        <f t="shared" si="0"/>
        <v>0</v>
      </c>
      <c r="E6" s="57">
        <f t="shared" si="0"/>
        <v>0</v>
      </c>
      <c r="F6" s="57">
        <f t="shared" si="0"/>
        <v>0</v>
      </c>
      <c r="G6" s="57">
        <f t="shared" si="0"/>
        <v>0</v>
      </c>
      <c r="H6" s="57">
        <f t="shared" si="0"/>
        <v>0</v>
      </c>
      <c r="I6" s="57">
        <f t="shared" si="0"/>
        <v>0</v>
      </c>
      <c r="J6" s="57">
        <f t="shared" si="0"/>
        <v>0</v>
      </c>
      <c r="K6" s="57">
        <f t="shared" si="0"/>
        <v>0</v>
      </c>
      <c r="L6" s="156">
        <f t="shared" si="0"/>
        <v>0</v>
      </c>
      <c r="M6" s="168">
        <v>0</v>
      </c>
    </row>
    <row r="7" spans="1:21" s="8" customFormat="1" ht="11.25" customHeight="1">
      <c r="A7" s="42" t="s">
        <v>18</v>
      </c>
      <c r="B7" s="57">
        <f t="shared" ref="B7:L7" si="1">SUM(B10:B12)</f>
        <v>0</v>
      </c>
      <c r="C7" s="57">
        <f t="shared" si="1"/>
        <v>0</v>
      </c>
      <c r="D7" s="57">
        <f t="shared" si="1"/>
        <v>0</v>
      </c>
      <c r="E7" s="57">
        <f t="shared" si="1"/>
        <v>0</v>
      </c>
      <c r="F7" s="57">
        <f t="shared" si="1"/>
        <v>0</v>
      </c>
      <c r="G7" s="57">
        <f t="shared" si="1"/>
        <v>0</v>
      </c>
      <c r="H7" s="57">
        <f t="shared" si="1"/>
        <v>0</v>
      </c>
      <c r="I7" s="57">
        <f t="shared" si="1"/>
        <v>0</v>
      </c>
      <c r="J7" s="57">
        <f t="shared" si="1"/>
        <v>0</v>
      </c>
      <c r="K7" s="57">
        <f t="shared" si="1"/>
        <v>0</v>
      </c>
      <c r="L7" s="156">
        <f t="shared" si="1"/>
        <v>0</v>
      </c>
      <c r="M7" s="171">
        <v>0</v>
      </c>
    </row>
    <row r="8" spans="1:21" s="8" customFormat="1" ht="11.25" customHeight="1" thickBot="1">
      <c r="A8" s="43" t="s">
        <v>14</v>
      </c>
      <c r="B8" s="58">
        <f t="shared" ref="B8:L8" si="2">SUM(B6:B7)</f>
        <v>0</v>
      </c>
      <c r="C8" s="58">
        <f t="shared" si="2"/>
        <v>0</v>
      </c>
      <c r="D8" s="58">
        <f t="shared" si="2"/>
        <v>0</v>
      </c>
      <c r="E8" s="58">
        <f t="shared" si="2"/>
        <v>0</v>
      </c>
      <c r="F8" s="58">
        <f t="shared" si="2"/>
        <v>0</v>
      </c>
      <c r="G8" s="58">
        <f t="shared" si="2"/>
        <v>0</v>
      </c>
      <c r="H8" s="58">
        <f t="shared" si="2"/>
        <v>0</v>
      </c>
      <c r="I8" s="58">
        <f t="shared" si="2"/>
        <v>0</v>
      </c>
      <c r="J8" s="58">
        <f t="shared" si="2"/>
        <v>0</v>
      </c>
      <c r="K8" s="58">
        <f t="shared" si="2"/>
        <v>0</v>
      </c>
      <c r="L8" s="157">
        <f t="shared" si="2"/>
        <v>0</v>
      </c>
      <c r="M8" s="172">
        <v>0</v>
      </c>
    </row>
    <row r="9" spans="1:21" s="8" customFormat="1" ht="11.25" customHeight="1" thickBot="1">
      <c r="A9" s="54" t="s">
        <v>18</v>
      </c>
      <c r="B9" s="50">
        <v>41275</v>
      </c>
      <c r="C9" s="47">
        <v>41306</v>
      </c>
      <c r="D9" s="47">
        <v>41334</v>
      </c>
      <c r="E9" s="47">
        <v>41365</v>
      </c>
      <c r="F9" s="47">
        <v>41395</v>
      </c>
      <c r="G9" s="47">
        <v>41426</v>
      </c>
      <c r="H9" s="47">
        <v>41456</v>
      </c>
      <c r="I9" s="47">
        <v>41487</v>
      </c>
      <c r="J9" s="47">
        <v>41518</v>
      </c>
      <c r="K9" s="47">
        <v>41548</v>
      </c>
      <c r="L9" s="47">
        <v>41579</v>
      </c>
      <c r="M9" s="51">
        <v>41609</v>
      </c>
    </row>
    <row r="10" spans="1:21" s="8" customFormat="1" ht="11.25" customHeight="1">
      <c r="A10" s="9" t="s">
        <v>128</v>
      </c>
      <c r="B10" s="57">
        <f t="shared" ref="B10:L10" si="3">B52</f>
        <v>0</v>
      </c>
      <c r="C10" s="57">
        <f t="shared" si="3"/>
        <v>0</v>
      </c>
      <c r="D10" s="57">
        <f t="shared" si="3"/>
        <v>0</v>
      </c>
      <c r="E10" s="57">
        <f t="shared" si="3"/>
        <v>0</v>
      </c>
      <c r="F10" s="57">
        <f t="shared" si="3"/>
        <v>0</v>
      </c>
      <c r="G10" s="59">
        <f t="shared" si="3"/>
        <v>0</v>
      </c>
      <c r="H10" s="59">
        <f t="shared" si="3"/>
        <v>0</v>
      </c>
      <c r="I10" s="59">
        <f t="shared" si="3"/>
        <v>0</v>
      </c>
      <c r="J10" s="59">
        <f t="shared" si="3"/>
        <v>0</v>
      </c>
      <c r="K10" s="59">
        <f t="shared" si="3"/>
        <v>0</v>
      </c>
      <c r="L10" s="158">
        <f t="shared" si="3"/>
        <v>0</v>
      </c>
      <c r="M10" s="168">
        <v>0</v>
      </c>
    </row>
    <row r="11" spans="1:21" s="8" customFormat="1" ht="11.25" customHeight="1">
      <c r="A11" s="9" t="s">
        <v>127</v>
      </c>
      <c r="B11" s="59">
        <f t="shared" ref="B11:L11" si="4">B65</f>
        <v>0</v>
      </c>
      <c r="C11" s="59">
        <f t="shared" si="4"/>
        <v>0</v>
      </c>
      <c r="D11" s="59">
        <f t="shared" si="4"/>
        <v>0</v>
      </c>
      <c r="E11" s="59">
        <f t="shared" si="4"/>
        <v>0</v>
      </c>
      <c r="F11" s="59">
        <f t="shared" si="4"/>
        <v>0</v>
      </c>
      <c r="G11" s="59">
        <f t="shared" si="4"/>
        <v>0</v>
      </c>
      <c r="H11" s="59">
        <f t="shared" si="4"/>
        <v>0</v>
      </c>
      <c r="I11" s="59">
        <f t="shared" si="4"/>
        <v>0</v>
      </c>
      <c r="J11" s="59">
        <f t="shared" si="4"/>
        <v>0</v>
      </c>
      <c r="K11" s="59">
        <f t="shared" si="4"/>
        <v>0</v>
      </c>
      <c r="L11" s="158">
        <f t="shared" si="4"/>
        <v>0</v>
      </c>
      <c r="M11" s="169">
        <v>0</v>
      </c>
    </row>
    <row r="12" spans="1:21" s="8" customFormat="1" ht="11.25" customHeight="1" thickBot="1">
      <c r="A12" s="2" t="s">
        <v>12</v>
      </c>
      <c r="B12" s="60">
        <f>COUNTIFS(Jan!$B:$B,2221,Jan!$F:$F,800)</f>
        <v>0</v>
      </c>
      <c r="C12" s="60">
        <f>COUNTIFS(Feb!$B:$B,2221,Feb!$F:$F,800)</f>
        <v>0</v>
      </c>
      <c r="D12" s="60">
        <f>COUNTIFS(Mar!$B:$B,2221,Mar!$F:$F,800)</f>
        <v>0</v>
      </c>
      <c r="E12" s="60">
        <f>COUNTIFS(Apr!$B:$B,2221,Apr!$F:$F,800)</f>
        <v>0</v>
      </c>
      <c r="F12" s="60">
        <f>COUNTIFS(May!$B:$B,2221,May!$F:$F,800)</f>
        <v>0</v>
      </c>
      <c r="G12" s="60">
        <f>COUNTIFS(Jun!$B:$B,2221,Jun!$F:$F,800)</f>
        <v>0</v>
      </c>
      <c r="H12" s="60">
        <f>COUNTIFS(Jul!$B:$B,2221,Jul!$F:$F,800)</f>
        <v>0</v>
      </c>
      <c r="I12" s="60">
        <f>COUNTIFS(Aug!$B:$B,2221,Aug!$F:$F,800)</f>
        <v>0</v>
      </c>
      <c r="J12" s="60">
        <f>COUNTIFS(Sep!$B:$B,2221,Sep!$F:$F,800)</f>
        <v>0</v>
      </c>
      <c r="K12" s="60">
        <f>COUNTIFS(Oct!$B:$B,2221,Oct!$F:$F,800)</f>
        <v>0</v>
      </c>
      <c r="L12" s="60">
        <f>COUNTIFS(Nov!$B:$B,2221,Nov!$F:$F,800)</f>
        <v>0</v>
      </c>
      <c r="M12" s="60">
        <v>0</v>
      </c>
    </row>
    <row r="13" spans="1:21" s="8" customFormat="1" ht="5.0999999999999996" customHeight="1" thickBot="1">
      <c r="A13" s="3"/>
      <c r="B13" s="17"/>
      <c r="C13" s="17"/>
      <c r="D13" s="17"/>
      <c r="E13" s="17"/>
      <c r="F13" s="17"/>
      <c r="G13" s="17"/>
      <c r="H13" s="17"/>
      <c r="I13" s="17"/>
      <c r="J13" s="17"/>
      <c r="K13" s="17"/>
      <c r="L13" s="17"/>
      <c r="M13" s="147">
        <v>0</v>
      </c>
    </row>
    <row r="14" spans="1:21" s="16" customFormat="1" ht="11.25" customHeight="1">
      <c r="A14" s="44" t="s">
        <v>131</v>
      </c>
      <c r="B14" s="120"/>
      <c r="C14" s="120"/>
      <c r="D14" s="120"/>
      <c r="E14" s="120"/>
      <c r="F14" s="120"/>
      <c r="G14" s="120"/>
      <c r="H14" s="119"/>
      <c r="I14" s="61"/>
      <c r="J14" s="61"/>
      <c r="K14" s="118"/>
      <c r="L14" s="160"/>
      <c r="M14" s="173"/>
      <c r="O14" s="22"/>
      <c r="P14" s="22"/>
      <c r="Q14" s="22"/>
    </row>
    <row r="15" spans="1:21" s="8" customFormat="1" ht="11.25" customHeight="1">
      <c r="A15" s="45" t="s">
        <v>132</v>
      </c>
      <c r="B15" s="62" t="str">
        <f>IFERROR((SUMIFS(Jan!$N:$N,Jan!$J:$J,1,Jan!$B:$B,2221)+SUMIFS(Jan!$N:$N,Jan!$D:$D,"&gt;1",Jan!$B:$B,2221))/(COUNTIFS(Jan!$J:$J,1,Jan!$B:$B,2221)+COUNTIFS(Jan!$D:$D,"&gt;1",Jan!$B:$B,2221)),"")</f>
        <v/>
      </c>
      <c r="C15" s="62" t="str">
        <f ca="1">IFERROR((SUMIFS(Feb!$N:$N,Feb!$J:$J,1,Feb!$B:$B,2221)+SUMIFS(Feb!$N:$N,Feb!$D:$D,"&gt;1",Feb!$B:$B,2221))/(COUNTIFS(Feb!$J:$J,1,Feb!$B:$B,2221)+COUNTIFS(Feb!$D:$D,"&gt;1",Feb!$B:$B,2221)),"")</f>
        <v/>
      </c>
      <c r="D15" s="62" t="str">
        <f ca="1">IFERROR((SUMIFS(Mar!$N:$N,Mar!$J:$J,1,Mar!$B:$B,2221)+SUMIFS(Mar!$N:$N,Mar!$D:$D,"&gt;1",Mar!$B:$B,2221))/(COUNTIFS(Mar!$J:$J,1,Mar!$B:$B,2221)+COUNTIFS(Mar!$D:$D,"&gt;1",Mar!$B:$B,2221)),"")</f>
        <v/>
      </c>
      <c r="E15" s="62" t="str">
        <f ca="1">IFERROR((SUMIFS(Apr!$N:$N,Apr!$J:$J,1,Apr!$B:$B,2221)+SUMIFS(Apr!$N:$N,Apr!$D:$D,"&gt;1",Apr!$B:$B,2221))/(COUNTIFS(Apr!$J:$J,1,Apr!$B:$B,2221)+COUNTIFS(Apr!$D:$D,"&gt;1",Apr!$B:$B,2221)),"")</f>
        <v/>
      </c>
      <c r="F15" s="62" t="str">
        <f ca="1">IFERROR((SUMIFS(May!$N:$N,May!$J:$J,1,May!$B:$B,2221)+SUMIFS(May!$N:$N,May!$D:$D,"&gt;1",May!$B:$B,2221))/(COUNTIFS(May!$J:$J,1,May!$B:$B,2221)+COUNTIFS(May!$D:$D,"&gt;1",May!$B:$B,2221)),"")</f>
        <v/>
      </c>
      <c r="G15" s="62" t="str">
        <f ca="1">IFERROR((SUMIFS(Jun!$N:$N,Jun!$J:$J,1,Jun!$B:$B,2221)+SUMIFS(Jun!$N:$N,Jun!$D:$D,"&gt;1",Jun!$B:$B,2221))/(COUNTIFS(Jun!$J:$J,1,Jun!$B:$B,2221)+COUNTIFS(Jun!$D:$D,"&gt;1",Jun!$B:$B,2221)),"")</f>
        <v/>
      </c>
      <c r="H15" s="62" t="str">
        <f ca="1">IFERROR((SUMIFS(Jul!$N:$N,Jul!$J:$J,1,Jul!$B:$B,2221)+SUMIFS(Jul!$N:$N,Jul!$D:$D,"&gt;1",Jul!$B:$B,2221))/(COUNTIFS(Jul!$J:$J,1,Jul!$B:$B,2221)+COUNTIFS(Jul!$D:$D,"&gt;1",Jul!$B:$B,2221)),"")</f>
        <v/>
      </c>
      <c r="I15" s="62" t="str">
        <f ca="1">IFERROR((SUMIFS(Aug!$N:$N,Aug!$J:$J,1,Aug!$B:$B,2221)+SUMIFS(Aug!$N:$N,Aug!$D:$D,"&gt;1",Aug!$B:$B,2221))/(COUNTIFS(Aug!$J:$J,1,Aug!$B:$B,2221)+COUNTIFS(Aug!$D:$D,"&gt;1",Aug!$B:$B,2221)),"")</f>
        <v/>
      </c>
      <c r="J15" s="62" t="str">
        <f ca="1">IFERROR((SUMIFS(Sep!$N:$N,Sep!$J:$J,1,Sep!$B:$B,2221)+SUMIFS(Sep!$N:$N,Sep!$D:$D,"&gt;1",Sep!$B:$B,2221))/(COUNTIFS(Sep!$J:$J,1,Sep!$B:$B,2221)+COUNTIFS(Sep!$D:$D,"&gt;1",Sep!$B:$B,2221)),"")</f>
        <v/>
      </c>
      <c r="K15" s="62" t="str">
        <f ca="1">IFERROR((SUMIFS(Oct!$N:$N,Oct!$J:$J,1,Oct!$B:$B,2221)+SUMIFS(Oct!$N:$N,Oct!$D:$D,"&gt;1",Oct!$B:$B,2221))/(COUNTIFS(Oct!$J:$J,1,Oct!$B:$B,2221)+COUNTIFS(Oct!$D:$D,"&gt;1",Oct!$B:$B,2221)),"")</f>
        <v/>
      </c>
      <c r="L15" s="62" t="str">
        <f ca="1">IFERROR((SUMIFS(Nov!$N:$N,Nov!$J:$J,1,Nov!$B:$B,2221)+SUMIFS(Nov!$N:$N,Nov!$D:$D,"&gt;1",Nov!$B:$B,2221))/(COUNTIFS(Nov!$J:$J,1,Nov!$B:$B,2221)+COUNTIFS(Nov!$D:$D,"&gt;1",Nov!$B:$B,2221)),"")</f>
        <v/>
      </c>
      <c r="M15" s="62" t="str">
        <f>IFERROR((SUMIFS(#REF!,#REF!,1,#REF!,2221)+SUMIFS(#REF!,#REF!,"&gt;1",#REF!,2221))/(COUNTIFS(#REF!,1,#REF!,2221)+COUNTIFS(#REF!,"&gt;1",#REF!,2221)),"")</f>
        <v/>
      </c>
      <c r="N15" s="15"/>
      <c r="O15" s="1"/>
      <c r="P15" s="1"/>
      <c r="Q15" s="1"/>
    </row>
    <row r="16" spans="1:21" s="8" customFormat="1" ht="11.25" customHeight="1">
      <c r="A16" s="45" t="s">
        <v>133</v>
      </c>
      <c r="B16" s="62" t="str">
        <f>IFERROR(AVERAGEIFS(Jan!$N:$N,Jan!$F:$F,800,Jan!$B:$B,2221),"")</f>
        <v/>
      </c>
      <c r="C16" s="62" t="str">
        <f ca="1">IFERROR(AVERAGEIFS(Feb!$N:$N,Feb!$F:$F,800,Feb!$B:$B,2221),"")</f>
        <v/>
      </c>
      <c r="D16" s="62" t="str">
        <f ca="1">IFERROR(AVERAGEIFS(Mar!$N:$N,Mar!$F:$F,800,Mar!$B:$B,2221),"")</f>
        <v/>
      </c>
      <c r="E16" s="62" t="str">
        <f ca="1">IFERROR(AVERAGEIFS(Apr!$N:$N,Apr!$F:$F,800,Apr!$B:$B,2221),"")</f>
        <v/>
      </c>
      <c r="F16" s="62" t="str">
        <f ca="1">IFERROR(AVERAGEIFS(May!$N:$N,May!$F:$F,800,May!$B:$B,2221),"")</f>
        <v/>
      </c>
      <c r="G16" s="62" t="str">
        <f ca="1">IFERROR(AVERAGEIFS(Jun!$N:$N,Jun!$F:$F,800,Jun!$B:$B,2221),"")</f>
        <v/>
      </c>
      <c r="H16" s="62" t="str">
        <f ca="1">IFERROR(AVERAGEIFS(Jul!$N:$N,Jul!$F:$F,800,Jul!$B:$B,2221),"")</f>
        <v/>
      </c>
      <c r="I16" s="62" t="str">
        <f ca="1">IFERROR(AVERAGEIFS(Aug!$N:$N,Aug!$F:$F,800,Aug!$B:$B,2221),"")</f>
        <v/>
      </c>
      <c r="J16" s="62" t="str">
        <f ca="1">IFERROR(AVERAGEIFS(Sep!$N:$N,Sep!$F:$F,800,Sep!$B:$B,2221),"")</f>
        <v/>
      </c>
      <c r="K16" s="62" t="str">
        <f ca="1">IFERROR(AVERAGEIFS(Oct!$N:$N,Oct!$F:$F,800,Oct!$B:$B,2221),"")</f>
        <v/>
      </c>
      <c r="L16" s="62" t="str">
        <f ca="1">IFERROR(AVERAGEIFS(Nov!$N:$N,Nov!$F:$F,800,Nov!$B:$B,2221),"")</f>
        <v/>
      </c>
      <c r="M16" s="62" t="str">
        <f>IFERROR(AVERAGEIFS(#REF!,#REF!,800,#REF!,2221),"")</f>
        <v/>
      </c>
      <c r="O16" s="1"/>
      <c r="P16" s="1"/>
      <c r="Q16" s="1"/>
    </row>
    <row r="17" spans="1:17" s="8" customFormat="1" ht="11.25" customHeight="1">
      <c r="A17" s="45" t="s">
        <v>134</v>
      </c>
      <c r="B17" s="63" t="str">
        <f>IFERROR((SUMIFS(Jan!$M:$M,Jan!$J:$J,1,Jan!$B:$B,2221)+SUMIFS(Jan!$M:$M,Jan!$D:$D,"&gt;1",Jan!$B:$B,2221))/(COUNTIFS(Jan!$J:$J,1,Jan!$B:$B,2221)+COUNTIFS(Jan!$D:$D,"&gt;1",Jan!$B:$B,2221)),"")</f>
        <v/>
      </c>
      <c r="C17" s="63" t="str">
        <f ca="1">IFERROR((SUMIFS(Feb!$M:$M,Feb!$J:$J,1,Feb!$B:$B,2221)+SUMIFS(Feb!$M:$M,Feb!$D:$D,"&gt;1",Feb!$B:$B,2221))/(COUNTIFS(Feb!$J:$J,1,Feb!$B:$B,2221)+COUNTIFS(Feb!$D:$D,"&gt;1",Feb!$B:$B,2221)),"")</f>
        <v/>
      </c>
      <c r="D17" s="63" t="str">
        <f ca="1">IFERROR((SUMIFS(Mar!$M:$M,Mar!$J:$J,1,Mar!$B:$B,2221)+SUMIFS(Mar!$M:$M,Mar!$D:$D,"&gt;1",Mar!$B:$B,2221))/(COUNTIFS(Mar!$J:$J,1,Mar!$B:$B,2221)+COUNTIFS(Mar!$D:$D,"&gt;1",Mar!$B:$B,2221)),"")</f>
        <v/>
      </c>
      <c r="E17" s="63" t="str">
        <f ca="1">IFERROR((SUMIFS(Apr!$M:$M,Apr!$J:$J,1,Apr!$B:$B,2221)+SUMIFS(Apr!$M:$M,Apr!$D:$D,"&gt;1",Apr!$B:$B,2221))/(COUNTIFS(Apr!$J:$J,1,Apr!$B:$B,2221)+COUNTIFS(Apr!$D:$D,"&gt;1",Apr!$B:$B,2221)),"")</f>
        <v/>
      </c>
      <c r="F17" s="63" t="str">
        <f ca="1">IFERROR((SUMIFS(May!$M:$M,May!$J:$J,1,May!$B:$B,2221)+SUMIFS(May!$M:$M,May!$D:$D,"&gt;1",May!$B:$B,2221))/(COUNTIFS(May!$J:$J,1,May!$B:$B,2221)+COUNTIFS(May!$D:$D,"&gt;1",May!$B:$B,2221)),"")</f>
        <v/>
      </c>
      <c r="G17" s="63" t="str">
        <f ca="1">IFERROR((SUMIFS(Jun!$M:$M,Jun!$J:$J,1,Jun!$B:$B,2221)+SUMIFS(Jun!$M:$M,Jun!$D:$D,"&gt;1",Jun!$B:$B,2221))/(COUNTIFS(Jun!$J:$J,1,Jun!$B:$B,2221)+COUNTIFS(Jun!$D:$D,"&gt;1",Jun!$B:$B,2221)),"")</f>
        <v/>
      </c>
      <c r="H17" s="63" t="str">
        <f ca="1">IFERROR((SUMIFS(Jul!$M:$M,Jul!$J:$J,1,Jul!$B:$B,2221)+SUMIFS(Jul!$M:$M,Jul!$D:$D,"&gt;1",Jul!$B:$B,2221))/(COUNTIFS(Jul!$J:$J,1,Jul!$B:$B,2221)+COUNTIFS(Jul!$D:$D,"&gt;1",Jul!$B:$B,2221)),"")</f>
        <v/>
      </c>
      <c r="I17" s="63" t="str">
        <f ca="1">IFERROR((SUMIFS(Aug!$M:$M,Aug!$J:$J,1,Aug!$B:$B,2221)+SUMIFS(Aug!$M:$M,Aug!$D:$D,"&gt;1",Aug!$B:$B,2221))/(COUNTIFS(Aug!$J:$J,1,Aug!$B:$B,2221)+COUNTIFS(Aug!$D:$D,"&gt;1",Aug!$B:$B,2221)),"")</f>
        <v/>
      </c>
      <c r="J17" s="63" t="str">
        <f ca="1">IFERROR((SUMIFS(Sep!$M:$M,Sep!$J:$J,1,Sep!$B:$B,2221)+SUMIFS(Sep!$M:$M,Sep!$D:$D,"&gt;1",Sep!$B:$B,2221))/(COUNTIFS(Sep!$J:$J,1,Sep!$B:$B,2221)+COUNTIFS(Sep!$D:$D,"&gt;1",Sep!$B:$B,2221)),"")</f>
        <v/>
      </c>
      <c r="K17" s="63" t="str">
        <f ca="1">IFERROR((SUMIFS(Oct!$M:$M,Oct!$J:$J,1,Oct!$B:$B,2221)+SUMIFS(Oct!$M:$M,Oct!$D:$D,"&gt;1",Oct!$B:$B,2221))/(COUNTIFS(Oct!$J:$J,1,Oct!$B:$B,2221)+COUNTIFS(Oct!$D:$D,"&gt;1",Oct!$B:$B,2221)),"")</f>
        <v/>
      </c>
      <c r="L17" s="63" t="str">
        <f ca="1">IFERROR((SUMIFS(Nov!$M:$M,Nov!$J:$J,1,Nov!$B:$B,2221)+SUMIFS(Nov!$M:$M,Nov!$D:$D,"&gt;1",Nov!$B:$B,2221))/(COUNTIFS(Nov!$J:$J,1,Nov!$B:$B,2221)+COUNTIFS(Nov!$D:$D,"&gt;1",Nov!$B:$B,2221)),"")</f>
        <v/>
      </c>
      <c r="M17" s="63" t="str">
        <f>IFERROR((SUMIFS(#REF!,#REF!,1,#REF!,2221)+SUMIFS(#REF!,#REF!,"&gt;1",#REF!,2221))/(COUNTIFS(#REF!,1,#REF!,2221)+COUNTIFS(#REF!,"&gt;1",#REF!,2221)),"")</f>
        <v/>
      </c>
      <c r="O17" s="1"/>
      <c r="P17" s="1"/>
      <c r="Q17" s="1"/>
    </row>
    <row r="18" spans="1:17" s="8" customFormat="1" ht="11.25" customHeight="1" thickBot="1">
      <c r="A18" s="43" t="s">
        <v>135</v>
      </c>
      <c r="B18" s="64" t="str">
        <f>IFERROR(AVERAGEIFS(Jan!$M:$M,Jan!$F:$F,800,Jan!$B:$B,2221),"")</f>
        <v/>
      </c>
      <c r="C18" s="64" t="str">
        <f ca="1">IFERROR(AVERAGEIFS(Feb!$M:$M,Feb!$F:$F,800,Feb!$B:$B,2221),"")</f>
        <v/>
      </c>
      <c r="D18" s="64" t="str">
        <f ca="1">IFERROR(AVERAGEIFS(Mar!$M:$M,Mar!$F:$F,800,Mar!$B:$B,2221),"")</f>
        <v/>
      </c>
      <c r="E18" s="64" t="str">
        <f ca="1">IFERROR(AVERAGEIFS(Apr!$M:$M,Apr!$F:$F,800,Apr!$B:$B,2221),"")</f>
        <v/>
      </c>
      <c r="F18" s="64" t="str">
        <f ca="1">IFERROR(AVERAGEIFS(May!$M:$M,May!$F:$F,800,May!$B:$B,2221),"")</f>
        <v/>
      </c>
      <c r="G18" s="64" t="str">
        <f ca="1">IFERROR(AVERAGEIFS(Jun!$M:$M,Jun!$F:$F,800,Jun!$B:$B,2221),"")</f>
        <v/>
      </c>
      <c r="H18" s="64" t="str">
        <f ca="1">IFERROR(AVERAGEIFS(Jul!$M:$M,Jul!$F:$F,800,Jul!$B:$B,2221),"")</f>
        <v/>
      </c>
      <c r="I18" s="64" t="str">
        <f ca="1">IFERROR(AVERAGEIFS(Aug!$M:$M,Aug!$F:$F,800,Aug!$B:$B,2221),"")</f>
        <v/>
      </c>
      <c r="J18" s="64" t="str">
        <f ca="1">IFERROR(AVERAGEIFS(Sep!$M:$M,Sep!$F:$F,800,Sep!$B:$B,2221),"")</f>
        <v/>
      </c>
      <c r="K18" s="64" t="str">
        <f ca="1">IFERROR(AVERAGEIFS(Oct!$M:$M,Oct!$F:$F,800,Oct!$B:$B,2221),"")</f>
        <v/>
      </c>
      <c r="L18" s="64" t="str">
        <f ca="1">IFERROR(AVERAGEIFS(Nov!$M:$M,Nov!$F:$F,800,Nov!$B:$B,2221),"")</f>
        <v/>
      </c>
      <c r="M18" s="64" t="str">
        <f>IFERROR(AVERAGEIFS(#REF!,#REF!,800,#REF!,2221),"")</f>
        <v/>
      </c>
    </row>
    <row r="19" spans="1:17" s="8" customFormat="1" ht="5.0999999999999996" customHeight="1" thickBot="1">
      <c r="A19" s="3"/>
      <c r="B19" s="17"/>
      <c r="C19" s="17"/>
      <c r="D19" s="17"/>
      <c r="E19" s="17"/>
      <c r="F19" s="17"/>
      <c r="G19" s="17"/>
      <c r="H19" s="17"/>
      <c r="I19" s="17"/>
      <c r="J19" s="17"/>
      <c r="K19" s="17"/>
      <c r="L19" s="17"/>
      <c r="M19" s="147"/>
    </row>
    <row r="20" spans="1:17" s="8" customFormat="1" ht="11.25" customHeight="1">
      <c r="A20" s="42" t="s">
        <v>52</v>
      </c>
      <c r="B20" s="65">
        <v>31</v>
      </c>
      <c r="C20" s="65">
        <v>28</v>
      </c>
      <c r="D20" s="65">
        <v>31</v>
      </c>
      <c r="E20" s="65">
        <v>30</v>
      </c>
      <c r="F20" s="65">
        <v>31</v>
      </c>
      <c r="G20" s="65">
        <v>30</v>
      </c>
      <c r="H20" s="65">
        <v>31</v>
      </c>
      <c r="I20" s="65">
        <v>31</v>
      </c>
      <c r="J20" s="65">
        <v>30</v>
      </c>
      <c r="K20" s="65">
        <v>31</v>
      </c>
      <c r="L20" s="161">
        <v>30</v>
      </c>
      <c r="M20" s="174">
        <v>31</v>
      </c>
    </row>
    <row r="21" spans="1:17" s="8" customFormat="1" ht="11.25" customHeight="1">
      <c r="A21" s="9" t="s">
        <v>15</v>
      </c>
      <c r="B21" s="66">
        <f>B12/B20</f>
        <v>0</v>
      </c>
      <c r="C21" s="66">
        <f t="shared" ref="C21:M21" si="5">C12/C20</f>
        <v>0</v>
      </c>
      <c r="D21" s="66">
        <f>D12/D20</f>
        <v>0</v>
      </c>
      <c r="E21" s="66">
        <f>E12/E20</f>
        <v>0</v>
      </c>
      <c r="F21" s="66">
        <f>F12/F20</f>
        <v>0</v>
      </c>
      <c r="G21" s="66">
        <f>G12/G20</f>
        <v>0</v>
      </c>
      <c r="H21" s="66">
        <f t="shared" si="5"/>
        <v>0</v>
      </c>
      <c r="I21" s="66">
        <f t="shared" si="5"/>
        <v>0</v>
      </c>
      <c r="J21" s="66">
        <f t="shared" si="5"/>
        <v>0</v>
      </c>
      <c r="K21" s="66">
        <f t="shared" si="5"/>
        <v>0</v>
      </c>
      <c r="L21" s="162">
        <f t="shared" si="5"/>
        <v>0</v>
      </c>
      <c r="M21" s="175">
        <f t="shared" si="5"/>
        <v>0</v>
      </c>
    </row>
    <row r="22" spans="1:17" s="8" customFormat="1" ht="11.25" customHeight="1">
      <c r="A22" s="9" t="s">
        <v>130</v>
      </c>
      <c r="B22" s="67">
        <f t="shared" ref="B22:G22" si="6">IFERROR(B12/B7,0)</f>
        <v>0</v>
      </c>
      <c r="C22" s="67">
        <f t="shared" si="6"/>
        <v>0</v>
      </c>
      <c r="D22" s="67">
        <f t="shared" si="6"/>
        <v>0</v>
      </c>
      <c r="E22" s="67">
        <f t="shared" si="6"/>
        <v>0</v>
      </c>
      <c r="F22" s="67">
        <f t="shared" si="6"/>
        <v>0</v>
      </c>
      <c r="G22" s="67">
        <f t="shared" si="6"/>
        <v>0</v>
      </c>
      <c r="H22" s="67">
        <f t="shared" ref="H22:M22" si="7">IFERROR(H12/H7,0)</f>
        <v>0</v>
      </c>
      <c r="I22" s="67">
        <f t="shared" si="7"/>
        <v>0</v>
      </c>
      <c r="J22" s="67">
        <f t="shared" si="7"/>
        <v>0</v>
      </c>
      <c r="K22" s="116">
        <f t="shared" si="7"/>
        <v>0</v>
      </c>
      <c r="L22" s="67">
        <f t="shared" si="7"/>
        <v>0</v>
      </c>
      <c r="M22" s="176">
        <f t="shared" si="7"/>
        <v>0</v>
      </c>
      <c r="N22" s="1"/>
    </row>
    <row r="23" spans="1:17" s="8" customFormat="1" ht="11.25" customHeight="1" thickBot="1">
      <c r="A23" s="9" t="s">
        <v>53</v>
      </c>
      <c r="B23" s="67">
        <f t="shared" ref="B23:G23" si="8">IFERROR(B12/(B11+B12),0)</f>
        <v>0</v>
      </c>
      <c r="C23" s="67">
        <f t="shared" si="8"/>
        <v>0</v>
      </c>
      <c r="D23" s="67">
        <f t="shared" si="8"/>
        <v>0</v>
      </c>
      <c r="E23" s="67">
        <f t="shared" si="8"/>
        <v>0</v>
      </c>
      <c r="F23" s="67">
        <f t="shared" si="8"/>
        <v>0</v>
      </c>
      <c r="G23" s="67">
        <f t="shared" si="8"/>
        <v>0</v>
      </c>
      <c r="H23" s="67">
        <f t="shared" ref="H23:M23" si="9">IFERROR(H12/(H11+H12),0)</f>
        <v>0</v>
      </c>
      <c r="I23" s="67">
        <f t="shared" si="9"/>
        <v>0</v>
      </c>
      <c r="J23" s="67">
        <f t="shared" si="9"/>
        <v>0</v>
      </c>
      <c r="K23" s="117">
        <f t="shared" si="9"/>
        <v>0</v>
      </c>
      <c r="L23" s="163">
        <f t="shared" si="9"/>
        <v>0</v>
      </c>
      <c r="M23" s="177">
        <f t="shared" si="9"/>
        <v>0</v>
      </c>
      <c r="N23" s="4"/>
    </row>
    <row r="24" spans="1:17" s="8" customFormat="1" ht="11.25" customHeight="1" thickBot="1">
      <c r="A24" s="56" t="s">
        <v>21</v>
      </c>
      <c r="B24" s="50">
        <v>41275</v>
      </c>
      <c r="C24" s="47">
        <v>41306</v>
      </c>
      <c r="D24" s="47">
        <v>41334</v>
      </c>
      <c r="E24" s="47">
        <v>41365</v>
      </c>
      <c r="F24" s="47">
        <v>41395</v>
      </c>
      <c r="G24" s="47">
        <v>41426</v>
      </c>
      <c r="H24" s="47">
        <v>41456</v>
      </c>
      <c r="I24" s="47">
        <v>41487</v>
      </c>
      <c r="J24" s="47">
        <v>41518</v>
      </c>
      <c r="K24" s="47">
        <v>41548</v>
      </c>
      <c r="L24" s="47">
        <v>41579</v>
      </c>
      <c r="M24" s="51">
        <v>41609</v>
      </c>
    </row>
    <row r="25" spans="1:17" s="8" customFormat="1" ht="11.25" customHeight="1">
      <c r="A25" s="18" t="s">
        <v>5</v>
      </c>
      <c r="B25" s="68">
        <f>COUNTIFS(Jan!$B:$B,2221,Jan!$J:$J,18)</f>
        <v>0</v>
      </c>
      <c r="C25" s="68">
        <f>COUNTIFS(Feb!$B:$B,2221,Feb!$J:$J,18)</f>
        <v>0</v>
      </c>
      <c r="D25" s="68">
        <f>COUNTIFS(Mar!$B:$B,2221,Mar!$J:$J,18)</f>
        <v>0</v>
      </c>
      <c r="E25" s="68">
        <f>COUNTIFS(Apr!$B:$B,2221,Apr!$J:$J,18)</f>
        <v>0</v>
      </c>
      <c r="F25" s="68">
        <f>COUNTIFS(May!$B:$B,2221,May!$J:$J,18)</f>
        <v>0</v>
      </c>
      <c r="G25" s="68">
        <f>COUNTIFS(Jun!$B:$B,2221,Jun!$J:$J,18)</f>
        <v>0</v>
      </c>
      <c r="H25" s="68">
        <f>COUNTIFS(Jul!$B:$B,2221,Jul!$J:$J,18)</f>
        <v>0</v>
      </c>
      <c r="I25" s="68">
        <f>COUNTIFS(Aug!$B:$B,2221,Aug!$J:$J,18)</f>
        <v>0</v>
      </c>
      <c r="J25" s="68">
        <f>COUNTIFS(Sep!$B:$B,2221,Sep!$J:$J,18)</f>
        <v>0</v>
      </c>
      <c r="K25" s="68">
        <f>COUNTIFS(Oct!$B:$B,2221,Oct!$J:$J,18)</f>
        <v>0</v>
      </c>
      <c r="L25" s="68">
        <f>COUNTIFS(Nov!$B:$B,2221,Nov!$J:$J,18)</f>
        <v>0</v>
      </c>
      <c r="M25" s="68">
        <v>0</v>
      </c>
    </row>
    <row r="26" spans="1:17" s="8" customFormat="1" ht="11.25" customHeight="1">
      <c r="A26" s="46" t="s">
        <v>40</v>
      </c>
      <c r="B26" s="57">
        <f>COUNTIFS(Jan!$B:$B,2221,Jan!$J:$J,41)</f>
        <v>0</v>
      </c>
      <c r="C26" s="57">
        <f>COUNTIFS(Feb!$B:$B,2221,Feb!$J:$J,41)</f>
        <v>0</v>
      </c>
      <c r="D26" s="57">
        <f>COUNTIFS(Mar!$B:$B,2221,Mar!$J:$J,41)</f>
        <v>0</v>
      </c>
      <c r="E26" s="57">
        <f>COUNTIFS(Apr!$B:$B,2221,Apr!$J:$J,41)</f>
        <v>0</v>
      </c>
      <c r="F26" s="57">
        <f>COUNTIFS(May!$B:$B,2221,May!$J:$J,41)</f>
        <v>0</v>
      </c>
      <c r="G26" s="57">
        <f>COUNTIFS(Jun!$B:$B,2221,Jun!$J:$J,41)</f>
        <v>0</v>
      </c>
      <c r="H26" s="57">
        <f>COUNTIFS(Jul!$B:$B,2221,Jul!$J:$J,41)</f>
        <v>0</v>
      </c>
      <c r="I26" s="57">
        <f>COUNTIFS(Aug!$B:$B,2221,Aug!$J:$J,41)</f>
        <v>0</v>
      </c>
      <c r="J26" s="57">
        <f>COUNTIFS(Sep!$B:$B,2221,Sep!$J:$J,41)</f>
        <v>0</v>
      </c>
      <c r="K26" s="57">
        <f>COUNTIFS(Oct!$B:$B,2221,Oct!$J:$J,41)</f>
        <v>0</v>
      </c>
      <c r="L26" s="57">
        <f>COUNTIFS(Nov!$B:$B,2221,Nov!$J:$J,41)</f>
        <v>0</v>
      </c>
      <c r="M26" s="57">
        <v>0</v>
      </c>
    </row>
    <row r="27" spans="1:17" s="8" customFormat="1" ht="11.25" customHeight="1">
      <c r="A27" s="9" t="s">
        <v>11</v>
      </c>
      <c r="B27" s="179">
        <f>COUNTIFS(Jan!$B:$B,2221,Jan!$J:$J,17)</f>
        <v>0</v>
      </c>
      <c r="C27" s="179">
        <f>COUNTIFS(Feb!$B:$B,2221,Feb!$J:$J,17)</f>
        <v>0</v>
      </c>
      <c r="D27" s="179">
        <f>COUNTIFS(Mar!$B:$B,2221,Mar!$J:$J,17)</f>
        <v>0</v>
      </c>
      <c r="E27" s="179">
        <f>COUNTIFS(Apr!$B:$B,2221,Apr!$J:$J,17)</f>
        <v>0</v>
      </c>
      <c r="F27" s="179">
        <f>COUNTIFS(May!$B:$B,2221,May!$J:$J,17)</f>
        <v>0</v>
      </c>
      <c r="G27" s="179">
        <f>COUNTIFS(Jun!$B:$B,2221,Jun!$J:$J,17)</f>
        <v>0</v>
      </c>
      <c r="H27" s="179">
        <f>COUNTIFS(Jul!$B:$B,2221,Jul!$J:$J,17)</f>
        <v>0</v>
      </c>
      <c r="I27" s="179">
        <f>COUNTIFS(Aug!$B:$B,2221,Aug!$J:$J,17)</f>
        <v>0</v>
      </c>
      <c r="J27" s="179">
        <f>COUNTIFS(Sep!$B:$B,2221,Sep!$J:$J,17)</f>
        <v>0</v>
      </c>
      <c r="K27" s="179">
        <f>COUNTIFS(Oct!$B:$B,2221,Oct!$J:$J,17)</f>
        <v>0</v>
      </c>
      <c r="L27" s="179">
        <f>COUNTIFS(Nov!$B:$B,2221,Nov!$J:$J,17)</f>
        <v>0</v>
      </c>
      <c r="M27" s="206">
        <v>0</v>
      </c>
    </row>
    <row r="28" spans="1:17" s="8" customFormat="1" ht="11.25" customHeight="1">
      <c r="A28" s="9" t="s">
        <v>143</v>
      </c>
      <c r="B28" s="59">
        <f>COUNTIFS(Jan!$B:$B,2221,Jan!$F:$F,455)</f>
        <v>0</v>
      </c>
      <c r="C28" s="59">
        <f>COUNTIFS(Feb!$B:$B,2221,Feb!$F:$F,455)</f>
        <v>0</v>
      </c>
      <c r="D28" s="59">
        <f>COUNTIFS(Mar!$B:$B,2221,Mar!$F:$F,455)</f>
        <v>0</v>
      </c>
      <c r="E28" s="59">
        <f>COUNTIFS(Apr!$B:$B,2221,Apr!$F:$F,455)</f>
        <v>0</v>
      </c>
      <c r="F28" s="59">
        <f>COUNTIFS(May!$B:$B,2221,May!$F:$F,455)</f>
        <v>0</v>
      </c>
      <c r="G28" s="59">
        <f>COUNTIFS(Jun!$B:$B,2221,Jun!$F:$F,455)</f>
        <v>0</v>
      </c>
      <c r="H28" s="59">
        <f>COUNTIFS(Jul!$B:$B,2221,Jul!$F:$F,455)</f>
        <v>0</v>
      </c>
      <c r="I28" s="59">
        <f>COUNTIFS(Aug!$B:$B,2221,Aug!$F:$F,455)</f>
        <v>0</v>
      </c>
      <c r="J28" s="59">
        <f>COUNTIFS(Sep!$B:$B,2221,Sep!$F:$F,455)</f>
        <v>0</v>
      </c>
      <c r="K28" s="59">
        <f>COUNTIFS(Oct!$B:$B,2221,Oct!$F:$F,455)</f>
        <v>0</v>
      </c>
      <c r="L28" s="59">
        <f>COUNTIFS(Nov!$B:$B,2221,Nov!$F:$F,455)</f>
        <v>0</v>
      </c>
      <c r="M28" s="59">
        <v>0</v>
      </c>
    </row>
    <row r="29" spans="1:17" s="8" customFormat="1" ht="11.25" customHeight="1">
      <c r="A29" s="9" t="s">
        <v>23</v>
      </c>
      <c r="B29" s="59">
        <f>COUNTIFS(Jan!$B:$B,2221,Jan!$J:$J,31)</f>
        <v>0</v>
      </c>
      <c r="C29" s="59">
        <f>COUNTIFS(Feb!$B:$B,2221,Feb!$J:$J,31)</f>
        <v>0</v>
      </c>
      <c r="D29" s="59">
        <f>COUNTIFS(Mar!$B:$B,2221,Mar!$J:$J,31)</f>
        <v>0</v>
      </c>
      <c r="E29" s="59">
        <f>COUNTIFS(Apr!$B:$B,2221,Apr!$J:$J,31)</f>
        <v>0</v>
      </c>
      <c r="F29" s="59">
        <f>COUNTIFS(May!$B:$B,2221,May!$J:$J,31)</f>
        <v>0</v>
      </c>
      <c r="G29" s="59">
        <f>COUNTIFS(Jun!$B:$B,2221,Jun!$J:$J,31)</f>
        <v>0</v>
      </c>
      <c r="H29" s="59">
        <f>COUNTIFS(Jul!$B:$B,2221,Jul!$J:$J,31)</f>
        <v>0</v>
      </c>
      <c r="I29" s="59">
        <f>COUNTIFS(Aug!$B:$B,2221,Aug!$J:$J,31)</f>
        <v>0</v>
      </c>
      <c r="J29" s="59">
        <f>COUNTIFS(Sep!$B:$B,2221,Sep!$J:$J,31)</f>
        <v>0</v>
      </c>
      <c r="K29" s="59">
        <f>COUNTIFS(Oct!$B:$B,2221,Oct!$J:$J,31)</f>
        <v>0</v>
      </c>
      <c r="L29" s="59">
        <f>COUNTIFS(Nov!$B:$B,2221,Nov!$J:$J,31)</f>
        <v>0</v>
      </c>
      <c r="M29" s="59">
        <v>0</v>
      </c>
    </row>
    <row r="30" spans="1:17" s="8" customFormat="1" ht="11.25" customHeight="1">
      <c r="A30" s="9" t="s">
        <v>37</v>
      </c>
      <c r="B30" s="59">
        <f>COUNTIFS(Jan!$B:$B,2221,Jan!$J:$J,4400)</f>
        <v>0</v>
      </c>
      <c r="C30" s="59">
        <f>COUNTIFS(Feb!$B:$B,2221,Feb!$J:$J,4400)</f>
        <v>0</v>
      </c>
      <c r="D30" s="59">
        <f>COUNTIFS(Mar!$B:$B,2221,Mar!$J:$J,4400)</f>
        <v>0</v>
      </c>
      <c r="E30" s="59">
        <f>COUNTIFS(Apr!$B:$B,2221,Apr!$J:$J,4400)</f>
        <v>0</v>
      </c>
      <c r="F30" s="59">
        <f>COUNTIFS(May!$B:$B,2221,May!$J:$J,4400)</f>
        <v>0</v>
      </c>
      <c r="G30" s="59">
        <f>COUNTIFS(Jun!$B:$B,2221,Jun!$J:$J,4400)</f>
        <v>0</v>
      </c>
      <c r="H30" s="59">
        <f>COUNTIFS(Jul!$B:$B,2221,Jul!$J:$J,4400)</f>
        <v>0</v>
      </c>
      <c r="I30" s="59">
        <f>COUNTIFS(Aug!$B:$B,2221,Aug!$J:$J,4400)</f>
        <v>0</v>
      </c>
      <c r="J30" s="59">
        <f>COUNTIFS(Sep!$B:$B,2221,Sep!$J:$J,4400)</f>
        <v>0</v>
      </c>
      <c r="K30" s="59">
        <f>COUNTIFS(Oct!$B:$B,2221,Oct!$J:$J,4400)</f>
        <v>0</v>
      </c>
      <c r="L30" s="59">
        <f>COUNTIFS(Nov!$B:$B,2221,Nov!$J:$J,4400)</f>
        <v>0</v>
      </c>
      <c r="M30" s="59">
        <v>0</v>
      </c>
    </row>
    <row r="31" spans="1:17" s="8" customFormat="1" ht="11.25" customHeight="1">
      <c r="A31" s="10" t="s">
        <v>24</v>
      </c>
      <c r="B31" s="59">
        <f>COUNTIFS(Jan!$B:$B,2221,Jan!$J:$J,30)</f>
        <v>0</v>
      </c>
      <c r="C31" s="59">
        <f>COUNTIFS(Feb!$B:$B,2221,Feb!$J:$J,30)</f>
        <v>0</v>
      </c>
      <c r="D31" s="59">
        <f>COUNTIFS(Mar!$B:$B,2221,Mar!$J:$J,30)</f>
        <v>0</v>
      </c>
      <c r="E31" s="59">
        <f>COUNTIFS(Apr!$B:$B,2221,Apr!$J:$J,30)</f>
        <v>0</v>
      </c>
      <c r="F31" s="59">
        <f>COUNTIFS(May!$B:$B,2221,May!$J:$J,30)</f>
        <v>0</v>
      </c>
      <c r="G31" s="59">
        <f>COUNTIFS(Jun!$B:$B,2221,Jun!$J:$J,30)</f>
        <v>0</v>
      </c>
      <c r="H31" s="59">
        <f>COUNTIFS(Jul!$B:$B,2221,Jul!$J:$J,30)</f>
        <v>0</v>
      </c>
      <c r="I31" s="59">
        <f>COUNTIFS(Aug!$B:$B,2221,Aug!$J:$J,30)</f>
        <v>0</v>
      </c>
      <c r="J31" s="59">
        <f>COUNTIFS(Sep!$B:$B,2221,Sep!$J:$J,30)</f>
        <v>0</v>
      </c>
      <c r="K31" s="59">
        <f>COUNTIFS(Oct!$B:$B,2221,Oct!$J:$J,30)</f>
        <v>0</v>
      </c>
      <c r="L31" s="59">
        <f>COUNTIFS(Nov!$B:$B,2221,Nov!$J:$J,30)</f>
        <v>0</v>
      </c>
      <c r="M31" s="59">
        <v>0</v>
      </c>
    </row>
    <row r="32" spans="1:17" s="14" customFormat="1" ht="11.25" customHeight="1" thickBot="1">
      <c r="A32" s="2" t="s">
        <v>140</v>
      </c>
      <c r="B32" s="60">
        <f>SUM(B25:B31)</f>
        <v>0</v>
      </c>
      <c r="C32" s="60">
        <f t="shared" ref="C32:M32" si="10">SUM(C25:C31)</f>
        <v>0</v>
      </c>
      <c r="D32" s="60">
        <f>SUM(D25:D31)</f>
        <v>0</v>
      </c>
      <c r="E32" s="60">
        <f>SUM(E25:E31)</f>
        <v>0</v>
      </c>
      <c r="F32" s="60">
        <f>SUM(F25:F31)</f>
        <v>0</v>
      </c>
      <c r="G32" s="60">
        <f>SUM(G25:G31)</f>
        <v>0</v>
      </c>
      <c r="H32" s="60">
        <f t="shared" si="10"/>
        <v>0</v>
      </c>
      <c r="I32" s="60">
        <f t="shared" si="10"/>
        <v>0</v>
      </c>
      <c r="J32" s="60">
        <f t="shared" si="10"/>
        <v>0</v>
      </c>
      <c r="K32" s="60">
        <f t="shared" si="10"/>
        <v>0</v>
      </c>
      <c r="L32" s="159">
        <f t="shared" si="10"/>
        <v>0</v>
      </c>
      <c r="M32" s="170">
        <f t="shared" si="10"/>
        <v>0</v>
      </c>
    </row>
    <row r="33" spans="1:13" ht="12" customHeight="1" thickBot="1">
      <c r="A33" s="55" t="s">
        <v>136</v>
      </c>
      <c r="B33" s="50">
        <v>41275</v>
      </c>
      <c r="C33" s="47">
        <v>41306</v>
      </c>
      <c r="D33" s="47">
        <v>41334</v>
      </c>
      <c r="E33" s="47">
        <v>41365</v>
      </c>
      <c r="F33" s="47">
        <v>41395</v>
      </c>
      <c r="G33" s="47">
        <v>41426</v>
      </c>
      <c r="H33" s="47">
        <v>41456</v>
      </c>
      <c r="I33" s="47">
        <v>41487</v>
      </c>
      <c r="J33" s="47">
        <v>41518</v>
      </c>
      <c r="K33" s="47">
        <v>41548</v>
      </c>
      <c r="L33" s="47">
        <v>41579</v>
      </c>
      <c r="M33" s="51">
        <v>41609</v>
      </c>
    </row>
    <row r="34" spans="1:13" s="8" customFormat="1" ht="11.25" customHeight="1">
      <c r="A34" s="46" t="s">
        <v>33</v>
      </c>
      <c r="B34" s="57">
        <f>COUNTIFS(Jan!$B:$B,2221,Jan!$J:$J,40)</f>
        <v>0</v>
      </c>
      <c r="C34" s="57">
        <f>COUNTIFS(Feb!$B:$B,2221,Feb!$J:$J,40)</f>
        <v>0</v>
      </c>
      <c r="D34" s="57">
        <f>COUNTIFS(Mar!$B:$B,2221,Mar!$J:$J,40)</f>
        <v>0</v>
      </c>
      <c r="E34" s="57">
        <f>COUNTIFS(Apr!$B:$B,2221,Apr!$J:$J,40)</f>
        <v>0</v>
      </c>
      <c r="F34" s="57">
        <f>COUNTIFS(May!$B:$B,2221,May!$J:$J,40)</f>
        <v>0</v>
      </c>
      <c r="G34" s="57">
        <f>COUNTIFS(Jun!$B:$B,2221,Jun!$J:$J,40)</f>
        <v>0</v>
      </c>
      <c r="H34" s="57">
        <f>COUNTIFS(Jul!$B:$B,2221,Jul!$J:$J,40)</f>
        <v>0</v>
      </c>
      <c r="I34" s="57">
        <f>COUNTIFS(Aug!$B:$B,2221,Aug!$J:$J,40)</f>
        <v>0</v>
      </c>
      <c r="J34" s="57">
        <f>COUNTIFS(Sep!$B:$B,2221,Sep!$J:$J,40)</f>
        <v>0</v>
      </c>
      <c r="K34" s="57">
        <f>COUNTIFS(Oct!$B:$B,2221,Oct!$J:$J,40)</f>
        <v>0</v>
      </c>
      <c r="L34" s="57">
        <f>COUNTIFS(Nov!$B:$B,2221,Nov!$J:$J,40)</f>
        <v>0</v>
      </c>
      <c r="M34" s="57">
        <v>0</v>
      </c>
    </row>
    <row r="35" spans="1:13" s="8" customFormat="1" ht="11.25" customHeight="1">
      <c r="A35" s="10" t="s">
        <v>4</v>
      </c>
      <c r="B35" s="59">
        <f>COUNTIFS(Jan!$B:$B,2221,Jan!$J:$J,15)</f>
        <v>0</v>
      </c>
      <c r="C35" s="59">
        <f>COUNTIFS(Feb!$B:$B,2221,Feb!$J:$J,15)</f>
        <v>0</v>
      </c>
      <c r="D35" s="59">
        <f>COUNTIFS(Mar!$B:$B,2221,Mar!$J:$J,15)</f>
        <v>0</v>
      </c>
      <c r="E35" s="59">
        <f>COUNTIFS(Apr!$B:$B,2221,Apr!$J:$J,15)</f>
        <v>0</v>
      </c>
      <c r="F35" s="59">
        <f>COUNTIFS(May!$B:$B,2221,May!$J:$J,15)</f>
        <v>0</v>
      </c>
      <c r="G35" s="59">
        <f>COUNTIFS(Jun!$B:$B,2221,Jun!$J:$J,15)</f>
        <v>0</v>
      </c>
      <c r="H35" s="59">
        <f>COUNTIFS(Jul!$B:$B,2221,Jul!$J:$J,15)</f>
        <v>0</v>
      </c>
      <c r="I35" s="59">
        <f>COUNTIFS(Aug!$B:$B,2221,Aug!$J:$J,15)</f>
        <v>0</v>
      </c>
      <c r="J35" s="59">
        <f>COUNTIFS(Sep!$B:$B,2221,Sep!$J:$J,15)</f>
        <v>0</v>
      </c>
      <c r="K35" s="59">
        <f>COUNTIFS(Oct!$B:$B,2221,Oct!$J:$J,15)</f>
        <v>0</v>
      </c>
      <c r="L35" s="59">
        <f>COUNTIFS(Nov!$B:$B,2221,Nov!$J:$J,15)</f>
        <v>0</v>
      </c>
      <c r="M35" s="59">
        <v>0</v>
      </c>
    </row>
    <row r="36" spans="1:13" s="8" customFormat="1" ht="11.25" customHeight="1">
      <c r="A36" s="10" t="s">
        <v>39</v>
      </c>
      <c r="B36" s="59">
        <f>COUNTIFS(Jan!$B:$B,2221,Jan!$J:$J,29)</f>
        <v>0</v>
      </c>
      <c r="C36" s="59">
        <f>COUNTIFS(Feb!$B:$B,2221,Feb!$J:$J,29)</f>
        <v>0</v>
      </c>
      <c r="D36" s="59">
        <f>COUNTIFS(Mar!$B:$B,2221,Mar!$J:$J,29)</f>
        <v>0</v>
      </c>
      <c r="E36" s="59">
        <f>COUNTIFS(Apr!$B:$B,2221,Apr!$J:$J,29)</f>
        <v>0</v>
      </c>
      <c r="F36" s="59">
        <f>COUNTIFS(May!$B:$B,2221,May!$J:$J,29)</f>
        <v>0</v>
      </c>
      <c r="G36" s="59">
        <f>COUNTIFS(Jun!$B:$B,2221,Jun!$J:$J,29)</f>
        <v>0</v>
      </c>
      <c r="H36" s="59">
        <f>COUNTIFS(Jul!$B:$B,2221,Jul!$J:$J,29)</f>
        <v>0</v>
      </c>
      <c r="I36" s="59">
        <f>COUNTIFS(Aug!$B:$B,2221,Aug!$J:$J,29)</f>
        <v>0</v>
      </c>
      <c r="J36" s="59">
        <f>COUNTIFS(Sep!$B:$B,2221,Sep!$J:$J,29)</f>
        <v>0</v>
      </c>
      <c r="K36" s="59">
        <f>COUNTIFS(Oct!$B:$B,2221,Oct!$J:$J,29)</f>
        <v>0</v>
      </c>
      <c r="L36" s="59">
        <f>COUNTIFS(Nov!$B:$B,2221,Nov!$J:$J,29)</f>
        <v>0</v>
      </c>
      <c r="M36" s="59">
        <v>0</v>
      </c>
    </row>
    <row r="37" spans="1:13" s="8" customFormat="1" ht="11.25" customHeight="1">
      <c r="A37" s="10" t="s">
        <v>3</v>
      </c>
      <c r="B37" s="59">
        <f>COUNTIFS(Jan!$B:$B,2221,Jan!$J:$J,13)</f>
        <v>0</v>
      </c>
      <c r="C37" s="59">
        <f>COUNTIFS(Feb!$B:$B,2221,Feb!$J:$J,13)</f>
        <v>0</v>
      </c>
      <c r="D37" s="59">
        <f>COUNTIFS(Mar!$B:$B,2221,Mar!$J:$J,13)</f>
        <v>0</v>
      </c>
      <c r="E37" s="59">
        <f>COUNTIFS(Apr!$B:$B,2221,Apr!$J:$J,13)</f>
        <v>0</v>
      </c>
      <c r="F37" s="59">
        <f>COUNTIFS(May!$B:$B,2221,May!$J:$J,13)</f>
        <v>0</v>
      </c>
      <c r="G37" s="59">
        <f>COUNTIFS(Jun!$B:$B,2221,Jun!$J:$J,13)</f>
        <v>0</v>
      </c>
      <c r="H37" s="59">
        <f>COUNTIFS(Jul!$B:$B,2221,Jul!$J:$J,13)</f>
        <v>0</v>
      </c>
      <c r="I37" s="59">
        <f>COUNTIFS(Aug!$B:$B,2221,Aug!$J:$J,13)</f>
        <v>0</v>
      </c>
      <c r="J37" s="59">
        <f>COUNTIFS(Sep!$B:$B,2221,Sep!$J:$J,13)</f>
        <v>0</v>
      </c>
      <c r="K37" s="59">
        <f>COUNTIFS(Oct!$B:$B,2221,Oct!$J:$J,13)</f>
        <v>0</v>
      </c>
      <c r="L37" s="59">
        <f>COUNTIFS(Nov!$B:$B,2221,Nov!$J:$J,13)</f>
        <v>0</v>
      </c>
      <c r="M37" s="59">
        <v>0</v>
      </c>
    </row>
    <row r="38" spans="1:13" s="8" customFormat="1" ht="11.25" customHeight="1">
      <c r="A38" s="9" t="s">
        <v>218</v>
      </c>
      <c r="B38" s="59">
        <f>COUNTIFS(Jan!$B:$B,2221,Jan!$J:$J,43)</f>
        <v>0</v>
      </c>
      <c r="C38" s="59">
        <f>COUNTIFS(Feb!$B:$B,2221,Feb!$J:$J,43)</f>
        <v>0</v>
      </c>
      <c r="D38" s="59">
        <f>COUNTIFS(Mar!$B:$B,2221,Mar!$J:$J,43)</f>
        <v>0</v>
      </c>
      <c r="E38" s="59">
        <f>COUNTIFS(Apr!$B:$B,2221,Apr!$J:$J,43)</f>
        <v>0</v>
      </c>
      <c r="F38" s="59">
        <f>COUNTIFS(May!$B:$B,2221,May!$J:$J,43)</f>
        <v>0</v>
      </c>
      <c r="G38" s="59">
        <f>COUNTIFS(Jun!$B:$B,2221,Jun!$J:$J,43)</f>
        <v>0</v>
      </c>
      <c r="H38" s="59">
        <f>COUNTIFS(Jul!$B:$B,2221,Jul!$J:$J,43)</f>
        <v>0</v>
      </c>
      <c r="I38" s="59">
        <f>COUNTIFS(Aug!$B:$B,2221,Aug!$J:$J,43)</f>
        <v>0</v>
      </c>
      <c r="J38" s="59">
        <f>COUNTIFS(Sep!$B:$B,2221,Sep!$J:$J,43)</f>
        <v>0</v>
      </c>
      <c r="K38" s="59">
        <f>COUNTIFS(Oct!$B:$B,2221,Oct!$J:$J,43)</f>
        <v>0</v>
      </c>
      <c r="L38" s="59">
        <f>COUNTIFS(Nov!$B:$B,2221,Nov!$J:$J,43)</f>
        <v>0</v>
      </c>
      <c r="M38" s="59">
        <v>0</v>
      </c>
    </row>
    <row r="39" spans="1:13" s="8" customFormat="1" ht="11.25" customHeight="1">
      <c r="A39" s="10" t="s">
        <v>25</v>
      </c>
      <c r="B39" s="59">
        <f>COUNTIFS(Jan!$B:$B,2221,Jan!$J:$J,24)</f>
        <v>0</v>
      </c>
      <c r="C39" s="59">
        <f>COUNTIFS(Feb!$B:$B,2221,Feb!$J:$J,24)</f>
        <v>0</v>
      </c>
      <c r="D39" s="59">
        <f>COUNTIFS(Mar!$B:$B,2221,Mar!$J:$J,24)</f>
        <v>0</v>
      </c>
      <c r="E39" s="59">
        <f>COUNTIFS(Apr!$B:$B,2221,Apr!$J:$J,24)</f>
        <v>0</v>
      </c>
      <c r="F39" s="59">
        <f>COUNTIFS(May!$B:$B,2221,May!$J:$J,24)</f>
        <v>0</v>
      </c>
      <c r="G39" s="59">
        <f>COUNTIFS(Jun!$B:$B,2221,Jun!$J:$J,24)</f>
        <v>0</v>
      </c>
      <c r="H39" s="59">
        <f>COUNTIFS(Jul!$B:$B,2221,Jul!$J:$J,24)</f>
        <v>0</v>
      </c>
      <c r="I39" s="59">
        <f>COUNTIFS(Aug!$B:$B,2221,Aug!$J:$J,24)</f>
        <v>0</v>
      </c>
      <c r="J39" s="59">
        <f>COUNTIFS(Sep!$B:$B,2221,Sep!$J:$J,24)</f>
        <v>0</v>
      </c>
      <c r="K39" s="59">
        <f>COUNTIFS(Oct!$B:$B,2221,Oct!$J:$J,24)</f>
        <v>0</v>
      </c>
      <c r="L39" s="59">
        <f>COUNTIFS(Nov!$B:$B,2221,Nov!$J:$J,24)</f>
        <v>0</v>
      </c>
      <c r="M39" s="59">
        <v>0</v>
      </c>
    </row>
    <row r="40" spans="1:13" s="8" customFormat="1" ht="11.25" customHeight="1">
      <c r="A40" s="10" t="s">
        <v>34</v>
      </c>
      <c r="B40" s="59">
        <f>COUNTIFS(Jan!$B:$B,2221,Jan!$J:$J,9)</f>
        <v>0</v>
      </c>
      <c r="C40" s="59">
        <f>COUNTIFS(Feb!$B:$B,2221,Feb!$J:$J,9)</f>
        <v>0</v>
      </c>
      <c r="D40" s="59">
        <f>COUNTIFS(Mar!$B:$B,2221,Mar!$J:$J,9)</f>
        <v>0</v>
      </c>
      <c r="E40" s="59">
        <f>COUNTIFS(Apr!$B:$B,2221,Apr!$J:$J,9)</f>
        <v>0</v>
      </c>
      <c r="F40" s="59">
        <f>COUNTIFS(May!$B:$B,2221,May!$J:$J,9)</f>
        <v>0</v>
      </c>
      <c r="G40" s="59">
        <f>COUNTIFS(Jun!$B:$B,2221,Jun!$J:$J,9)</f>
        <v>0</v>
      </c>
      <c r="H40" s="59">
        <f>COUNTIFS(Jul!$B:$B,2221,Jul!$J:$J,9)</f>
        <v>0</v>
      </c>
      <c r="I40" s="59">
        <f>COUNTIFS(Aug!$B:$B,2221,Aug!$J:$J,9)</f>
        <v>0</v>
      </c>
      <c r="J40" s="59">
        <f>COUNTIFS(Sep!$B:$B,2221,Sep!$J:$J,9)</f>
        <v>0</v>
      </c>
      <c r="K40" s="59">
        <f>COUNTIFS(Oct!$B:$B,2221,Oct!$J:$J,9)</f>
        <v>0</v>
      </c>
      <c r="L40" s="59">
        <f>COUNTIFS(Nov!$B:$B,2221,Nov!$J:$J,9)</f>
        <v>0</v>
      </c>
      <c r="M40" s="59">
        <v>0</v>
      </c>
    </row>
    <row r="41" spans="1:13" s="8" customFormat="1" ht="11.25" customHeight="1">
      <c r="A41" s="10" t="s">
        <v>31</v>
      </c>
      <c r="B41" s="59">
        <f>COUNTIFS(Jan!$B:$B,2221,Jan!$J:$J,10)</f>
        <v>0</v>
      </c>
      <c r="C41" s="59">
        <f>COUNTIFS(Feb!$B:$B,2221,Feb!$J:$J,10)</f>
        <v>0</v>
      </c>
      <c r="D41" s="59">
        <f>COUNTIFS(Mar!$B:$B,2221,Mar!$J:$J,10)</f>
        <v>0</v>
      </c>
      <c r="E41" s="59">
        <f>COUNTIFS(Apr!$B:$B,2221,Apr!$J:$J,10)</f>
        <v>0</v>
      </c>
      <c r="F41" s="59">
        <f>COUNTIFS(May!$B:$B,2221,May!$J:$J,10)</f>
        <v>0</v>
      </c>
      <c r="G41" s="59">
        <f>COUNTIFS(Jun!$B:$B,2221,Jun!$J:$J,10)</f>
        <v>0</v>
      </c>
      <c r="H41" s="59">
        <f>COUNTIFS(Jul!$B:$B,2221,Jul!$J:$J,10)</f>
        <v>0</v>
      </c>
      <c r="I41" s="59">
        <f>COUNTIFS(Aug!$B:$B,2221,Aug!$J:$J,10)</f>
        <v>0</v>
      </c>
      <c r="J41" s="59">
        <f>COUNTIFS(Sep!$B:$B,2221,Sep!$J:$J,10)</f>
        <v>0</v>
      </c>
      <c r="K41" s="59">
        <f>COUNTIFS(Oct!$B:$B,2221,Oct!$J:$J,10)</f>
        <v>0</v>
      </c>
      <c r="L41" s="59">
        <f>COUNTIFS(Nov!$B:$B,2221,Nov!$J:$J,10)</f>
        <v>0</v>
      </c>
      <c r="M41" s="59">
        <v>0</v>
      </c>
    </row>
    <row r="42" spans="1:13" s="8" customFormat="1" ht="11.25" customHeight="1">
      <c r="A42" s="10" t="s">
        <v>144</v>
      </c>
      <c r="B42" s="59">
        <f>COUNTIFS(Jan!$B:$B,2221,Jan!$F:$F,462)</f>
        <v>0</v>
      </c>
      <c r="C42" s="59">
        <f>COUNTIFS(Feb!$B:$B,2221,Feb!$F:$F,462)</f>
        <v>0</v>
      </c>
      <c r="D42" s="59">
        <f>COUNTIFS(Mar!$B:$B,2221,Mar!$F:$F,462)</f>
        <v>0</v>
      </c>
      <c r="E42" s="59">
        <f>COUNTIFS(Apr!$B:$B,2221,Apr!$F:$F,462)</f>
        <v>0</v>
      </c>
      <c r="F42" s="59">
        <f>COUNTIFS(May!$B:$B,2221,May!$F:$F,462)</f>
        <v>0</v>
      </c>
      <c r="G42" s="59">
        <f>COUNTIFS(Jun!$B:$B,2221,Jun!$F:$F,462)</f>
        <v>0</v>
      </c>
      <c r="H42" s="59">
        <f>COUNTIFS(Jul!$B:$B,2221,Jul!$F:$F,462)</f>
        <v>0</v>
      </c>
      <c r="I42" s="59">
        <f>COUNTIFS(Aug!$B:$B,2221,Aug!$F:$F,462)</f>
        <v>0</v>
      </c>
      <c r="J42" s="59">
        <f>COUNTIFS(Sep!$B:$B,2221,Sep!$F:$F,462)</f>
        <v>0</v>
      </c>
      <c r="K42" s="59">
        <f>COUNTIFS(Oct!$B:$B,2221,Oct!$F:$F,462)</f>
        <v>0</v>
      </c>
      <c r="L42" s="59">
        <f>COUNTIFS(Nov!$B:$B,2221,Nov!$F:$F,462)</f>
        <v>0</v>
      </c>
      <c r="M42" s="59">
        <v>0</v>
      </c>
    </row>
    <row r="43" spans="1:13" s="8" customFormat="1" ht="11.25" customHeight="1">
      <c r="A43" s="10" t="s">
        <v>1</v>
      </c>
      <c r="B43" s="59">
        <f>COUNTIFS(Jan!$B:$B,2221,Jan!$J:$J,11)</f>
        <v>0</v>
      </c>
      <c r="C43" s="59">
        <f>COUNTIFS(Feb!$B:$B,2221,Feb!$J:$J,11)</f>
        <v>0</v>
      </c>
      <c r="D43" s="59">
        <f>COUNTIFS(Mar!$B:$B,2221,Mar!$J:$J,11)</f>
        <v>0</v>
      </c>
      <c r="E43" s="59">
        <f>COUNTIFS(Apr!$B:$B,2221,Apr!$J:$J,11)</f>
        <v>0</v>
      </c>
      <c r="F43" s="59">
        <f>COUNTIFS(May!$B:$B,2221,May!$J:$J,11)</f>
        <v>0</v>
      </c>
      <c r="G43" s="59">
        <f>COUNTIFS(Jun!$B:$B,2221,Jun!$J:$J,11)</f>
        <v>0</v>
      </c>
      <c r="H43" s="59">
        <f>COUNTIFS(Jul!$B:$B,2221,Jul!$J:$J,11)</f>
        <v>0</v>
      </c>
      <c r="I43" s="59">
        <f>COUNTIFS(Aug!$B:$B,2221,Aug!$J:$J,11)</f>
        <v>0</v>
      </c>
      <c r="J43" s="59">
        <f>COUNTIFS(Sep!$B:$B,2221,Sep!$J:$J,11)</f>
        <v>0</v>
      </c>
      <c r="K43" s="59">
        <f>COUNTIFS(Oct!$B:$B,2221,Oct!$J:$J,11)</f>
        <v>0</v>
      </c>
      <c r="L43" s="59">
        <f>COUNTIFS(Nov!$B:$B,2221,Nov!$J:$J,11)</f>
        <v>0</v>
      </c>
      <c r="M43" s="59">
        <v>0</v>
      </c>
    </row>
    <row r="44" spans="1:13" s="8" customFormat="1" ht="11.25" customHeight="1">
      <c r="A44" s="10" t="s">
        <v>26</v>
      </c>
      <c r="B44" s="59">
        <f>COUNTIFS(Jan!$B:$B,2221,Jan!$J:$J,20)</f>
        <v>0</v>
      </c>
      <c r="C44" s="59">
        <f>COUNTIFS(Feb!$B:$B,2221,Feb!$J:$J,20)</f>
        <v>0</v>
      </c>
      <c r="D44" s="59">
        <f>COUNTIFS(Mar!$B:$B,2221,Mar!$J:$J,20)</f>
        <v>0</v>
      </c>
      <c r="E44" s="59">
        <f>COUNTIFS(Apr!$B:$B,2221,Apr!$J:$J,20)</f>
        <v>0</v>
      </c>
      <c r="F44" s="59">
        <f>COUNTIFS(May!$B:$B,2221,May!$J:$J,20)</f>
        <v>0</v>
      </c>
      <c r="G44" s="59">
        <f>COUNTIFS(Jun!$B:$B,2221,Jun!$J:$J,20)</f>
        <v>0</v>
      </c>
      <c r="H44" s="59">
        <f>COUNTIFS(Jul!$B:$B,2221,Jul!$J:$J,20)</f>
        <v>0</v>
      </c>
      <c r="I44" s="59">
        <f>COUNTIFS(Aug!$B:$B,2221,Aug!$J:$J,20)</f>
        <v>0</v>
      </c>
      <c r="J44" s="59">
        <f>COUNTIFS(Sep!$B:$B,2221,Sep!$J:$J,20)</f>
        <v>0</v>
      </c>
      <c r="K44" s="59">
        <f>COUNTIFS(Oct!$B:$B,2221,Oct!$J:$J,20)</f>
        <v>0</v>
      </c>
      <c r="L44" s="59">
        <f>COUNTIFS(Nov!$B:$B,2221,Nov!$J:$J,20)</f>
        <v>0</v>
      </c>
      <c r="M44" s="59">
        <v>0</v>
      </c>
    </row>
    <row r="45" spans="1:13" s="8" customFormat="1" ht="11.25" customHeight="1">
      <c r="A45" s="10" t="s">
        <v>32</v>
      </c>
      <c r="B45" s="59">
        <f>COUNTIFS(Jan!$B:$B,2221,Jan!$J:$J,2)</f>
        <v>0</v>
      </c>
      <c r="C45" s="59">
        <f>COUNTIFS(Feb!$B:$B,2221,Feb!$J:$J,2)</f>
        <v>0</v>
      </c>
      <c r="D45" s="59">
        <f>COUNTIFS(Mar!$B:$B,2221,Mar!$J:$J,2)</f>
        <v>0</v>
      </c>
      <c r="E45" s="59">
        <f>COUNTIFS(Apr!$B:$B,2221,Apr!$J:$J,2)</f>
        <v>0</v>
      </c>
      <c r="F45" s="59">
        <f>COUNTIFS(May!$B:$B,2221,May!$J:$J,2)</f>
        <v>0</v>
      </c>
      <c r="G45" s="59">
        <f>COUNTIFS(Jun!$B:$B,2221,Jun!$J:$J,2)</f>
        <v>0</v>
      </c>
      <c r="H45" s="59">
        <f>COUNTIFS(Jul!$B:$B,2221,Jul!$J:$J,2)</f>
        <v>0</v>
      </c>
      <c r="I45" s="59">
        <f>COUNTIFS(Aug!$B:$B,2221,Aug!$J:$J,2)</f>
        <v>0</v>
      </c>
      <c r="J45" s="59">
        <f>COUNTIFS(Sep!$B:$B,2221,Sep!$J:$J,2)</f>
        <v>0</v>
      </c>
      <c r="K45" s="59">
        <f>COUNTIFS(Oct!$B:$B,2221,Oct!$J:$J,2)</f>
        <v>0</v>
      </c>
      <c r="L45" s="59">
        <f>COUNTIFS(Nov!$B:$B,2221,Nov!$J:$J,2)</f>
        <v>0</v>
      </c>
      <c r="M45" s="59">
        <v>0</v>
      </c>
    </row>
    <row r="46" spans="1:13" s="8" customFormat="1" ht="11.25" customHeight="1">
      <c r="A46" s="10" t="s">
        <v>28</v>
      </c>
      <c r="B46" s="59">
        <f>COUNTIFS(Jan!$B:$B,2221,Jan!$J:$J,1700)+COUNTIFS(Jan!$B:$B,2221,Jan!$F:$F,1700)+COUNTIFS(Jan!$B:$B,2221,Jan!$J:$J,19)</f>
        <v>0</v>
      </c>
      <c r="C46" s="59">
        <f>COUNTIFS(Feb!$B:$B,2221,Feb!$J:$J,1700)+COUNTIFS(Feb!$B:$B,2221,Feb!$F:$F,1700)+COUNTIFS(Feb!$B:$B,2221,Feb!$J:$J,19)</f>
        <v>0</v>
      </c>
      <c r="D46" s="59">
        <f>COUNTIFS(Mar!$B:$B,2221,Mar!$J:$J,1700)+COUNTIFS(Mar!$B:$B,2221,Mar!$F:$F,1700)+COUNTIFS(Mar!$B:$B,2221,Mar!$J:$J,19)</f>
        <v>0</v>
      </c>
      <c r="E46" s="59">
        <f>COUNTIFS(Apr!$B:$B,2221,Apr!$J:$J,1700)+COUNTIFS(Apr!$B:$B,2221,Apr!$F:$F,1700)+COUNTIFS(Apr!$B:$B,2221,Apr!$J:$J,19)</f>
        <v>0</v>
      </c>
      <c r="F46" s="59">
        <f>COUNTIFS(May!$B:$B,2221,May!$J:$J,1700)+COUNTIFS(May!$B:$B,2221,May!$F:$F,1700)+COUNTIFS(May!$B:$B,2221,May!$J:$J,19)</f>
        <v>0</v>
      </c>
      <c r="G46" s="59">
        <f>COUNTIFS(Jun!$B:$B,2221,Jun!$J:$J,1700)+COUNTIFS(Jun!$B:$B,2221,Jun!$F:$F,1700)+COUNTIFS(Jun!$B:$B,2221,Jun!$J:$J,19)</f>
        <v>0</v>
      </c>
      <c r="H46" s="59">
        <f>COUNTIFS(Jul!$B:$B,2221,Jul!$J:$J,1700)+COUNTIFS(Jul!$B:$B,2221,Jul!$F:$F,1700)+COUNTIFS(Jul!$B:$B,2221,Jul!$J:$J,19)</f>
        <v>0</v>
      </c>
      <c r="I46" s="59">
        <f>COUNTIFS(Aug!$B:$B,2221,Aug!$J:$J,1700)+COUNTIFS(Aug!$B:$B,2221,Aug!$F:$F,1700)+COUNTIFS(Aug!$B:$B,2221,Aug!$J:$J,19)</f>
        <v>0</v>
      </c>
      <c r="J46" s="59">
        <f>COUNTIFS(Sep!$B:$B,2221,Sep!$J:$J,1700)+COUNTIFS(Sep!$B:$B,2221,Sep!$F:$F,1700)+COUNTIFS(Sep!$B:$B,2221,Sep!$J:$J,19)</f>
        <v>0</v>
      </c>
      <c r="K46" s="59">
        <f>COUNTIFS(Oct!$B:$B,2221,Oct!$J:$J,1700)+COUNTIFS(Oct!$B:$B,2221,Oct!$F:$F,1700)+COUNTIFS(Oct!$B:$B,2221,Oct!$J:$J,19)</f>
        <v>0</v>
      </c>
      <c r="L46" s="59">
        <f>COUNTIFS(Nov!$B:$B,2221,Nov!$J:$J,1700)+COUNTIFS(Nov!$B:$B,2221,Nov!$F:$F,1700)+COUNTIFS(Nov!$B:$B,2221,Nov!$J:$J,19)</f>
        <v>0</v>
      </c>
      <c r="M46" s="59">
        <v>0</v>
      </c>
    </row>
    <row r="47" spans="1:13" s="8" customFormat="1" ht="11.25" customHeight="1">
      <c r="A47" s="10" t="s">
        <v>0</v>
      </c>
      <c r="B47" s="59">
        <f>COUNTIFS(Jan!$B:$B,2221,Jan!$J:$J,3)</f>
        <v>0</v>
      </c>
      <c r="C47" s="59">
        <f>COUNTIFS(Feb!$B:$B,2221,Feb!$J:$J,3)</f>
        <v>0</v>
      </c>
      <c r="D47" s="59">
        <f>COUNTIFS(Mar!$B:$B,2221,Mar!$J:$J,3)</f>
        <v>0</v>
      </c>
      <c r="E47" s="59">
        <f>COUNTIFS(Apr!$B:$B,2221,Apr!$J:$J,3)</f>
        <v>0</v>
      </c>
      <c r="F47" s="59">
        <f>COUNTIFS(May!$B:$B,2221,May!$J:$J,3)</f>
        <v>0</v>
      </c>
      <c r="G47" s="59">
        <f>COUNTIFS(Jun!$B:$B,2221,Jun!$J:$J,3)</f>
        <v>0</v>
      </c>
      <c r="H47" s="59">
        <f>COUNTIFS(Jul!$B:$B,2221,Jul!$J:$J,3)</f>
        <v>0</v>
      </c>
      <c r="I47" s="59">
        <f>COUNTIFS(Aug!$B:$B,2221,Aug!$J:$J,3)</f>
        <v>0</v>
      </c>
      <c r="J47" s="59">
        <f>COUNTIFS(Sep!$B:$B,2221,Sep!$J:$J,3)</f>
        <v>0</v>
      </c>
      <c r="K47" s="59">
        <f>COUNTIFS(Oct!$B:$B,2221,Oct!$J:$J,3)</f>
        <v>0</v>
      </c>
      <c r="L47" s="59">
        <f>COUNTIFS(Nov!$B:$B,2221,Nov!$J:$J,3)</f>
        <v>0</v>
      </c>
      <c r="M47" s="59">
        <v>0</v>
      </c>
    </row>
    <row r="48" spans="1:13" s="8" customFormat="1" ht="11.25" customHeight="1">
      <c r="A48" s="10" t="s">
        <v>35</v>
      </c>
      <c r="B48" s="59">
        <f>COUNTIFS(Jan!$B:$B,2221,Jan!$J:$J,7400)</f>
        <v>0</v>
      </c>
      <c r="C48" s="59">
        <f>COUNTIFS(Feb!$B:$B,2221,Feb!$J:$J,7400)</f>
        <v>0</v>
      </c>
      <c r="D48" s="59">
        <f>COUNTIFS(Mar!$B:$B,2221,Mar!$J:$J,7400)</f>
        <v>0</v>
      </c>
      <c r="E48" s="59">
        <f>COUNTIFS(Apr!$B:$B,2221,Apr!$J:$J,7400)</f>
        <v>0</v>
      </c>
      <c r="F48" s="59">
        <f>COUNTIFS(May!$B:$B,2221,May!$J:$J,7400)</f>
        <v>0</v>
      </c>
      <c r="G48" s="59">
        <f>COUNTIFS(Jun!$B:$B,2221,Jun!$J:$J,7400)</f>
        <v>0</v>
      </c>
      <c r="H48" s="59">
        <f>COUNTIFS(Jul!$B:$B,2221,Jul!$J:$J,7400)</f>
        <v>0</v>
      </c>
      <c r="I48" s="59">
        <f>COUNTIFS(Aug!$B:$B,2221,Aug!$J:$J,7400)</f>
        <v>0</v>
      </c>
      <c r="J48" s="59">
        <f>COUNTIFS(Sep!$B:$B,2221,Sep!$J:$J,7400)</f>
        <v>0</v>
      </c>
      <c r="K48" s="59">
        <f>COUNTIFS(Oct!$B:$B,2221,Oct!$J:$J,7400)</f>
        <v>0</v>
      </c>
      <c r="L48" s="59">
        <f>COUNTIFS(Nov!$B:$B,2221,Nov!$J:$J,7400)</f>
        <v>0</v>
      </c>
      <c r="M48" s="59">
        <v>0</v>
      </c>
    </row>
    <row r="49" spans="1:13" s="8" customFormat="1" ht="11.25" customHeight="1">
      <c r="A49" s="10" t="s">
        <v>2</v>
      </c>
      <c r="B49" s="59">
        <f>COUNTIFS(Jan!$B:$B,2221,Jan!$J:$J,14)</f>
        <v>0</v>
      </c>
      <c r="C49" s="59">
        <f>COUNTIFS(Feb!$B:$B,2221,Feb!$J:$J,14)</f>
        <v>0</v>
      </c>
      <c r="D49" s="59">
        <f>COUNTIFS(Mar!$B:$B,2221,Mar!$J:$J,14)</f>
        <v>0</v>
      </c>
      <c r="E49" s="59">
        <f>COUNTIFS(Apr!$B:$B,2221,Apr!$J:$J,14)</f>
        <v>0</v>
      </c>
      <c r="F49" s="59">
        <f>COUNTIFS(May!$B:$B,2221,May!$J:$J,14)</f>
        <v>0</v>
      </c>
      <c r="G49" s="59">
        <f>COUNTIFS(Jun!$B:$B,2221,Jun!$J:$J,14)</f>
        <v>0</v>
      </c>
      <c r="H49" s="59">
        <f>COUNTIFS(Jul!$B:$B,2221,Jul!$J:$J,14)</f>
        <v>0</v>
      </c>
      <c r="I49" s="59">
        <f>COUNTIFS(Aug!$B:$B,2221,Aug!$J:$J,14)</f>
        <v>0</v>
      </c>
      <c r="J49" s="59">
        <f>COUNTIFS(Sep!$B:$B,2221,Sep!$J:$J,14)</f>
        <v>0</v>
      </c>
      <c r="K49" s="59">
        <f>COUNTIFS(Oct!$B:$B,2221,Oct!$J:$J,14)</f>
        <v>0</v>
      </c>
      <c r="L49" s="59">
        <f>COUNTIFS(Nov!$B:$B,2221,Nov!$J:$J,14)</f>
        <v>0</v>
      </c>
      <c r="M49" s="59">
        <v>0</v>
      </c>
    </row>
    <row r="50" spans="1:13" s="8" customFormat="1" ht="11.25" customHeight="1">
      <c r="A50" s="10" t="s">
        <v>142</v>
      </c>
      <c r="B50" s="59">
        <f>COUNTIFS(Jan!$B:$B,2221,Jan!$F:$F,466)</f>
        <v>0</v>
      </c>
      <c r="C50" s="59">
        <f>COUNTIFS(Feb!$B:$B,2221,Feb!$F:$F,466)</f>
        <v>0</v>
      </c>
      <c r="D50" s="59">
        <f>COUNTIFS(Mar!$B:$B,2221,Mar!$F:$F,466)</f>
        <v>0</v>
      </c>
      <c r="E50" s="59">
        <f>COUNTIFS(Apr!$B:$B,2221,Apr!$F:$F,466)</f>
        <v>0</v>
      </c>
      <c r="F50" s="59">
        <f>COUNTIFS(May!$B:$B,2221,May!$F:$F,466)</f>
        <v>0</v>
      </c>
      <c r="G50" s="59">
        <f>COUNTIFS(Jun!$B:$B,2221,Jun!$F:$F,466)</f>
        <v>0</v>
      </c>
      <c r="H50" s="59">
        <f>COUNTIFS(Jul!$B:$B,2221,Jul!$F:$F,466)</f>
        <v>0</v>
      </c>
      <c r="I50" s="59">
        <f>COUNTIFS(Aug!$B:$B,2221,Aug!$F:$F,466)</f>
        <v>0</v>
      </c>
      <c r="J50" s="59">
        <f>COUNTIFS(Sep!$B:$B,2221,Sep!$F:$F,466)</f>
        <v>0</v>
      </c>
      <c r="K50" s="59">
        <f>COUNTIFS(Oct!$B:$B,2221,Oct!$F:$F,466)</f>
        <v>0</v>
      </c>
      <c r="L50" s="59">
        <f>COUNTIFS(Nov!$B:$B,2221,Nov!$F:$F,466)</f>
        <v>0</v>
      </c>
      <c r="M50" s="59">
        <v>0</v>
      </c>
    </row>
    <row r="51" spans="1:13" s="8" customFormat="1" ht="11.25" customHeight="1">
      <c r="A51" s="10" t="s">
        <v>27</v>
      </c>
      <c r="B51" s="59">
        <f>COUNTIFS(Jan!$B:$B,2221,Jan!$J:$J,25)</f>
        <v>0</v>
      </c>
      <c r="C51" s="59">
        <f>COUNTIFS(Feb!$B:$B,2221,Feb!$J:$J,25)</f>
        <v>0</v>
      </c>
      <c r="D51" s="59">
        <f>COUNTIFS(Mar!$B:$B,2221,Mar!$J:$J,25)</f>
        <v>0</v>
      </c>
      <c r="E51" s="59">
        <f>COUNTIFS(Apr!$B:$B,2221,Apr!$J:$J,25)</f>
        <v>0</v>
      </c>
      <c r="F51" s="59">
        <f>COUNTIFS(May!$B:$B,2221,May!$J:$J,25)</f>
        <v>0</v>
      </c>
      <c r="G51" s="59">
        <f>COUNTIFS(Jun!$B:$B,2221,Jun!$J:$J,25)</f>
        <v>0</v>
      </c>
      <c r="H51" s="59">
        <f>COUNTIFS(Jul!$B:$B,2221,Jul!$J:$J,25)</f>
        <v>0</v>
      </c>
      <c r="I51" s="59">
        <f>COUNTIFS(Aug!$B:$B,2221,Aug!$J:$J,25)</f>
        <v>0</v>
      </c>
      <c r="J51" s="59">
        <f>COUNTIFS(Sep!$B:$B,2221,Sep!$J:$J,25)</f>
        <v>0</v>
      </c>
      <c r="K51" s="59">
        <f>COUNTIFS(Oct!$B:$B,2221,Oct!$J:$J,25)</f>
        <v>0</v>
      </c>
      <c r="L51" s="59">
        <f>COUNTIFS(Nov!$B:$B,2221,Nov!$J:$J,25)</f>
        <v>0</v>
      </c>
      <c r="M51" s="59">
        <v>0</v>
      </c>
    </row>
    <row r="52" spans="1:13" s="8" customFormat="1" ht="11.25" customHeight="1" thickBot="1">
      <c r="A52" s="11" t="s">
        <v>16</v>
      </c>
      <c r="B52" s="60">
        <f>SUM(B34:B51)</f>
        <v>0</v>
      </c>
      <c r="C52" s="60">
        <f t="shared" ref="C52:M52" si="11">SUM(C34:C51)</f>
        <v>0</v>
      </c>
      <c r="D52" s="60">
        <f>SUM(D34:D51)</f>
        <v>0</v>
      </c>
      <c r="E52" s="60">
        <f>SUM(E34:E51)</f>
        <v>0</v>
      </c>
      <c r="F52" s="60">
        <f>SUM(F34:F51)</f>
        <v>0</v>
      </c>
      <c r="G52" s="60">
        <f>SUM(G34:G51)</f>
        <v>0</v>
      </c>
      <c r="H52" s="60">
        <f t="shared" si="11"/>
        <v>0</v>
      </c>
      <c r="I52" s="60">
        <f t="shared" si="11"/>
        <v>0</v>
      </c>
      <c r="J52" s="60">
        <f t="shared" si="11"/>
        <v>0</v>
      </c>
      <c r="K52" s="60">
        <f t="shared" si="11"/>
        <v>0</v>
      </c>
      <c r="L52" s="159">
        <f t="shared" si="11"/>
        <v>0</v>
      </c>
      <c r="M52" s="170">
        <f t="shared" si="11"/>
        <v>0</v>
      </c>
    </row>
    <row r="53" spans="1:13" ht="12" customHeight="1" thickBot="1">
      <c r="A53" s="55" t="s">
        <v>137</v>
      </c>
      <c r="B53" s="50">
        <v>41275</v>
      </c>
      <c r="C53" s="47">
        <v>41306</v>
      </c>
      <c r="D53" s="47">
        <v>41334</v>
      </c>
      <c r="E53" s="47">
        <v>41365</v>
      </c>
      <c r="F53" s="47">
        <v>41395</v>
      </c>
      <c r="G53" s="47">
        <v>41426</v>
      </c>
      <c r="H53" s="47">
        <v>41456</v>
      </c>
      <c r="I53" s="47">
        <v>41487</v>
      </c>
      <c r="J53" s="47">
        <v>41518</v>
      </c>
      <c r="K53" s="47">
        <v>41548</v>
      </c>
      <c r="L53" s="47">
        <v>41579</v>
      </c>
      <c r="M53" s="51">
        <v>41609</v>
      </c>
    </row>
    <row r="54" spans="1:13" s="8" customFormat="1" ht="11.25" customHeight="1">
      <c r="A54" s="10" t="s">
        <v>30</v>
      </c>
      <c r="B54" s="57">
        <f>COUNTIFS(Jan!$B:$B,2221,Jan!$J:$J,7)</f>
        <v>0</v>
      </c>
      <c r="C54" s="57">
        <f>COUNTIFS(Feb!$B:$B,2221,Feb!$J:$J,7)</f>
        <v>0</v>
      </c>
      <c r="D54" s="57">
        <f>COUNTIFS(Mar!$B:$B,2221,Mar!$J:$J,7)</f>
        <v>0</v>
      </c>
      <c r="E54" s="57">
        <f>COUNTIFS(Apr!$B:$B,2221,Apr!$J:$J,7)</f>
        <v>0</v>
      </c>
      <c r="F54" s="57">
        <f>COUNTIFS(May!$B:$B,2221,May!$J:$J,7)</f>
        <v>0</v>
      </c>
      <c r="G54" s="57">
        <f>COUNTIFS(Jun!$B:$B,2221,Jun!$J:$J,7)</f>
        <v>0</v>
      </c>
      <c r="H54" s="57">
        <f>COUNTIFS(Jul!$B:$B,2221,Jul!$J:$J,7)</f>
        <v>0</v>
      </c>
      <c r="I54" s="57">
        <f>COUNTIFS(Aug!$B:$B,2221,Aug!$J:$J,7)</f>
        <v>0</v>
      </c>
      <c r="J54" s="57">
        <f>COUNTIFS(Sep!$B:$B,2221,Sep!$J:$J,7)</f>
        <v>0</v>
      </c>
      <c r="K54" s="57">
        <f>COUNTIFS(Oct!$B:$B,2221,Oct!$J:$J,7)</f>
        <v>0</v>
      </c>
      <c r="L54" s="57">
        <f>COUNTIFS(Nov!$B:$B,2221,Nov!$J:$J,7)</f>
        <v>0</v>
      </c>
      <c r="M54" s="57">
        <v>0</v>
      </c>
    </row>
    <row r="55" spans="1:13" s="8" customFormat="1" ht="11.25" customHeight="1">
      <c r="A55" s="10" t="s">
        <v>29</v>
      </c>
      <c r="B55" s="59">
        <f>COUNTIFS(Jan!$B:$B,2221,Jan!$J:$J,8)</f>
        <v>0</v>
      </c>
      <c r="C55" s="59">
        <f>COUNTIFS(Feb!$B:$B,2221,Feb!$J:$J,8)</f>
        <v>0</v>
      </c>
      <c r="D55" s="59">
        <f>COUNTIFS(Mar!$B:$B,2221,Mar!$J:$J,8)</f>
        <v>0</v>
      </c>
      <c r="E55" s="59">
        <f>COUNTIFS(Apr!$B:$B,2221,Apr!$J:$J,8)</f>
        <v>0</v>
      </c>
      <c r="F55" s="59">
        <f>COUNTIFS(May!$B:$B,2221,May!$J:$J,8)</f>
        <v>0</v>
      </c>
      <c r="G55" s="59">
        <f>COUNTIFS(Jun!$B:$B,2221,Jun!$J:$J,8)</f>
        <v>0</v>
      </c>
      <c r="H55" s="59">
        <f>COUNTIFS(Jul!$B:$B,2221,Jul!$J:$J,8)</f>
        <v>0</v>
      </c>
      <c r="I55" s="59">
        <f>COUNTIFS(Aug!$B:$B,2221,Aug!$J:$J,8)</f>
        <v>0</v>
      </c>
      <c r="J55" s="59">
        <f>COUNTIFS(Sep!$B:$B,2221,Sep!$J:$J,8)</f>
        <v>0</v>
      </c>
      <c r="K55" s="59">
        <f>COUNTIFS(Oct!$B:$B,2221,Oct!$J:$J,8)</f>
        <v>0</v>
      </c>
      <c r="L55" s="59">
        <f>COUNTIFS(Nov!$B:$B,2221,Nov!$J:$J,8)</f>
        <v>0</v>
      </c>
      <c r="M55" s="59">
        <v>0</v>
      </c>
    </row>
    <row r="56" spans="1:13" s="8" customFormat="1" ht="11.25" customHeight="1">
      <c r="A56" s="10" t="s">
        <v>7</v>
      </c>
      <c r="B56" s="59">
        <f>COUNTIFS(Jan!$B:$B,2221,Jan!$J:$J,12)</f>
        <v>0</v>
      </c>
      <c r="C56" s="59">
        <f>COUNTIFS(Feb!$B:$B,2221,Feb!$J:$J,12)</f>
        <v>0</v>
      </c>
      <c r="D56" s="59">
        <f>COUNTIFS(Mar!$B:$B,2221,Mar!$J:$J,12)</f>
        <v>0</v>
      </c>
      <c r="E56" s="59">
        <f>COUNTIFS(Apr!$B:$B,2221,Apr!$J:$J,12)</f>
        <v>0</v>
      </c>
      <c r="F56" s="59">
        <f>COUNTIFS(May!$B:$B,2221,May!$J:$J,12)</f>
        <v>0</v>
      </c>
      <c r="G56" s="59">
        <f>COUNTIFS(Jun!$B:$B,2221,Jun!$J:$J,12)</f>
        <v>0</v>
      </c>
      <c r="H56" s="59">
        <f>COUNTIFS(Jul!$B:$B,2221,Jul!$J:$J,12)</f>
        <v>0</v>
      </c>
      <c r="I56" s="59">
        <f>COUNTIFS(Aug!$B:$B,2221,Aug!$J:$J,12)</f>
        <v>0</v>
      </c>
      <c r="J56" s="59">
        <f>COUNTIFS(Sep!$B:$B,2221,Sep!$J:$J,12)</f>
        <v>0</v>
      </c>
      <c r="K56" s="59">
        <f>COUNTIFS(Oct!$B:$B,2221,Oct!$J:$J,12)</f>
        <v>0</v>
      </c>
      <c r="L56" s="59">
        <f>COUNTIFS(Nov!$B:$B,2221,Nov!$J:$J,12)</f>
        <v>0</v>
      </c>
      <c r="M56" s="59">
        <v>0</v>
      </c>
    </row>
    <row r="57" spans="1:13" s="8" customFormat="1" ht="11.25" customHeight="1">
      <c r="A57" s="10" t="s">
        <v>10</v>
      </c>
      <c r="B57" s="59">
        <f>COUNTIFS(Jan!$B:$B,2221,Jan!$J:$J,5100)</f>
        <v>0</v>
      </c>
      <c r="C57" s="59">
        <f>COUNTIFS(Feb!$B:$B,2221,Feb!$J:$J,5100)</f>
        <v>0</v>
      </c>
      <c r="D57" s="59">
        <f>COUNTIFS(Mar!$B:$B,2221,Mar!$J:$J,5100)</f>
        <v>0</v>
      </c>
      <c r="E57" s="59">
        <f>COUNTIFS(Apr!$B:$B,2221,Apr!$J:$J,5100)</f>
        <v>0</v>
      </c>
      <c r="F57" s="59">
        <f>COUNTIFS(May!$B:$B,2221,May!$J:$J,5100)</f>
        <v>0</v>
      </c>
      <c r="G57" s="59">
        <f>COUNTIFS(Jun!$B:$B,2221,Jun!$J:$J,5100)</f>
        <v>0</v>
      </c>
      <c r="H57" s="59">
        <f>COUNTIFS(Jul!$B:$B,2221,Jul!$J:$J,5100)</f>
        <v>0</v>
      </c>
      <c r="I57" s="59">
        <f>COUNTIFS(Aug!$B:$B,2221,Aug!$J:$J,5100)</f>
        <v>0</v>
      </c>
      <c r="J57" s="59">
        <f>COUNTIFS(Sep!$B:$B,2221,Sep!$J:$J,5100)</f>
        <v>0</v>
      </c>
      <c r="K57" s="59">
        <f>COUNTIFS(Oct!$B:$B,2221,Oct!$J:$J,5100)</f>
        <v>0</v>
      </c>
      <c r="L57" s="59">
        <f>COUNTIFS(Nov!$B:$B,2221,Nov!$J:$J,5100)</f>
        <v>0</v>
      </c>
      <c r="M57" s="59">
        <v>0</v>
      </c>
    </row>
    <row r="58" spans="1:13" s="8" customFormat="1" ht="11.25" customHeight="1">
      <c r="A58" s="10" t="s">
        <v>36</v>
      </c>
      <c r="B58" s="59">
        <f>COUNTIFS(Jan!$B:$B,2221,Jan!$J:$J,6200)</f>
        <v>0</v>
      </c>
      <c r="C58" s="59">
        <f>COUNTIFS(Feb!$B:$B,2221,Feb!$J:$J,6200)</f>
        <v>0</v>
      </c>
      <c r="D58" s="59">
        <f>COUNTIFS(Mar!$B:$B,2221,Mar!$J:$J,6200)</f>
        <v>0</v>
      </c>
      <c r="E58" s="59">
        <f>COUNTIFS(Apr!$B:$B,2221,Apr!$J:$J,6200)</f>
        <v>0</v>
      </c>
      <c r="F58" s="59">
        <f>COUNTIFS(May!$B:$B,2221,May!$J:$J,6200)</f>
        <v>0</v>
      </c>
      <c r="G58" s="59">
        <f>COUNTIFS(Jun!$B:$B,2221,Jun!$J:$J,6200)</f>
        <v>0</v>
      </c>
      <c r="H58" s="59">
        <f>COUNTIFS(Jul!$B:$B,2221,Jul!$J:$J,6200)</f>
        <v>0</v>
      </c>
      <c r="I58" s="59">
        <f>COUNTIFS(Aug!$B:$B,2221,Aug!$J:$J,6200)</f>
        <v>0</v>
      </c>
      <c r="J58" s="59">
        <f>COUNTIFS(Sep!$B:$B,2221,Sep!$J:$J,6200)</f>
        <v>0</v>
      </c>
      <c r="K58" s="59">
        <f>COUNTIFS(Oct!$B:$B,2221,Oct!$J:$J,6200)</f>
        <v>0</v>
      </c>
      <c r="L58" s="59">
        <f>COUNTIFS(Nov!$B:$B,2221,Nov!$J:$J,6200)</f>
        <v>0</v>
      </c>
      <c r="M58" s="59">
        <v>0</v>
      </c>
    </row>
    <row r="59" spans="1:13" s="8" customFormat="1" ht="11.25" customHeight="1">
      <c r="A59" s="10" t="s">
        <v>145</v>
      </c>
      <c r="B59" s="59">
        <f>COUNTIFS(Jan!$B:$B,2221,Jan!$J:$J,28)</f>
        <v>0</v>
      </c>
      <c r="C59" s="59">
        <f>COUNTIFS(Feb!$B:$B,2221,Feb!$J:$J,28)</f>
        <v>0</v>
      </c>
      <c r="D59" s="59">
        <f>COUNTIFS(Mar!$B:$B,2221,Mar!$J:$J,28)</f>
        <v>0</v>
      </c>
      <c r="E59" s="59">
        <f>COUNTIFS(Apr!$B:$B,2221,Apr!$J:$J,28)</f>
        <v>0</v>
      </c>
      <c r="F59" s="59">
        <f>COUNTIFS(May!$B:$B,2221,May!$J:$J,28)</f>
        <v>0</v>
      </c>
      <c r="G59" s="59">
        <f>COUNTIFS(Jun!$B:$B,2221,Jun!$J:$J,28)</f>
        <v>0</v>
      </c>
      <c r="H59" s="59">
        <f>COUNTIFS(Jul!$B:$B,2221,Jul!$J:$J,28)</f>
        <v>0</v>
      </c>
      <c r="I59" s="59">
        <f>COUNTIFS(Aug!$B:$B,2221,Aug!$J:$J,28)</f>
        <v>0</v>
      </c>
      <c r="J59" s="59">
        <f>COUNTIFS(Sep!$B:$B,2221,Sep!$J:$J,28)</f>
        <v>0</v>
      </c>
      <c r="K59" s="59">
        <f>COUNTIFS(Oct!$B:$B,2221,Oct!$J:$J,28)</f>
        <v>0</v>
      </c>
      <c r="L59" s="59">
        <f>COUNTIFS(Nov!$B:$B,2221,Nov!$J:$J,28)</f>
        <v>0</v>
      </c>
      <c r="M59" s="59">
        <v>0</v>
      </c>
    </row>
    <row r="60" spans="1:13" s="8" customFormat="1" ht="11.25" customHeight="1">
      <c r="A60" s="10" t="s">
        <v>38</v>
      </c>
      <c r="B60" s="59">
        <f>COUNTIFS(Jan!$B:$B,2221,Jan!$J:$J,6100)</f>
        <v>0</v>
      </c>
      <c r="C60" s="59">
        <f>COUNTIFS(Feb!$B:$B,2221,Feb!$J:$J,6100)</f>
        <v>0</v>
      </c>
      <c r="D60" s="59">
        <f>COUNTIFS(Mar!$B:$B,2221,Mar!$J:$J,6100)</f>
        <v>0</v>
      </c>
      <c r="E60" s="59">
        <f>COUNTIFS(Apr!$B:$B,2221,Apr!$J:$J,6100)</f>
        <v>0</v>
      </c>
      <c r="F60" s="59">
        <f>COUNTIFS(May!$B:$B,2221,May!$J:$J,6100)</f>
        <v>0</v>
      </c>
      <c r="G60" s="59">
        <f>COUNTIFS(Jun!$B:$B,2221,Jun!$J:$J,6100)</f>
        <v>0</v>
      </c>
      <c r="H60" s="59">
        <f>COUNTIFS(Jul!$B:$B,2221,Jul!$J:$J,6100)</f>
        <v>0</v>
      </c>
      <c r="I60" s="59">
        <f>COUNTIFS(Aug!$B:$B,2221,Aug!$J:$J,6100)</f>
        <v>0</v>
      </c>
      <c r="J60" s="59">
        <f>COUNTIFS(Sep!$B:$B,2221,Sep!$J:$J,6100)</f>
        <v>0</v>
      </c>
      <c r="K60" s="59">
        <f>COUNTIFS(Oct!$B:$B,2221,Oct!$J:$J,6100)</f>
        <v>0</v>
      </c>
      <c r="L60" s="59">
        <f>COUNTIFS(Nov!$B:$B,2221,Nov!$J:$J,6100)</f>
        <v>0</v>
      </c>
      <c r="M60" s="59">
        <v>0</v>
      </c>
    </row>
    <row r="61" spans="1:13" s="8" customFormat="1" ht="11.25" customHeight="1">
      <c r="A61" s="10" t="s">
        <v>9</v>
      </c>
      <c r="B61" s="59">
        <f>COUNTIFS(Jan!$B:$B,2221,Jan!$J:$J,6)</f>
        <v>0</v>
      </c>
      <c r="C61" s="59">
        <f>COUNTIFS(Feb!$B:$B,2221,Feb!$J:$J,6)</f>
        <v>0</v>
      </c>
      <c r="D61" s="59">
        <f>COUNTIFS(Mar!$B:$B,2221,Mar!$J:$J,6)</f>
        <v>0</v>
      </c>
      <c r="E61" s="59">
        <f>COUNTIFS(Apr!$B:$B,2221,Apr!$J:$J,6)</f>
        <v>0</v>
      </c>
      <c r="F61" s="59">
        <f>COUNTIFS(May!$B:$B,2221,May!$J:$J,6)</f>
        <v>0</v>
      </c>
      <c r="G61" s="59">
        <f>COUNTIFS(Jun!$B:$B,2221,Jun!$J:$J,6)</f>
        <v>0</v>
      </c>
      <c r="H61" s="59">
        <f>COUNTIFS(Jul!$B:$B,2221,Jul!$J:$J,6)</f>
        <v>0</v>
      </c>
      <c r="I61" s="59">
        <f>COUNTIFS(Aug!$B:$B,2221,Aug!$J:$J,6)</f>
        <v>0</v>
      </c>
      <c r="J61" s="59">
        <f>COUNTIFS(Sep!$B:$B,2221,Sep!$J:$J,6)</f>
        <v>0</v>
      </c>
      <c r="K61" s="59">
        <f>COUNTIFS(Oct!$B:$B,2221,Oct!$J:$J,6)</f>
        <v>0</v>
      </c>
      <c r="L61" s="59">
        <f>COUNTIFS(Nov!$B:$B,2221,Nov!$J:$J,6)</f>
        <v>0</v>
      </c>
      <c r="M61" s="59">
        <v>0</v>
      </c>
    </row>
    <row r="62" spans="1:13" s="8" customFormat="1" ht="11.25" customHeight="1">
      <c r="A62" s="10" t="s">
        <v>8</v>
      </c>
      <c r="B62" s="59">
        <f>COUNTIFS(Jan!$B:$B,2221,Jan!$J:$J,4)</f>
        <v>0</v>
      </c>
      <c r="C62" s="59">
        <f>COUNTIFS(Feb!$B:$B,2221,Feb!$J:$J,4)</f>
        <v>0</v>
      </c>
      <c r="D62" s="59">
        <f>COUNTIFS(Mar!$B:$B,2221,Mar!$J:$J,4)</f>
        <v>0</v>
      </c>
      <c r="E62" s="59">
        <f>COUNTIFS(Apr!$B:$B,2221,Apr!$J:$J,4)</f>
        <v>0</v>
      </c>
      <c r="F62" s="59">
        <f>COUNTIFS(May!$B:$B,2221,May!$J:$J,4)</f>
        <v>0</v>
      </c>
      <c r="G62" s="59">
        <f>COUNTIFS(Jun!$B:$B,2221,Jun!$J:$J,4)</f>
        <v>0</v>
      </c>
      <c r="H62" s="59">
        <f>COUNTIFS(Jul!$B:$B,2221,Jul!$J:$J,4)</f>
        <v>0</v>
      </c>
      <c r="I62" s="59">
        <f>COUNTIFS(Aug!$B:$B,2221,Aug!$J:$J,4)</f>
        <v>0</v>
      </c>
      <c r="J62" s="59">
        <f>COUNTIFS(Sep!$B:$B,2221,Sep!$J:$J,4)</f>
        <v>0</v>
      </c>
      <c r="K62" s="59">
        <f>COUNTIFS(Oct!$B:$B,2221,Oct!$J:$J,4)</f>
        <v>0</v>
      </c>
      <c r="L62" s="59">
        <f>COUNTIFS(Nov!$B:$B,2221,Nov!$J:$J,4)</f>
        <v>0</v>
      </c>
      <c r="M62" s="59">
        <v>0</v>
      </c>
    </row>
    <row r="63" spans="1:13" s="8" customFormat="1" ht="11.25" customHeight="1">
      <c r="A63" s="10" t="s">
        <v>6</v>
      </c>
      <c r="B63" s="59">
        <f>COUNTIFS(Jan!$B:$B,2221,Jan!$J:$J,5)</f>
        <v>0</v>
      </c>
      <c r="C63" s="59">
        <f>COUNTIFS(Feb!$B:$B,2221,Feb!$J:$J,5)</f>
        <v>0</v>
      </c>
      <c r="D63" s="59">
        <f>COUNTIFS(Mar!$B:$B,2221,Mar!$J:$J,5)</f>
        <v>0</v>
      </c>
      <c r="E63" s="59">
        <f>COUNTIFS(Apr!$B:$B,2221,Apr!$J:$J,5)</f>
        <v>0</v>
      </c>
      <c r="F63" s="59">
        <f>COUNTIFS(May!$B:$B,2221,May!$J:$J,5)</f>
        <v>0</v>
      </c>
      <c r="G63" s="59">
        <f>COUNTIFS(Jun!$B:$B,2221,Jun!$J:$J,5)</f>
        <v>0</v>
      </c>
      <c r="H63" s="59">
        <f>COUNTIFS(Jul!$B:$B,2221,Jul!$J:$J,5)</f>
        <v>0</v>
      </c>
      <c r="I63" s="59">
        <f>COUNTIFS(Aug!$B:$B,2221,Aug!$J:$J,5)</f>
        <v>0</v>
      </c>
      <c r="J63" s="59">
        <f>COUNTIFS(Sep!$B:$B,2221,Sep!$J:$J,5)</f>
        <v>0</v>
      </c>
      <c r="K63" s="59">
        <f>COUNTIFS(Oct!$B:$B,2221,Oct!$J:$J,5)</f>
        <v>0</v>
      </c>
      <c r="L63" s="59">
        <f>COUNTIFS(Nov!$B:$B,2221,Nov!$J:$J,5)</f>
        <v>0</v>
      </c>
      <c r="M63" s="59">
        <v>0</v>
      </c>
    </row>
    <row r="64" spans="1:13" s="8" customFormat="1" ht="11.25" customHeight="1">
      <c r="A64" s="52" t="s">
        <v>141</v>
      </c>
      <c r="B64" s="69">
        <f>COUNTIFS(Jan!$B:$B,2221,Jan!$F:$F,456)</f>
        <v>0</v>
      </c>
      <c r="C64" s="69">
        <f>COUNTIFS(Feb!$B:$B,2221,Feb!$F:$F,456)</f>
        <v>0</v>
      </c>
      <c r="D64" s="69">
        <f>COUNTIFS(Mar!$B:$B,2221,Mar!$F:$F,456)</f>
        <v>0</v>
      </c>
      <c r="E64" s="69">
        <f>COUNTIFS(Apr!$B:$B,2221,Apr!$F:$F,456)</f>
        <v>0</v>
      </c>
      <c r="F64" s="69">
        <f>COUNTIFS(May!$B:$B,2221,May!$F:$F,456)</f>
        <v>0</v>
      </c>
      <c r="G64" s="69">
        <f>COUNTIFS(Jun!$B:$B,2221,Jun!$F:$F,456)</f>
        <v>0</v>
      </c>
      <c r="H64" s="69">
        <f>COUNTIFS(Jul!$B:$B,2221,Jul!$F:$F,456)</f>
        <v>0</v>
      </c>
      <c r="I64" s="69">
        <f>COUNTIFS(Aug!$B:$B,2221,Aug!$F:$F,456)</f>
        <v>0</v>
      </c>
      <c r="J64" s="69">
        <f>COUNTIFS(Sep!$B:$B,2221,Sep!$F:$F,456)</f>
        <v>0</v>
      </c>
      <c r="K64" s="69">
        <f>COUNTIFS(Oct!$B:$B,2221,Oct!$F:$F,456)</f>
        <v>0</v>
      </c>
      <c r="L64" s="69">
        <f>COUNTIFS(Nov!$B:$B,2221,Nov!$F:$F,456)</f>
        <v>0</v>
      </c>
      <c r="M64" s="69">
        <v>0</v>
      </c>
    </row>
    <row r="65" spans="1:13" s="8" customFormat="1" ht="11.25" customHeight="1" thickBot="1">
      <c r="A65" s="12" t="s">
        <v>16</v>
      </c>
      <c r="B65" s="70">
        <f>SUM(B54:B64)</f>
        <v>0</v>
      </c>
      <c r="C65" s="70">
        <f t="shared" ref="C65:L65" si="12">SUM(C54:C64)</f>
        <v>0</v>
      </c>
      <c r="D65" s="70">
        <f t="shared" si="12"/>
        <v>0</v>
      </c>
      <c r="E65" s="70">
        <f t="shared" si="12"/>
        <v>0</v>
      </c>
      <c r="F65" s="70">
        <f t="shared" si="12"/>
        <v>0</v>
      </c>
      <c r="G65" s="70">
        <f t="shared" si="12"/>
        <v>0</v>
      </c>
      <c r="H65" s="70">
        <f t="shared" si="12"/>
        <v>0</v>
      </c>
      <c r="I65" s="70">
        <f t="shared" si="12"/>
        <v>0</v>
      </c>
      <c r="J65" s="70">
        <f t="shared" si="12"/>
        <v>0</v>
      </c>
      <c r="K65" s="70">
        <f t="shared" si="12"/>
        <v>0</v>
      </c>
      <c r="L65" s="165">
        <f t="shared" si="12"/>
        <v>0</v>
      </c>
      <c r="M65" s="170">
        <v>0</v>
      </c>
    </row>
    <row r="66" spans="1:13" s="8" customFormat="1" ht="15.75" customHeight="1">
      <c r="A66" s="6"/>
      <c r="B66" s="7"/>
      <c r="C66" s="7"/>
      <c r="D66" s="7"/>
      <c r="E66" s="7"/>
      <c r="F66" s="7"/>
      <c r="G66" s="7"/>
      <c r="H66" s="7"/>
      <c r="I66" s="7"/>
      <c r="J66" s="7"/>
      <c r="K66" s="7"/>
      <c r="L66" s="7"/>
      <c r="M66" s="7"/>
    </row>
    <row r="67" spans="1:13" ht="12" customHeight="1">
      <c r="A67" s="6"/>
      <c r="B67" s="7"/>
      <c r="C67" s="7"/>
      <c r="D67" s="7"/>
      <c r="E67" s="7"/>
      <c r="F67" s="7"/>
      <c r="G67" s="7"/>
      <c r="H67" s="7"/>
      <c r="I67" s="7"/>
      <c r="J67" s="7"/>
      <c r="K67" s="7"/>
      <c r="L67" s="7"/>
      <c r="M67" s="7"/>
    </row>
  </sheetData>
  <phoneticPr fontId="0" type="noConversion"/>
  <printOptions horizontalCentered="1" verticalCentered="1"/>
  <pageMargins left="0.14000000000000001" right="0.16" top="0.25" bottom="0.5" header="0.5" footer="0.25"/>
  <pageSetup scale="95" firstPageNumber="3" orientation="portrait" useFirstPageNumber="1" r:id="rId1"/>
  <headerFooter alignWithMargins="0">
    <oddFooter>&amp;R38 of 51</oddFooter>
  </headerFooter>
  <ignoredErrors>
    <ignoredError sqref="M32 M52" formulaRange="1"/>
  </ignoredErrors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67"/>
  <sheetViews>
    <sheetView view="pageBreakPreview" zoomScale="90" zoomScaleNormal="100" zoomScaleSheetLayoutView="90" workbookViewId="0">
      <selection activeCell="M65" sqref="M65"/>
    </sheetView>
  </sheetViews>
  <sheetFormatPr defaultRowHeight="12.75"/>
  <cols>
    <col min="1" max="1" width="22.85546875" style="1" customWidth="1"/>
    <col min="2" max="13" width="7.140625" style="1" customWidth="1"/>
    <col min="14" max="14" width="4.42578125" style="1" customWidth="1"/>
    <col min="15" max="16384" width="9.140625" style="1"/>
  </cols>
  <sheetData>
    <row r="1" spans="1:21" ht="18" customHeight="1">
      <c r="A1" s="130"/>
      <c r="B1" s="131"/>
      <c r="C1" s="131"/>
      <c r="D1" s="131"/>
      <c r="E1" s="131"/>
      <c r="F1" s="131"/>
      <c r="G1" s="130"/>
      <c r="H1" s="130"/>
      <c r="I1" s="131"/>
      <c r="J1" s="131"/>
      <c r="K1" s="131"/>
      <c r="L1" s="130"/>
      <c r="M1" s="143" t="s">
        <v>22</v>
      </c>
    </row>
    <row r="2" spans="1:21" ht="18" customHeight="1">
      <c r="A2" s="130"/>
      <c r="B2" s="135"/>
      <c r="C2" s="135"/>
      <c r="D2" s="135"/>
      <c r="E2" s="135"/>
      <c r="F2" s="135"/>
      <c r="G2" s="130"/>
      <c r="H2" s="130"/>
      <c r="I2" s="135"/>
      <c r="J2" s="135"/>
      <c r="K2" s="135"/>
      <c r="L2" s="130"/>
      <c r="M2" s="155" t="s">
        <v>13</v>
      </c>
    </row>
    <row r="3" spans="1:21" s="5" customFormat="1" ht="18" customHeight="1">
      <c r="A3" s="133"/>
      <c r="B3" s="133"/>
      <c r="C3" s="133"/>
      <c r="D3" s="133"/>
      <c r="E3" s="133"/>
      <c r="F3" s="133"/>
      <c r="G3" s="133"/>
      <c r="H3" s="133"/>
      <c r="I3" s="133"/>
      <c r="J3" s="136"/>
      <c r="K3" s="136"/>
      <c r="L3" s="133"/>
      <c r="M3" s="155" t="s">
        <v>79</v>
      </c>
      <c r="N3" s="134"/>
      <c r="O3" s="134"/>
      <c r="P3" s="134"/>
      <c r="Q3" s="134"/>
      <c r="R3" s="134"/>
      <c r="S3" s="134"/>
      <c r="T3" s="134"/>
      <c r="U3" s="134"/>
    </row>
    <row r="4" spans="1:21" s="8" customFormat="1" ht="6.75" customHeight="1" thickBot="1">
      <c r="A4" s="38"/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</row>
    <row r="5" spans="1:21" s="8" customFormat="1" ht="11.25" customHeight="1" thickBot="1">
      <c r="A5" s="53" t="s">
        <v>19</v>
      </c>
      <c r="B5" s="50">
        <v>41275</v>
      </c>
      <c r="C5" s="47">
        <v>41306</v>
      </c>
      <c r="D5" s="47">
        <v>41334</v>
      </c>
      <c r="E5" s="47">
        <v>41365</v>
      </c>
      <c r="F5" s="47">
        <v>41395</v>
      </c>
      <c r="G5" s="47">
        <v>41426</v>
      </c>
      <c r="H5" s="47">
        <v>41456</v>
      </c>
      <c r="I5" s="47">
        <v>41487</v>
      </c>
      <c r="J5" s="47">
        <v>41518</v>
      </c>
      <c r="K5" s="47">
        <v>41548</v>
      </c>
      <c r="L5" s="47">
        <v>41579</v>
      </c>
      <c r="M5" s="51">
        <v>41609</v>
      </c>
    </row>
    <row r="6" spans="1:21" s="8" customFormat="1" ht="11.25" customHeight="1">
      <c r="A6" s="41" t="s">
        <v>129</v>
      </c>
      <c r="B6" s="57">
        <f t="shared" ref="B6:L6" si="0">B32</f>
        <v>0</v>
      </c>
      <c r="C6" s="57">
        <f t="shared" si="0"/>
        <v>0</v>
      </c>
      <c r="D6" s="57">
        <f t="shared" si="0"/>
        <v>0</v>
      </c>
      <c r="E6" s="57">
        <f t="shared" si="0"/>
        <v>0</v>
      </c>
      <c r="F6" s="57">
        <f t="shared" si="0"/>
        <v>0</v>
      </c>
      <c r="G6" s="57">
        <f t="shared" si="0"/>
        <v>0</v>
      </c>
      <c r="H6" s="57">
        <f t="shared" si="0"/>
        <v>0</v>
      </c>
      <c r="I6" s="57">
        <f t="shared" si="0"/>
        <v>0</v>
      </c>
      <c r="J6" s="57">
        <f t="shared" si="0"/>
        <v>0</v>
      </c>
      <c r="K6" s="57">
        <f t="shared" si="0"/>
        <v>0</v>
      </c>
      <c r="L6" s="156">
        <f t="shared" si="0"/>
        <v>0</v>
      </c>
      <c r="M6" s="168">
        <v>0</v>
      </c>
    </row>
    <row r="7" spans="1:21" s="8" customFormat="1" ht="11.25" customHeight="1">
      <c r="A7" s="42" t="s">
        <v>18</v>
      </c>
      <c r="B7" s="57">
        <f t="shared" ref="B7:L7" si="1">SUM(B10:B12)</f>
        <v>0</v>
      </c>
      <c r="C7" s="57">
        <f t="shared" si="1"/>
        <v>0</v>
      </c>
      <c r="D7" s="57">
        <f t="shared" si="1"/>
        <v>0</v>
      </c>
      <c r="E7" s="57">
        <f t="shared" si="1"/>
        <v>0</v>
      </c>
      <c r="F7" s="57">
        <f t="shared" si="1"/>
        <v>0</v>
      </c>
      <c r="G7" s="57">
        <f t="shared" si="1"/>
        <v>0</v>
      </c>
      <c r="H7" s="57">
        <f t="shared" si="1"/>
        <v>0</v>
      </c>
      <c r="I7" s="57">
        <f t="shared" si="1"/>
        <v>0</v>
      </c>
      <c r="J7" s="57">
        <f t="shared" si="1"/>
        <v>0</v>
      </c>
      <c r="K7" s="57">
        <f t="shared" si="1"/>
        <v>0</v>
      </c>
      <c r="L7" s="156">
        <f t="shared" si="1"/>
        <v>0</v>
      </c>
      <c r="M7" s="171">
        <v>0</v>
      </c>
    </row>
    <row r="8" spans="1:21" s="8" customFormat="1" ht="11.25" customHeight="1" thickBot="1">
      <c r="A8" s="43" t="s">
        <v>14</v>
      </c>
      <c r="B8" s="58">
        <f t="shared" ref="B8:L8" si="2">SUM(B6:B7)</f>
        <v>0</v>
      </c>
      <c r="C8" s="58">
        <f t="shared" si="2"/>
        <v>0</v>
      </c>
      <c r="D8" s="58">
        <f t="shared" si="2"/>
        <v>0</v>
      </c>
      <c r="E8" s="58">
        <f t="shared" si="2"/>
        <v>0</v>
      </c>
      <c r="F8" s="58">
        <f t="shared" si="2"/>
        <v>0</v>
      </c>
      <c r="G8" s="58">
        <f t="shared" si="2"/>
        <v>0</v>
      </c>
      <c r="H8" s="58">
        <f t="shared" si="2"/>
        <v>0</v>
      </c>
      <c r="I8" s="58">
        <f t="shared" si="2"/>
        <v>0</v>
      </c>
      <c r="J8" s="58">
        <f t="shared" si="2"/>
        <v>0</v>
      </c>
      <c r="K8" s="58">
        <f t="shared" si="2"/>
        <v>0</v>
      </c>
      <c r="L8" s="157">
        <f t="shared" si="2"/>
        <v>0</v>
      </c>
      <c r="M8" s="172">
        <v>0</v>
      </c>
    </row>
    <row r="9" spans="1:21" s="8" customFormat="1" ht="11.25" customHeight="1" thickBot="1">
      <c r="A9" s="54" t="s">
        <v>18</v>
      </c>
      <c r="B9" s="50">
        <v>41275</v>
      </c>
      <c r="C9" s="47">
        <v>41306</v>
      </c>
      <c r="D9" s="47">
        <v>41334</v>
      </c>
      <c r="E9" s="47">
        <v>41365</v>
      </c>
      <c r="F9" s="47">
        <v>41395</v>
      </c>
      <c r="G9" s="47">
        <v>41426</v>
      </c>
      <c r="H9" s="47">
        <v>41456</v>
      </c>
      <c r="I9" s="47">
        <v>41487</v>
      </c>
      <c r="J9" s="47">
        <v>41518</v>
      </c>
      <c r="K9" s="47">
        <v>41548</v>
      </c>
      <c r="L9" s="47">
        <v>41579</v>
      </c>
      <c r="M9" s="51">
        <v>41609</v>
      </c>
    </row>
    <row r="10" spans="1:21" s="8" customFormat="1" ht="11.25" customHeight="1">
      <c r="A10" s="9" t="s">
        <v>128</v>
      </c>
      <c r="B10" s="57">
        <f t="shared" ref="B10:L10" si="3">B52</f>
        <v>0</v>
      </c>
      <c r="C10" s="57">
        <f t="shared" si="3"/>
        <v>0</v>
      </c>
      <c r="D10" s="57">
        <f t="shared" si="3"/>
        <v>0</v>
      </c>
      <c r="E10" s="57">
        <f t="shared" si="3"/>
        <v>0</v>
      </c>
      <c r="F10" s="57">
        <f t="shared" si="3"/>
        <v>0</v>
      </c>
      <c r="G10" s="59">
        <f t="shared" si="3"/>
        <v>0</v>
      </c>
      <c r="H10" s="59">
        <f t="shared" si="3"/>
        <v>0</v>
      </c>
      <c r="I10" s="59">
        <f t="shared" si="3"/>
        <v>0</v>
      </c>
      <c r="J10" s="59">
        <f t="shared" si="3"/>
        <v>0</v>
      </c>
      <c r="K10" s="59">
        <f t="shared" si="3"/>
        <v>0</v>
      </c>
      <c r="L10" s="158">
        <f t="shared" si="3"/>
        <v>0</v>
      </c>
      <c r="M10" s="168">
        <v>0</v>
      </c>
    </row>
    <row r="11" spans="1:21" s="8" customFormat="1" ht="11.25" customHeight="1">
      <c r="A11" s="9" t="s">
        <v>127</v>
      </c>
      <c r="B11" s="59">
        <f t="shared" ref="B11:L11" si="4">B65</f>
        <v>0</v>
      </c>
      <c r="C11" s="59">
        <f t="shared" si="4"/>
        <v>0</v>
      </c>
      <c r="D11" s="59">
        <f t="shared" si="4"/>
        <v>0</v>
      </c>
      <c r="E11" s="59">
        <f t="shared" si="4"/>
        <v>0</v>
      </c>
      <c r="F11" s="59">
        <f t="shared" si="4"/>
        <v>0</v>
      </c>
      <c r="G11" s="59">
        <f t="shared" si="4"/>
        <v>0</v>
      </c>
      <c r="H11" s="59">
        <f t="shared" si="4"/>
        <v>0</v>
      </c>
      <c r="I11" s="59">
        <f t="shared" si="4"/>
        <v>0</v>
      </c>
      <c r="J11" s="59">
        <f t="shared" si="4"/>
        <v>0</v>
      </c>
      <c r="K11" s="59">
        <f t="shared" si="4"/>
        <v>0</v>
      </c>
      <c r="L11" s="158">
        <f t="shared" si="4"/>
        <v>0</v>
      </c>
      <c r="M11" s="169">
        <v>0</v>
      </c>
    </row>
    <row r="12" spans="1:21" s="8" customFormat="1" ht="11.25" customHeight="1" thickBot="1">
      <c r="A12" s="2" t="s">
        <v>12</v>
      </c>
      <c r="B12" s="60">
        <f>COUNTIFS(Jan!$B:$B,2222,Jan!$F:$F,800)</f>
        <v>0</v>
      </c>
      <c r="C12" s="60">
        <f>COUNTIFS(Feb!$B:$B,2222,Feb!$F:$F,800)</f>
        <v>0</v>
      </c>
      <c r="D12" s="60">
        <f>COUNTIFS(Mar!$B:$B,2222,Mar!$F:$F,800)</f>
        <v>0</v>
      </c>
      <c r="E12" s="60">
        <f>COUNTIFS(Apr!$B:$B,2222,Apr!$F:$F,800)</f>
        <v>0</v>
      </c>
      <c r="F12" s="60">
        <f>COUNTIFS(May!$B:$B,2222,May!$F:$F,800)</f>
        <v>0</v>
      </c>
      <c r="G12" s="60">
        <f>COUNTIFS(Jun!$B:$B,2222,Jun!$F:$F,800)</f>
        <v>0</v>
      </c>
      <c r="H12" s="60">
        <f>COUNTIFS(Jul!$B:$B,2222,Jul!$F:$F,800)</f>
        <v>0</v>
      </c>
      <c r="I12" s="60">
        <f>COUNTIFS(Aug!$B:$B,2222,Aug!$F:$F,800)</f>
        <v>0</v>
      </c>
      <c r="J12" s="60">
        <f>COUNTIFS(Sep!$B:$B,2222,Sep!$F:$F,800)</f>
        <v>0</v>
      </c>
      <c r="K12" s="60">
        <f>COUNTIFS(Oct!$B:$B,2222,Oct!$F:$F,800)</f>
        <v>0</v>
      </c>
      <c r="L12" s="60">
        <f>COUNTIFS(Nov!$B:$B,2222,Nov!$F:$F,800)</f>
        <v>0</v>
      </c>
      <c r="M12" s="60">
        <v>0</v>
      </c>
    </row>
    <row r="13" spans="1:21" s="8" customFormat="1" ht="5.0999999999999996" customHeight="1" thickBot="1">
      <c r="A13" s="3"/>
      <c r="B13" s="17"/>
      <c r="C13" s="17"/>
      <c r="D13" s="17"/>
      <c r="E13" s="17"/>
      <c r="F13" s="17"/>
      <c r="G13" s="17"/>
      <c r="H13" s="17"/>
      <c r="I13" s="17"/>
      <c r="J13" s="17"/>
      <c r="K13" s="17"/>
      <c r="L13" s="17"/>
      <c r="M13" s="147"/>
    </row>
    <row r="14" spans="1:21" s="16" customFormat="1" ht="11.25" customHeight="1">
      <c r="A14" s="44" t="s">
        <v>131</v>
      </c>
      <c r="B14" s="120"/>
      <c r="C14" s="120"/>
      <c r="D14" s="120"/>
      <c r="E14" s="120"/>
      <c r="F14" s="120"/>
      <c r="G14" s="120"/>
      <c r="H14" s="119"/>
      <c r="I14" s="61"/>
      <c r="J14" s="61"/>
      <c r="K14" s="118"/>
      <c r="L14" s="160"/>
      <c r="M14" s="173"/>
      <c r="O14" s="22"/>
      <c r="P14" s="22"/>
      <c r="Q14" s="22"/>
    </row>
    <row r="15" spans="1:21" s="8" customFormat="1" ht="11.25" customHeight="1">
      <c r="A15" s="45" t="s">
        <v>132</v>
      </c>
      <c r="B15" s="62" t="str">
        <f>IFERROR((SUMIFS(Jan!$N:$N,Jan!$J:$J,1,Jan!$B:$B,2222)+SUMIFS(Jan!$N:$N,Jan!$D:$D,"&gt;1",Jan!$B:$B,2222))/(COUNTIFS(Jan!$J:$J,1,Jan!$B:$B,2222)+COUNTIFS(Jan!$D:$D,"&gt;1",Jan!$B:$B,2222)),"")</f>
        <v/>
      </c>
      <c r="C15" s="62" t="str">
        <f ca="1">IFERROR((SUMIFS(Feb!$N:$N,Feb!$J:$J,1,Feb!$B:$B,2222)+SUMIFS(Feb!$N:$N,Feb!$D:$D,"&gt;1",Feb!$B:$B,2222))/(COUNTIFS(Feb!$J:$J,1,Feb!$B:$B,2222)+COUNTIFS(Feb!$D:$D,"&gt;1",Feb!$B:$B,2222)),"")</f>
        <v/>
      </c>
      <c r="D15" s="62" t="str">
        <f ca="1">IFERROR((SUMIFS(Mar!$N:$N,Mar!$J:$J,1,Mar!$B:$B,2222)+SUMIFS(Mar!$N:$N,Mar!$D:$D,"&gt;1",Mar!$B:$B,2222))/(COUNTIFS(Mar!$J:$J,1,Mar!$B:$B,2222)+COUNTIFS(Mar!$D:$D,"&gt;1",Mar!$B:$B,2222)),"")</f>
        <v/>
      </c>
      <c r="E15" s="62" t="str">
        <f ca="1">IFERROR((SUMIFS(Apr!$N:$N,Apr!$J:$J,1,Apr!$B:$B,2222)+SUMIFS(Apr!$N:$N,Apr!$D:$D,"&gt;1",Apr!$B:$B,2222))/(COUNTIFS(Apr!$J:$J,1,Apr!$B:$B,2222)+COUNTIFS(Apr!$D:$D,"&gt;1",Apr!$B:$B,2222)),"")</f>
        <v/>
      </c>
      <c r="F15" s="62" t="str">
        <f ca="1">IFERROR((SUMIFS(May!$N:$N,May!$J:$J,1,May!$B:$B,2222)+SUMIFS(May!$N:$N,May!$D:$D,"&gt;1",May!$B:$B,2222))/(COUNTIFS(May!$J:$J,1,May!$B:$B,2222)+COUNTIFS(May!$D:$D,"&gt;1",May!$B:$B,2222)),"")</f>
        <v/>
      </c>
      <c r="G15" s="62" t="str">
        <f ca="1">IFERROR((SUMIFS(Jun!$N:$N,Jun!$J:$J,1,Jun!$B:$B,2222)+SUMIFS(Jun!$N:$N,Jun!$D:$D,"&gt;1",Jun!$B:$B,2222))/(COUNTIFS(Jun!$J:$J,1,Jun!$B:$B,2222)+COUNTIFS(Jun!$D:$D,"&gt;1",Jun!$B:$B,2222)),"")</f>
        <v/>
      </c>
      <c r="H15" s="62" t="str">
        <f ca="1">IFERROR((SUMIFS(Jul!$N:$N,Jul!$J:$J,1,Jul!$B:$B,2222)+SUMIFS(Jul!$N:$N,Jul!$D:$D,"&gt;1",Jul!$B:$B,2222))/(COUNTIFS(Jul!$J:$J,1,Jul!$B:$B,2222)+COUNTIFS(Jul!$D:$D,"&gt;1",Jul!$B:$B,2222)),"")</f>
        <v/>
      </c>
      <c r="I15" s="62" t="str">
        <f ca="1">IFERROR((SUMIFS(Aug!$N:$N,Aug!$J:$J,1,Aug!$B:$B,2222)+SUMIFS(Aug!$N:$N,Aug!$D:$D,"&gt;1",Aug!$B:$B,2222))/(COUNTIFS(Aug!$J:$J,1,Aug!$B:$B,2222)+COUNTIFS(Aug!$D:$D,"&gt;1",Aug!$B:$B,2222)),"")</f>
        <v/>
      </c>
      <c r="J15" s="62" t="str">
        <f ca="1">IFERROR((SUMIFS(Sep!$N:$N,Sep!$J:$J,1,Sep!$B:$B,2222)+SUMIFS(Sep!$N:$N,Sep!$D:$D,"&gt;1",Sep!$B:$B,2222))/(COUNTIFS(Sep!$J:$J,1,Sep!$B:$B,2222)+COUNTIFS(Sep!$D:$D,"&gt;1",Sep!$B:$B,2222)),"")</f>
        <v/>
      </c>
      <c r="K15" s="62" t="str">
        <f ca="1">IFERROR((SUMIFS(Oct!$N:$N,Oct!$J:$J,1,Oct!$B:$B,2222)+SUMIFS(Oct!$N:$N,Oct!$D:$D,"&gt;1",Oct!$B:$B,2222))/(COUNTIFS(Oct!$J:$J,1,Oct!$B:$B,2222)+COUNTIFS(Oct!$D:$D,"&gt;1",Oct!$B:$B,2222)),"")</f>
        <v/>
      </c>
      <c r="L15" s="62" t="str">
        <f ca="1">IFERROR((SUMIFS(Nov!$N:$N,Nov!$J:$J,1,Nov!$B:$B,2222)+SUMIFS(Nov!$N:$N,Nov!$D:$D,"&gt;1",Nov!$B:$B,2222))/(COUNTIFS(Nov!$J:$J,1,Nov!$B:$B,2222)+COUNTIFS(Nov!$D:$D,"&gt;1",Nov!$B:$B,2222)),"")</f>
        <v/>
      </c>
      <c r="M15" s="62" t="str">
        <f>IFERROR((SUMIFS(#REF!,#REF!,1,#REF!,2222)+SUMIFS(#REF!,#REF!,"&gt;1",#REF!,2222))/(COUNTIFS(#REF!,1,#REF!,2222)+COUNTIFS(#REF!,"&gt;1",#REF!,2222)),"")</f>
        <v/>
      </c>
      <c r="N15" s="15"/>
      <c r="O15" s="1"/>
      <c r="P15" s="1"/>
      <c r="Q15" s="1"/>
    </row>
    <row r="16" spans="1:21" s="8" customFormat="1" ht="11.25" customHeight="1">
      <c r="A16" s="45" t="s">
        <v>133</v>
      </c>
      <c r="B16" s="62" t="str">
        <f>IFERROR(AVERAGEIFS(Jan!$N:$N,Jan!$F:$F,800,Jan!$B:$B,2222),"")</f>
        <v/>
      </c>
      <c r="C16" s="62" t="str">
        <f ca="1">IFERROR(AVERAGEIFS(Feb!$N:$N,Feb!$F:$F,800,Feb!$B:$B,2222),"")</f>
        <v/>
      </c>
      <c r="D16" s="62" t="str">
        <f ca="1">IFERROR(AVERAGEIFS(Mar!$N:$N,Mar!$F:$F,800,Mar!$B:$B,2222),"")</f>
        <v/>
      </c>
      <c r="E16" s="62" t="str">
        <f ca="1">IFERROR(AVERAGEIFS(Apr!$N:$N,Apr!$F:$F,800,Apr!$B:$B,2222),"")</f>
        <v/>
      </c>
      <c r="F16" s="62" t="str">
        <f ca="1">IFERROR(AVERAGEIFS(May!$N:$N,May!$F:$F,800,May!$B:$B,2222),"")</f>
        <v/>
      </c>
      <c r="G16" s="62" t="str">
        <f ca="1">IFERROR(AVERAGEIFS(Jun!$N:$N,Jun!$F:$F,800,Jun!$B:$B,2222),"")</f>
        <v/>
      </c>
      <c r="H16" s="62" t="str">
        <f ca="1">IFERROR(AVERAGEIFS(Jul!$N:$N,Jul!$F:$F,800,Jul!$B:$B,2222),"")</f>
        <v/>
      </c>
      <c r="I16" s="62" t="str">
        <f ca="1">IFERROR(AVERAGEIFS(Aug!$N:$N,Aug!$F:$F,800,Aug!$B:$B,2222),"")</f>
        <v/>
      </c>
      <c r="J16" s="62" t="str">
        <f ca="1">IFERROR(AVERAGEIFS(Sep!$N:$N,Sep!$F:$F,800,Sep!$B:$B,2222),"")</f>
        <v/>
      </c>
      <c r="K16" s="62" t="str">
        <f ca="1">IFERROR(AVERAGEIFS(Oct!$N:$N,Oct!$F:$F,800,Oct!$B:$B,2222),"")</f>
        <v/>
      </c>
      <c r="L16" s="62" t="str">
        <f ca="1">IFERROR(AVERAGEIFS(Nov!$N:$N,Nov!$F:$F,800,Nov!$B:$B,2222),"")</f>
        <v/>
      </c>
      <c r="M16" s="62" t="str">
        <f>IFERROR(AVERAGEIFS(#REF!,#REF!,800,#REF!,2222),"")</f>
        <v/>
      </c>
      <c r="O16" s="1"/>
      <c r="P16" s="1"/>
      <c r="Q16" s="1"/>
    </row>
    <row r="17" spans="1:17" s="8" customFormat="1" ht="11.25" customHeight="1">
      <c r="A17" s="45" t="s">
        <v>134</v>
      </c>
      <c r="B17" s="63" t="str">
        <f>IFERROR((SUMIFS(Jan!$M:$M,Jan!$J:$J,1,Jan!$B:$B,2222)+SUMIFS(Jan!$M:$M,Jan!$D:$D,"&gt;1",Jan!$B:$B,2222))/(COUNTIFS(Jan!$J:$J,1,Jan!$B:$B,2222)+COUNTIFS(Jan!$D:$D,"&gt;1",Jan!$B:$B,2222)),"")</f>
        <v/>
      </c>
      <c r="C17" s="63" t="str">
        <f ca="1">IFERROR((SUMIFS(Feb!$M:$M,Feb!$J:$J,1,Feb!$B:$B,2222)+SUMIFS(Feb!$M:$M,Feb!$D:$D,"&gt;1",Feb!$B:$B,2222))/(COUNTIFS(Feb!$J:$J,1,Feb!$B:$B,2222)+COUNTIFS(Feb!$D:$D,"&gt;1",Feb!$B:$B,2222)),"")</f>
        <v/>
      </c>
      <c r="D17" s="63" t="str">
        <f ca="1">IFERROR((SUMIFS(Mar!$M:$M,Mar!$J:$J,1,Mar!$B:$B,2222)+SUMIFS(Mar!$M:$M,Mar!$D:$D,"&gt;1",Mar!$B:$B,2222))/(COUNTIFS(Mar!$J:$J,1,Mar!$B:$B,2222)+COUNTIFS(Mar!$D:$D,"&gt;1",Mar!$B:$B,2222)),"")</f>
        <v/>
      </c>
      <c r="E17" s="63" t="str">
        <f ca="1">IFERROR((SUMIFS(Apr!$M:$M,Apr!$J:$J,1,Apr!$B:$B,2222)+SUMIFS(Apr!$M:$M,Apr!$D:$D,"&gt;1",Apr!$B:$B,2222))/(COUNTIFS(Apr!$J:$J,1,Apr!$B:$B,2222)+COUNTIFS(Apr!$D:$D,"&gt;1",Apr!$B:$B,2222)),"")</f>
        <v/>
      </c>
      <c r="F17" s="63" t="str">
        <f ca="1">IFERROR((SUMIFS(May!$M:$M,May!$J:$J,1,May!$B:$B,2222)+SUMIFS(May!$M:$M,May!$D:$D,"&gt;1",May!$B:$B,2222))/(COUNTIFS(May!$J:$J,1,May!$B:$B,2222)+COUNTIFS(May!$D:$D,"&gt;1",May!$B:$B,2222)),"")</f>
        <v/>
      </c>
      <c r="G17" s="63" t="str">
        <f ca="1">IFERROR((SUMIFS(Jun!$M:$M,Jun!$J:$J,1,Jun!$B:$B,2222)+SUMIFS(Jun!$M:$M,Jun!$D:$D,"&gt;1",Jun!$B:$B,2222))/(COUNTIFS(Jun!$J:$J,1,Jun!$B:$B,2222)+COUNTIFS(Jun!$D:$D,"&gt;1",Jun!$B:$B,2222)),"")</f>
        <v/>
      </c>
      <c r="H17" s="63" t="str">
        <f ca="1">IFERROR((SUMIFS(Jul!$M:$M,Jul!$J:$J,1,Jul!$B:$B,2222)+SUMIFS(Jul!$M:$M,Jul!$D:$D,"&gt;1",Jul!$B:$B,2222))/(COUNTIFS(Jul!$J:$J,1,Jul!$B:$B,2222)+COUNTIFS(Jul!$D:$D,"&gt;1",Jul!$B:$B,2222)),"")</f>
        <v/>
      </c>
      <c r="I17" s="63" t="str">
        <f ca="1">IFERROR((SUMIFS(Aug!$M:$M,Aug!$J:$J,1,Aug!$B:$B,2222)+SUMIFS(Aug!$M:$M,Aug!$D:$D,"&gt;1",Aug!$B:$B,2222))/(COUNTIFS(Aug!$J:$J,1,Aug!$B:$B,2222)+COUNTIFS(Aug!$D:$D,"&gt;1",Aug!$B:$B,2222)),"")</f>
        <v/>
      </c>
      <c r="J17" s="63" t="str">
        <f ca="1">IFERROR((SUMIFS(Sep!$M:$M,Sep!$J:$J,1,Sep!$B:$B,2222)+SUMIFS(Sep!$M:$M,Sep!$D:$D,"&gt;1",Sep!$B:$B,2222))/(COUNTIFS(Sep!$J:$J,1,Sep!$B:$B,2222)+COUNTIFS(Sep!$D:$D,"&gt;1",Sep!$B:$B,2222)),"")</f>
        <v/>
      </c>
      <c r="K17" s="63" t="str">
        <f ca="1">IFERROR((SUMIFS(Oct!$M:$M,Oct!$J:$J,1,Oct!$B:$B,2222)+SUMIFS(Oct!$M:$M,Oct!$D:$D,"&gt;1",Oct!$B:$B,2222))/(COUNTIFS(Oct!$J:$J,1,Oct!$B:$B,2222)+COUNTIFS(Oct!$D:$D,"&gt;1",Oct!$B:$B,2222)),"")</f>
        <v/>
      </c>
      <c r="L17" s="63" t="str">
        <f ca="1">IFERROR((SUMIFS(Nov!$M:$M,Nov!$J:$J,1,Nov!$B:$B,2222)+SUMIFS(Nov!$M:$M,Nov!$D:$D,"&gt;1",Nov!$B:$B,2222))/(COUNTIFS(Nov!$J:$J,1,Nov!$B:$B,2222)+COUNTIFS(Nov!$D:$D,"&gt;1",Nov!$B:$B,2222)),"")</f>
        <v/>
      </c>
      <c r="M17" s="63" t="str">
        <f>IFERROR((SUMIFS(#REF!,#REF!,1,#REF!,2222)+SUMIFS(#REF!,#REF!,"&gt;1",#REF!,2222))/(COUNTIFS(#REF!,1,#REF!,2222)+COUNTIFS(#REF!,"&gt;1",#REF!,2222)),"")</f>
        <v/>
      </c>
      <c r="O17" s="1"/>
      <c r="P17" s="1"/>
      <c r="Q17" s="1"/>
    </row>
    <row r="18" spans="1:17" s="8" customFormat="1" ht="11.25" customHeight="1" thickBot="1">
      <c r="A18" s="43" t="s">
        <v>135</v>
      </c>
      <c r="B18" s="64" t="str">
        <f>IFERROR(AVERAGEIFS(Jan!$M:$M,Jan!$F:$F,800,Jan!$B:$B,2222),"")</f>
        <v/>
      </c>
      <c r="C18" s="64" t="str">
        <f ca="1">IFERROR(AVERAGEIFS(Feb!$M:$M,Feb!$F:$F,800,Feb!$B:$B,2222),"")</f>
        <v/>
      </c>
      <c r="D18" s="64" t="str">
        <f ca="1">IFERROR(AVERAGEIFS(Mar!$M:$M,Mar!$F:$F,800,Mar!$B:$B,2222),"")</f>
        <v/>
      </c>
      <c r="E18" s="64" t="str">
        <f ca="1">IFERROR(AVERAGEIFS(Apr!$M:$M,Apr!$F:$F,800,Apr!$B:$B,2222),"")</f>
        <v/>
      </c>
      <c r="F18" s="64" t="str">
        <f ca="1">IFERROR(AVERAGEIFS(May!$M:$M,May!$F:$F,800,May!$B:$B,2222),"")</f>
        <v/>
      </c>
      <c r="G18" s="64" t="str">
        <f ca="1">IFERROR(AVERAGEIFS(Jun!$M:$M,Jun!$F:$F,800,Jun!$B:$B,2222),"")</f>
        <v/>
      </c>
      <c r="H18" s="64" t="str">
        <f ca="1">IFERROR(AVERAGEIFS(Jul!$M:$M,Jul!$F:$F,800,Jul!$B:$B,2222),"")</f>
        <v/>
      </c>
      <c r="I18" s="64" t="str">
        <f ca="1">IFERROR(AVERAGEIFS(Aug!$M:$M,Aug!$F:$F,800,Aug!$B:$B,2222),"")</f>
        <v/>
      </c>
      <c r="J18" s="64" t="str">
        <f ca="1">IFERROR(AVERAGEIFS(Sep!$M:$M,Sep!$F:$F,800,Sep!$B:$B,2222),"")</f>
        <v/>
      </c>
      <c r="K18" s="64" t="str">
        <f ca="1">IFERROR(AVERAGEIFS(Oct!$M:$M,Oct!$F:$F,800,Oct!$B:$B,2222),"")</f>
        <v/>
      </c>
      <c r="L18" s="64" t="str">
        <f ca="1">IFERROR(AVERAGEIFS(Nov!$M:$M,Nov!$F:$F,800,Nov!$B:$B,2222),"")</f>
        <v/>
      </c>
      <c r="M18" s="64" t="str">
        <f>IFERROR(AVERAGEIFS(#REF!,#REF!,800,#REF!,2222),"")</f>
        <v/>
      </c>
    </row>
    <row r="19" spans="1:17" s="8" customFormat="1" ht="5.0999999999999996" customHeight="1" thickBot="1">
      <c r="A19" s="3"/>
      <c r="B19" s="17"/>
      <c r="C19" s="17"/>
      <c r="D19" s="17"/>
      <c r="E19" s="17"/>
      <c r="F19" s="17"/>
      <c r="G19" s="17"/>
      <c r="H19" s="17"/>
      <c r="I19" s="17"/>
      <c r="J19" s="17"/>
      <c r="K19" s="17"/>
      <c r="L19" s="17"/>
      <c r="M19" s="147"/>
    </row>
    <row r="20" spans="1:17" s="8" customFormat="1" ht="11.25" customHeight="1">
      <c r="A20" s="42" t="s">
        <v>52</v>
      </c>
      <c r="B20" s="65">
        <v>31</v>
      </c>
      <c r="C20" s="65">
        <v>28</v>
      </c>
      <c r="D20" s="65">
        <v>31</v>
      </c>
      <c r="E20" s="65">
        <v>30</v>
      </c>
      <c r="F20" s="65">
        <v>31</v>
      </c>
      <c r="G20" s="65">
        <v>30</v>
      </c>
      <c r="H20" s="65">
        <v>31</v>
      </c>
      <c r="I20" s="65">
        <v>31</v>
      </c>
      <c r="J20" s="65">
        <v>30</v>
      </c>
      <c r="K20" s="65">
        <v>31</v>
      </c>
      <c r="L20" s="161">
        <v>30</v>
      </c>
      <c r="M20" s="174">
        <v>31</v>
      </c>
    </row>
    <row r="21" spans="1:17" s="8" customFormat="1" ht="11.25" customHeight="1">
      <c r="A21" s="9" t="s">
        <v>15</v>
      </c>
      <c r="B21" s="66">
        <f>B12/B20</f>
        <v>0</v>
      </c>
      <c r="C21" s="66">
        <f t="shared" ref="C21:M21" si="5">C12/C20</f>
        <v>0</v>
      </c>
      <c r="D21" s="66">
        <f>D12/D20</f>
        <v>0</v>
      </c>
      <c r="E21" s="66">
        <f>E12/E20</f>
        <v>0</v>
      </c>
      <c r="F21" s="66">
        <f>F12/F20</f>
        <v>0</v>
      </c>
      <c r="G21" s="66">
        <f>G12/G20</f>
        <v>0</v>
      </c>
      <c r="H21" s="66">
        <f t="shared" si="5"/>
        <v>0</v>
      </c>
      <c r="I21" s="66">
        <f t="shared" si="5"/>
        <v>0</v>
      </c>
      <c r="J21" s="66">
        <f t="shared" si="5"/>
        <v>0</v>
      </c>
      <c r="K21" s="66">
        <f t="shared" si="5"/>
        <v>0</v>
      </c>
      <c r="L21" s="162">
        <f t="shared" si="5"/>
        <v>0</v>
      </c>
      <c r="M21" s="175">
        <f t="shared" si="5"/>
        <v>0</v>
      </c>
    </row>
    <row r="22" spans="1:17" s="8" customFormat="1" ht="11.25" customHeight="1">
      <c r="A22" s="9" t="s">
        <v>130</v>
      </c>
      <c r="B22" s="67">
        <f t="shared" ref="B22:G22" si="6">IFERROR(B12/B7,0)</f>
        <v>0</v>
      </c>
      <c r="C22" s="67">
        <f t="shared" si="6"/>
        <v>0</v>
      </c>
      <c r="D22" s="67">
        <f t="shared" si="6"/>
        <v>0</v>
      </c>
      <c r="E22" s="67">
        <f t="shared" si="6"/>
        <v>0</v>
      </c>
      <c r="F22" s="67">
        <f t="shared" si="6"/>
        <v>0</v>
      </c>
      <c r="G22" s="67">
        <f t="shared" si="6"/>
        <v>0</v>
      </c>
      <c r="H22" s="67">
        <f t="shared" ref="H22:M22" si="7">IFERROR(H12/H7,0)</f>
        <v>0</v>
      </c>
      <c r="I22" s="67">
        <f t="shared" si="7"/>
        <v>0</v>
      </c>
      <c r="J22" s="67">
        <f t="shared" si="7"/>
        <v>0</v>
      </c>
      <c r="K22" s="116">
        <f t="shared" si="7"/>
        <v>0</v>
      </c>
      <c r="L22" s="67">
        <f t="shared" si="7"/>
        <v>0</v>
      </c>
      <c r="M22" s="176">
        <f t="shared" si="7"/>
        <v>0</v>
      </c>
      <c r="N22" s="1"/>
    </row>
    <row r="23" spans="1:17" s="8" customFormat="1" ht="11.25" customHeight="1" thickBot="1">
      <c r="A23" s="9" t="s">
        <v>53</v>
      </c>
      <c r="B23" s="67">
        <f t="shared" ref="B23:G23" si="8">IFERROR(B12/(B11+B12),0)</f>
        <v>0</v>
      </c>
      <c r="C23" s="67">
        <f t="shared" si="8"/>
        <v>0</v>
      </c>
      <c r="D23" s="67">
        <f t="shared" si="8"/>
        <v>0</v>
      </c>
      <c r="E23" s="67">
        <f t="shared" si="8"/>
        <v>0</v>
      </c>
      <c r="F23" s="67">
        <f t="shared" si="8"/>
        <v>0</v>
      </c>
      <c r="G23" s="67">
        <f t="shared" si="8"/>
        <v>0</v>
      </c>
      <c r="H23" s="67">
        <f t="shared" ref="H23:M23" si="9">IFERROR(H12/(H11+H12),0)</f>
        <v>0</v>
      </c>
      <c r="I23" s="67">
        <f t="shared" si="9"/>
        <v>0</v>
      </c>
      <c r="J23" s="67">
        <f t="shared" si="9"/>
        <v>0</v>
      </c>
      <c r="K23" s="117">
        <f t="shared" si="9"/>
        <v>0</v>
      </c>
      <c r="L23" s="163">
        <f t="shared" si="9"/>
        <v>0</v>
      </c>
      <c r="M23" s="177">
        <f t="shared" si="9"/>
        <v>0</v>
      </c>
      <c r="N23" s="4"/>
    </row>
    <row r="24" spans="1:17" s="8" customFormat="1" ht="11.25" customHeight="1" thickBot="1">
      <c r="A24" s="56" t="s">
        <v>21</v>
      </c>
      <c r="B24" s="50">
        <v>41275</v>
      </c>
      <c r="C24" s="47">
        <v>41306</v>
      </c>
      <c r="D24" s="47">
        <v>41334</v>
      </c>
      <c r="E24" s="47">
        <v>41365</v>
      </c>
      <c r="F24" s="47">
        <v>41395</v>
      </c>
      <c r="G24" s="47">
        <v>41426</v>
      </c>
      <c r="H24" s="47">
        <v>41456</v>
      </c>
      <c r="I24" s="47">
        <v>41487</v>
      </c>
      <c r="J24" s="47">
        <v>41518</v>
      </c>
      <c r="K24" s="47">
        <v>41548</v>
      </c>
      <c r="L24" s="47">
        <v>41579</v>
      </c>
      <c r="M24" s="51">
        <v>41609</v>
      </c>
    </row>
    <row r="25" spans="1:17" s="8" customFormat="1" ht="11.25" customHeight="1">
      <c r="A25" s="18" t="s">
        <v>5</v>
      </c>
      <c r="B25" s="68">
        <f>COUNTIFS(Jan!$B:$B,2222,Jan!$J:$J,18)</f>
        <v>0</v>
      </c>
      <c r="C25" s="68">
        <f>COUNTIFS(Feb!$B:$B,2222,Feb!$J:$J,18)</f>
        <v>0</v>
      </c>
      <c r="D25" s="68">
        <f>COUNTIFS(Mar!$B:$B,2222,Mar!$J:$J,18)</f>
        <v>0</v>
      </c>
      <c r="E25" s="68">
        <f>COUNTIFS(Apr!$B:$B,2222,Apr!$J:$J,18)</f>
        <v>0</v>
      </c>
      <c r="F25" s="68">
        <f>COUNTIFS(May!$B:$B,2222,May!$J:$J,18)</f>
        <v>0</v>
      </c>
      <c r="G25" s="68">
        <f>COUNTIFS(Jun!$B:$B,2222,Jun!$J:$J,18)</f>
        <v>0</v>
      </c>
      <c r="H25" s="68">
        <f>COUNTIFS(Jul!$B:$B,2222,Jul!$J:$J,18)</f>
        <v>0</v>
      </c>
      <c r="I25" s="68">
        <f>COUNTIFS(Aug!$B:$B,2222,Aug!$J:$J,18)</f>
        <v>0</v>
      </c>
      <c r="J25" s="68">
        <f>COUNTIFS(Sep!$B:$B,2222,Sep!$J:$J,18)</f>
        <v>0</v>
      </c>
      <c r="K25" s="68">
        <f>COUNTIFS(Oct!$B:$B,2222,Oct!$J:$J,18)</f>
        <v>0</v>
      </c>
      <c r="L25" s="68">
        <f>COUNTIFS(Nov!$B:$B,2222,Nov!$J:$J,18)</f>
        <v>0</v>
      </c>
      <c r="M25" s="68">
        <v>0</v>
      </c>
    </row>
    <row r="26" spans="1:17" s="8" customFormat="1" ht="11.25" customHeight="1">
      <c r="A26" s="46" t="s">
        <v>40</v>
      </c>
      <c r="B26" s="57">
        <f>COUNTIFS(Jan!$B:$B,2222,Jan!$J:$J,41)</f>
        <v>0</v>
      </c>
      <c r="C26" s="57">
        <f>COUNTIFS(Feb!$B:$B,2222,Feb!$J:$J,41)</f>
        <v>0</v>
      </c>
      <c r="D26" s="57">
        <f>COUNTIFS(Mar!$B:$B,2222,Mar!$J:$J,41)</f>
        <v>0</v>
      </c>
      <c r="E26" s="57">
        <f>COUNTIFS(Apr!$B:$B,2222,Apr!$J:$J,41)</f>
        <v>0</v>
      </c>
      <c r="F26" s="57">
        <f>COUNTIFS(May!$B:$B,2222,May!$J:$J,41)</f>
        <v>0</v>
      </c>
      <c r="G26" s="57">
        <f>COUNTIFS(Jun!$B:$B,2222,Jun!$J:$J,41)</f>
        <v>0</v>
      </c>
      <c r="H26" s="57">
        <f>COUNTIFS(Jul!$B:$B,2222,Jul!$J:$J,41)</f>
        <v>0</v>
      </c>
      <c r="I26" s="57">
        <f>COUNTIFS(Aug!$B:$B,2222,Aug!$J:$J,41)</f>
        <v>0</v>
      </c>
      <c r="J26" s="57">
        <f>COUNTIFS(Sep!$B:$B,2222,Sep!$J:$J,41)</f>
        <v>0</v>
      </c>
      <c r="K26" s="57">
        <f>COUNTIFS(Oct!$B:$B,2222,Oct!$J:$J,41)</f>
        <v>0</v>
      </c>
      <c r="L26" s="57">
        <f>COUNTIFS(Nov!$B:$B,2222,Nov!$J:$J,41)</f>
        <v>0</v>
      </c>
      <c r="M26" s="57">
        <v>0</v>
      </c>
    </row>
    <row r="27" spans="1:17" s="8" customFormat="1" ht="11.25" customHeight="1">
      <c r="A27" s="9" t="s">
        <v>11</v>
      </c>
      <c r="B27" s="179">
        <f>COUNTIFS(Jan!$B:$B,2222,Jan!$J:$J,17)</f>
        <v>0</v>
      </c>
      <c r="C27" s="179">
        <f>COUNTIFS(Feb!$B:$B,2222,Feb!$J:$J,17)</f>
        <v>0</v>
      </c>
      <c r="D27" s="179">
        <f>COUNTIFS(Mar!$B:$B,2222,Mar!$J:$J,17)</f>
        <v>0</v>
      </c>
      <c r="E27" s="179">
        <f>COUNTIFS(Apr!$B:$B,2222,Apr!$J:$J,17)</f>
        <v>0</v>
      </c>
      <c r="F27" s="179">
        <f>COUNTIFS(May!$B:$B,2222,May!$J:$J,17)</f>
        <v>0</v>
      </c>
      <c r="G27" s="179">
        <f>COUNTIFS(Jun!$B:$B,2222,Jun!$J:$J,17)</f>
        <v>0</v>
      </c>
      <c r="H27" s="179">
        <f>COUNTIFS(Jul!$B:$B,2222,Jul!$J:$J,17)</f>
        <v>0</v>
      </c>
      <c r="I27" s="179">
        <f>COUNTIFS(Aug!$B:$B,2222,Aug!$J:$J,17)</f>
        <v>0</v>
      </c>
      <c r="J27" s="179">
        <f>COUNTIFS(Sep!$B:$B,2222,Sep!$J:$J,17)</f>
        <v>0</v>
      </c>
      <c r="K27" s="179">
        <f>COUNTIFS(Oct!$B:$B,2222,Oct!$J:$J,17)</f>
        <v>0</v>
      </c>
      <c r="L27" s="179">
        <f>COUNTIFS(Nov!$B:$B,2222,Nov!$J:$J,17)</f>
        <v>0</v>
      </c>
      <c r="M27" s="206">
        <v>0</v>
      </c>
    </row>
    <row r="28" spans="1:17" s="8" customFormat="1" ht="11.25" customHeight="1">
      <c r="A28" s="9" t="s">
        <v>143</v>
      </c>
      <c r="B28" s="59">
        <f>COUNTIFS(Jan!$B:$B,2222,Jan!$F:$F,455)</f>
        <v>0</v>
      </c>
      <c r="C28" s="59">
        <f>COUNTIFS(Feb!$B:$B,2222,Feb!$F:$F,455)</f>
        <v>0</v>
      </c>
      <c r="D28" s="59">
        <f>COUNTIFS(Mar!$B:$B,2222,Mar!$F:$F,455)</f>
        <v>0</v>
      </c>
      <c r="E28" s="59">
        <f>COUNTIFS(Apr!$B:$B,2222,Apr!$F:$F,455)</f>
        <v>0</v>
      </c>
      <c r="F28" s="59">
        <f>COUNTIFS(May!$B:$B,2222,May!$F:$F,455)</f>
        <v>0</v>
      </c>
      <c r="G28" s="59">
        <f>COUNTIFS(Jun!$B:$B,2222,Jun!$F:$F,455)</f>
        <v>0</v>
      </c>
      <c r="H28" s="59">
        <f>COUNTIFS(Jul!$B:$B,2222,Jul!$F:$F,455)</f>
        <v>0</v>
      </c>
      <c r="I28" s="59">
        <f>COUNTIFS(Aug!$B:$B,2222,Aug!$F:$F,455)</f>
        <v>0</v>
      </c>
      <c r="J28" s="59">
        <f>COUNTIFS(Sep!$B:$B,2222,Sep!$F:$F,455)</f>
        <v>0</v>
      </c>
      <c r="K28" s="59">
        <f>COUNTIFS(Oct!$B:$B,2222,Oct!$F:$F,455)</f>
        <v>0</v>
      </c>
      <c r="L28" s="59">
        <f>COUNTIFS(Nov!$B:$B,2222,Nov!$F:$F,455)</f>
        <v>0</v>
      </c>
      <c r="M28" s="59">
        <v>0</v>
      </c>
    </row>
    <row r="29" spans="1:17" s="8" customFormat="1" ht="11.25" customHeight="1">
      <c r="A29" s="9" t="s">
        <v>23</v>
      </c>
      <c r="B29" s="59">
        <f>COUNTIFS(Jan!$B:$B,2222,Jan!$J:$J,31)</f>
        <v>0</v>
      </c>
      <c r="C29" s="59">
        <f>COUNTIFS(Feb!$B:$B,2222,Feb!$J:$J,31)</f>
        <v>0</v>
      </c>
      <c r="D29" s="59">
        <f>COUNTIFS(Mar!$B:$B,2222,Mar!$J:$J,31)</f>
        <v>0</v>
      </c>
      <c r="E29" s="59">
        <f>COUNTIFS(Apr!$B:$B,2222,Apr!$J:$J,31)</f>
        <v>0</v>
      </c>
      <c r="F29" s="59">
        <f>COUNTIFS(May!$B:$B,2222,May!$J:$J,31)</f>
        <v>0</v>
      </c>
      <c r="G29" s="59">
        <f>COUNTIFS(Jun!$B:$B,2222,Jun!$J:$J,31)</f>
        <v>0</v>
      </c>
      <c r="H29" s="59">
        <f>COUNTIFS(Jul!$B:$B,2222,Jul!$J:$J,31)</f>
        <v>0</v>
      </c>
      <c r="I29" s="59">
        <f>COUNTIFS(Aug!$B:$B,2222,Aug!$J:$J,31)</f>
        <v>0</v>
      </c>
      <c r="J29" s="59">
        <f>COUNTIFS(Sep!$B:$B,2222,Sep!$J:$J,31)</f>
        <v>0</v>
      </c>
      <c r="K29" s="59">
        <f>COUNTIFS(Oct!$B:$B,2222,Oct!$J:$J,31)</f>
        <v>0</v>
      </c>
      <c r="L29" s="59">
        <f>COUNTIFS(Nov!$B:$B,2222,Nov!$J:$J,31)</f>
        <v>0</v>
      </c>
      <c r="M29" s="59">
        <v>0</v>
      </c>
    </row>
    <row r="30" spans="1:17" s="8" customFormat="1" ht="11.25" customHeight="1">
      <c r="A30" s="9" t="s">
        <v>37</v>
      </c>
      <c r="B30" s="59">
        <f>COUNTIFS(Jan!$B:$B,2222,Jan!$J:$J,4400)</f>
        <v>0</v>
      </c>
      <c r="C30" s="59">
        <f>COUNTIFS(Feb!$B:$B,2222,Feb!$J:$J,4400)</f>
        <v>0</v>
      </c>
      <c r="D30" s="59">
        <f>COUNTIFS(Mar!$B:$B,2222,Mar!$J:$J,4400)</f>
        <v>0</v>
      </c>
      <c r="E30" s="59">
        <f>COUNTIFS(Apr!$B:$B,2222,Apr!$J:$J,4400)</f>
        <v>0</v>
      </c>
      <c r="F30" s="59">
        <f>COUNTIFS(May!$B:$B,2222,May!$J:$J,4400)</f>
        <v>0</v>
      </c>
      <c r="G30" s="59">
        <f>COUNTIFS(Jun!$B:$B,2222,Jun!$J:$J,4400)</f>
        <v>0</v>
      </c>
      <c r="H30" s="59">
        <f>COUNTIFS(Jul!$B:$B,2222,Jul!$J:$J,4400)</f>
        <v>0</v>
      </c>
      <c r="I30" s="59">
        <f>COUNTIFS(Aug!$B:$B,2222,Aug!$J:$J,4400)</f>
        <v>0</v>
      </c>
      <c r="J30" s="59">
        <f>COUNTIFS(Sep!$B:$B,2222,Sep!$J:$J,4400)</f>
        <v>0</v>
      </c>
      <c r="K30" s="59">
        <f>COUNTIFS(Oct!$B:$B,2222,Oct!$J:$J,4400)</f>
        <v>0</v>
      </c>
      <c r="L30" s="59">
        <f>COUNTIFS(Nov!$B:$B,2222,Nov!$J:$J,4400)</f>
        <v>0</v>
      </c>
      <c r="M30" s="59">
        <v>0</v>
      </c>
    </row>
    <row r="31" spans="1:17" s="8" customFormat="1" ht="11.25" customHeight="1">
      <c r="A31" s="10" t="s">
        <v>24</v>
      </c>
      <c r="B31" s="59">
        <f>COUNTIFS(Jan!$B:$B,2222,Jan!$J:$J,30)</f>
        <v>0</v>
      </c>
      <c r="C31" s="59">
        <f>COUNTIFS(Feb!$B:$B,2222,Feb!$J:$J,30)</f>
        <v>0</v>
      </c>
      <c r="D31" s="59">
        <f>COUNTIFS(Mar!$B:$B,2222,Mar!$J:$J,30)</f>
        <v>0</v>
      </c>
      <c r="E31" s="59">
        <f>COUNTIFS(Apr!$B:$B,2222,Apr!$J:$J,30)</f>
        <v>0</v>
      </c>
      <c r="F31" s="59">
        <f>COUNTIFS(May!$B:$B,2222,May!$J:$J,30)</f>
        <v>0</v>
      </c>
      <c r="G31" s="59">
        <f>COUNTIFS(Jun!$B:$B,2222,Jun!$J:$J,30)</f>
        <v>0</v>
      </c>
      <c r="H31" s="59">
        <f>COUNTIFS(Jul!$B:$B,2222,Jul!$J:$J,30)</f>
        <v>0</v>
      </c>
      <c r="I31" s="59">
        <f>COUNTIFS(Aug!$B:$B,2222,Aug!$J:$J,30)</f>
        <v>0</v>
      </c>
      <c r="J31" s="59">
        <f>COUNTIFS(Sep!$B:$B,2222,Sep!$J:$J,30)</f>
        <v>0</v>
      </c>
      <c r="K31" s="59">
        <f>COUNTIFS(Oct!$B:$B,2222,Oct!$J:$J,30)</f>
        <v>0</v>
      </c>
      <c r="L31" s="59">
        <f>COUNTIFS(Nov!$B:$B,2222,Nov!$J:$J,30)</f>
        <v>0</v>
      </c>
      <c r="M31" s="59">
        <v>0</v>
      </c>
    </row>
    <row r="32" spans="1:17" s="14" customFormat="1" ht="11.25" customHeight="1" thickBot="1">
      <c r="A32" s="2" t="s">
        <v>140</v>
      </c>
      <c r="B32" s="60">
        <f>SUM(B25:B31)</f>
        <v>0</v>
      </c>
      <c r="C32" s="60">
        <f t="shared" ref="C32:M32" si="10">SUM(C25:C31)</f>
        <v>0</v>
      </c>
      <c r="D32" s="60">
        <f>SUM(D25:D31)</f>
        <v>0</v>
      </c>
      <c r="E32" s="60">
        <f>SUM(E25:E31)</f>
        <v>0</v>
      </c>
      <c r="F32" s="60">
        <f>SUM(F25:F31)</f>
        <v>0</v>
      </c>
      <c r="G32" s="60">
        <f>SUM(G25:G31)</f>
        <v>0</v>
      </c>
      <c r="H32" s="60">
        <f t="shared" si="10"/>
        <v>0</v>
      </c>
      <c r="I32" s="60">
        <f t="shared" si="10"/>
        <v>0</v>
      </c>
      <c r="J32" s="60">
        <f t="shared" si="10"/>
        <v>0</v>
      </c>
      <c r="K32" s="60">
        <f t="shared" si="10"/>
        <v>0</v>
      </c>
      <c r="L32" s="159">
        <f t="shared" si="10"/>
        <v>0</v>
      </c>
      <c r="M32" s="170">
        <f t="shared" si="10"/>
        <v>0</v>
      </c>
    </row>
    <row r="33" spans="1:13" ht="12" customHeight="1" thickBot="1">
      <c r="A33" s="55" t="s">
        <v>136</v>
      </c>
      <c r="B33" s="50">
        <v>41275</v>
      </c>
      <c r="C33" s="47">
        <v>41306</v>
      </c>
      <c r="D33" s="47">
        <v>41334</v>
      </c>
      <c r="E33" s="47">
        <v>41365</v>
      </c>
      <c r="F33" s="47">
        <v>41395</v>
      </c>
      <c r="G33" s="47">
        <v>41426</v>
      </c>
      <c r="H33" s="47">
        <v>41456</v>
      </c>
      <c r="I33" s="47">
        <v>41487</v>
      </c>
      <c r="J33" s="47">
        <v>41518</v>
      </c>
      <c r="K33" s="47">
        <v>41548</v>
      </c>
      <c r="L33" s="47">
        <v>41579</v>
      </c>
      <c r="M33" s="51">
        <v>41609</v>
      </c>
    </row>
    <row r="34" spans="1:13" s="8" customFormat="1" ht="11.25" customHeight="1">
      <c r="A34" s="46" t="s">
        <v>33</v>
      </c>
      <c r="B34" s="57">
        <f>COUNTIFS(Jan!$B:$B,2222,Jan!$J:$J,40)</f>
        <v>0</v>
      </c>
      <c r="C34" s="57">
        <f>COUNTIFS(Feb!$B:$B,2222,Feb!$J:$J,40)</f>
        <v>0</v>
      </c>
      <c r="D34" s="57">
        <f>COUNTIFS(Mar!$B:$B,2222,Mar!$J:$J,40)</f>
        <v>0</v>
      </c>
      <c r="E34" s="57">
        <f>COUNTIFS(Apr!$B:$B,2222,Apr!$J:$J,40)</f>
        <v>0</v>
      </c>
      <c r="F34" s="57">
        <f>COUNTIFS(May!$B:$B,2222,May!$J:$J,40)</f>
        <v>0</v>
      </c>
      <c r="G34" s="57">
        <f>COUNTIFS(Jun!$B:$B,2222,Jun!$J:$J,40)</f>
        <v>0</v>
      </c>
      <c r="H34" s="57">
        <f>COUNTIFS(Jul!$B:$B,2222,Jul!$J:$J,40)</f>
        <v>0</v>
      </c>
      <c r="I34" s="57">
        <f>COUNTIFS(Aug!$B:$B,2222,Aug!$J:$J,40)</f>
        <v>0</v>
      </c>
      <c r="J34" s="57">
        <f>COUNTIFS(Sep!$B:$B,2222,Sep!$J:$J,40)</f>
        <v>0</v>
      </c>
      <c r="K34" s="57">
        <f>COUNTIFS(Oct!$B:$B,2222,Oct!$J:$J,40)</f>
        <v>0</v>
      </c>
      <c r="L34" s="57">
        <f>COUNTIFS(Nov!$B:$B,2222,Nov!$J:$J,40)</f>
        <v>0</v>
      </c>
      <c r="M34" s="57">
        <v>0</v>
      </c>
    </row>
    <row r="35" spans="1:13" s="8" customFormat="1" ht="11.25" customHeight="1">
      <c r="A35" s="10" t="s">
        <v>4</v>
      </c>
      <c r="B35" s="59">
        <f>COUNTIFS(Jan!$B:$B,2222,Jan!$J:$J,15)</f>
        <v>0</v>
      </c>
      <c r="C35" s="59">
        <f>COUNTIFS(Feb!$B:$B,2222,Feb!$J:$J,15)</f>
        <v>0</v>
      </c>
      <c r="D35" s="59">
        <f>COUNTIFS(Mar!$B:$B,2222,Mar!$J:$J,15)</f>
        <v>0</v>
      </c>
      <c r="E35" s="59">
        <f>COUNTIFS(Apr!$B:$B,2222,Apr!$J:$J,15)</f>
        <v>0</v>
      </c>
      <c r="F35" s="59">
        <f>COUNTIFS(May!$B:$B,2222,May!$J:$J,15)</f>
        <v>0</v>
      </c>
      <c r="G35" s="59">
        <f>COUNTIFS(Jun!$B:$B,2222,Jun!$J:$J,15)</f>
        <v>0</v>
      </c>
      <c r="H35" s="59">
        <f>COUNTIFS(Jul!$B:$B,2222,Jul!$J:$J,15)</f>
        <v>0</v>
      </c>
      <c r="I35" s="59">
        <f>COUNTIFS(Aug!$B:$B,2222,Aug!$J:$J,15)</f>
        <v>0</v>
      </c>
      <c r="J35" s="59">
        <f>COUNTIFS(Sep!$B:$B,2222,Sep!$J:$J,15)</f>
        <v>0</v>
      </c>
      <c r="K35" s="59">
        <f>COUNTIFS(Oct!$B:$B,2222,Oct!$J:$J,15)</f>
        <v>0</v>
      </c>
      <c r="L35" s="59">
        <f>COUNTIFS(Nov!$B:$B,2222,Nov!$J:$J,15)</f>
        <v>0</v>
      </c>
      <c r="M35" s="59">
        <v>0</v>
      </c>
    </row>
    <row r="36" spans="1:13" s="8" customFormat="1" ht="11.25" customHeight="1">
      <c r="A36" s="10" t="s">
        <v>39</v>
      </c>
      <c r="B36" s="59">
        <f>COUNTIFS(Jan!$B:$B,2222,Jan!$J:$J,29)</f>
        <v>0</v>
      </c>
      <c r="C36" s="59">
        <f>COUNTIFS(Feb!$B:$B,2222,Feb!$J:$J,29)</f>
        <v>0</v>
      </c>
      <c r="D36" s="59">
        <f>COUNTIFS(Mar!$B:$B,2222,Mar!$J:$J,29)</f>
        <v>0</v>
      </c>
      <c r="E36" s="59">
        <f>COUNTIFS(Apr!$B:$B,2222,Apr!$J:$J,29)</f>
        <v>0</v>
      </c>
      <c r="F36" s="59">
        <f>COUNTIFS(May!$B:$B,2222,May!$J:$J,29)</f>
        <v>0</v>
      </c>
      <c r="G36" s="59">
        <f>COUNTIFS(Jun!$B:$B,2222,Jun!$J:$J,29)</f>
        <v>0</v>
      </c>
      <c r="H36" s="59">
        <f>COUNTIFS(Jul!$B:$B,2222,Jul!$J:$J,29)</f>
        <v>0</v>
      </c>
      <c r="I36" s="59">
        <f>COUNTIFS(Aug!$B:$B,2222,Aug!$J:$J,29)</f>
        <v>0</v>
      </c>
      <c r="J36" s="59">
        <f>COUNTIFS(Sep!$B:$B,2222,Sep!$J:$J,29)</f>
        <v>0</v>
      </c>
      <c r="K36" s="59">
        <f>COUNTIFS(Oct!$B:$B,2222,Oct!$J:$J,29)</f>
        <v>0</v>
      </c>
      <c r="L36" s="59">
        <f>COUNTIFS(Nov!$B:$B,2222,Nov!$J:$J,29)</f>
        <v>0</v>
      </c>
      <c r="M36" s="59">
        <v>0</v>
      </c>
    </row>
    <row r="37" spans="1:13" s="8" customFormat="1" ht="11.25" customHeight="1">
      <c r="A37" s="10" t="s">
        <v>3</v>
      </c>
      <c r="B37" s="59">
        <f>COUNTIFS(Jan!$B:$B,2222,Jan!$J:$J,13)</f>
        <v>0</v>
      </c>
      <c r="C37" s="59">
        <f>COUNTIFS(Feb!$B:$B,2222,Feb!$J:$J,13)</f>
        <v>0</v>
      </c>
      <c r="D37" s="59">
        <f>COUNTIFS(Mar!$B:$B,2222,Mar!$J:$J,13)</f>
        <v>0</v>
      </c>
      <c r="E37" s="59">
        <f>COUNTIFS(Apr!$B:$B,2222,Apr!$J:$J,13)</f>
        <v>0</v>
      </c>
      <c r="F37" s="59">
        <f>COUNTIFS(May!$B:$B,2222,May!$J:$J,13)</f>
        <v>0</v>
      </c>
      <c r="G37" s="59">
        <f>COUNTIFS(Jun!$B:$B,2222,Jun!$J:$J,13)</f>
        <v>0</v>
      </c>
      <c r="H37" s="59">
        <f>COUNTIFS(Jul!$B:$B,2222,Jul!$J:$J,13)</f>
        <v>0</v>
      </c>
      <c r="I37" s="59">
        <f>COUNTIFS(Aug!$B:$B,2222,Aug!$J:$J,13)</f>
        <v>0</v>
      </c>
      <c r="J37" s="59">
        <f>COUNTIFS(Sep!$B:$B,2222,Sep!$J:$J,13)</f>
        <v>0</v>
      </c>
      <c r="K37" s="59">
        <f>COUNTIFS(Oct!$B:$B,2222,Oct!$J:$J,13)</f>
        <v>0</v>
      </c>
      <c r="L37" s="59">
        <f>COUNTIFS(Nov!$B:$B,2222,Nov!$J:$J,13)</f>
        <v>0</v>
      </c>
      <c r="M37" s="59">
        <v>0</v>
      </c>
    </row>
    <row r="38" spans="1:13" s="8" customFormat="1" ht="11.25" customHeight="1">
      <c r="A38" s="9" t="s">
        <v>218</v>
      </c>
      <c r="B38" s="59">
        <f>COUNTIFS(Jan!$B:$B,2222,Jan!$J:$J,43)</f>
        <v>0</v>
      </c>
      <c r="C38" s="59">
        <f>COUNTIFS(Feb!$B:$B,2222,Feb!$J:$J,43)</f>
        <v>0</v>
      </c>
      <c r="D38" s="59">
        <f>COUNTIFS(Mar!$B:$B,2222,Mar!$J:$J,43)</f>
        <v>0</v>
      </c>
      <c r="E38" s="59">
        <f>COUNTIFS(Apr!$B:$B,2222,Apr!$J:$J,43)</f>
        <v>0</v>
      </c>
      <c r="F38" s="59">
        <f>COUNTIFS(May!$B:$B,2222,May!$J:$J,43)</f>
        <v>0</v>
      </c>
      <c r="G38" s="59">
        <f>COUNTIFS(Jun!$B:$B,2222,Jun!$J:$J,43)</f>
        <v>0</v>
      </c>
      <c r="H38" s="59">
        <f>COUNTIFS(Jul!$B:$B,2222,Jul!$J:$J,43)</f>
        <v>0</v>
      </c>
      <c r="I38" s="59">
        <f>COUNTIFS(Aug!$B:$B,2222,Aug!$J:$J,43)</f>
        <v>0</v>
      </c>
      <c r="J38" s="59">
        <f>COUNTIFS(Sep!$B:$B,2222,Sep!$J:$J,43)</f>
        <v>0</v>
      </c>
      <c r="K38" s="59">
        <f>COUNTIFS(Oct!$B:$B,2222,Oct!$J:$J,43)</f>
        <v>0</v>
      </c>
      <c r="L38" s="59">
        <f>COUNTIFS(Nov!$B:$B,2222,Nov!$J:$J,43)</f>
        <v>0</v>
      </c>
      <c r="M38" s="59">
        <v>0</v>
      </c>
    </row>
    <row r="39" spans="1:13" s="8" customFormat="1" ht="11.25" customHeight="1">
      <c r="A39" s="10" t="s">
        <v>25</v>
      </c>
      <c r="B39" s="59">
        <f>COUNTIFS(Jan!$B:$B,2222,Jan!$J:$J,24)</f>
        <v>0</v>
      </c>
      <c r="C39" s="59">
        <f>COUNTIFS(Feb!$B:$B,2222,Feb!$J:$J,24)</f>
        <v>0</v>
      </c>
      <c r="D39" s="59">
        <f>COUNTIFS(Mar!$B:$B,2222,Mar!$J:$J,24)</f>
        <v>0</v>
      </c>
      <c r="E39" s="59">
        <f>COUNTIFS(Apr!$B:$B,2222,Apr!$J:$J,24)</f>
        <v>0</v>
      </c>
      <c r="F39" s="59">
        <f>COUNTIFS(May!$B:$B,2222,May!$J:$J,24)</f>
        <v>0</v>
      </c>
      <c r="G39" s="59">
        <f>COUNTIFS(Jun!$B:$B,2222,Jun!$J:$J,24)</f>
        <v>0</v>
      </c>
      <c r="H39" s="59">
        <f>COUNTIFS(Jul!$B:$B,2222,Jul!$J:$J,24)</f>
        <v>0</v>
      </c>
      <c r="I39" s="59">
        <f>COUNTIFS(Aug!$B:$B,2222,Aug!$J:$J,24)</f>
        <v>0</v>
      </c>
      <c r="J39" s="59">
        <f>COUNTIFS(Sep!$B:$B,2222,Sep!$J:$J,24)</f>
        <v>0</v>
      </c>
      <c r="K39" s="59">
        <f>COUNTIFS(Oct!$B:$B,2222,Oct!$J:$J,24)</f>
        <v>0</v>
      </c>
      <c r="L39" s="59">
        <f>COUNTIFS(Nov!$B:$B,2222,Nov!$J:$J,24)</f>
        <v>0</v>
      </c>
      <c r="M39" s="59">
        <v>0</v>
      </c>
    </row>
    <row r="40" spans="1:13" s="8" customFormat="1" ht="11.25" customHeight="1">
      <c r="A40" s="10" t="s">
        <v>34</v>
      </c>
      <c r="B40" s="59">
        <f>COUNTIFS(Jan!$B:$B,2222,Jan!$J:$J,9)</f>
        <v>0</v>
      </c>
      <c r="C40" s="59">
        <f>COUNTIFS(Feb!$B:$B,2222,Feb!$J:$J,9)</f>
        <v>0</v>
      </c>
      <c r="D40" s="59">
        <f>COUNTIFS(Mar!$B:$B,2222,Mar!$J:$J,9)</f>
        <v>0</v>
      </c>
      <c r="E40" s="59">
        <f>COUNTIFS(Apr!$B:$B,2222,Apr!$J:$J,9)</f>
        <v>0</v>
      </c>
      <c r="F40" s="59">
        <f>COUNTIFS(May!$B:$B,2222,May!$J:$J,9)</f>
        <v>0</v>
      </c>
      <c r="G40" s="59">
        <f>COUNTIFS(Jun!$B:$B,2222,Jun!$J:$J,9)</f>
        <v>0</v>
      </c>
      <c r="H40" s="59">
        <f>COUNTIFS(Jul!$B:$B,2222,Jul!$J:$J,9)</f>
        <v>0</v>
      </c>
      <c r="I40" s="59">
        <f>COUNTIFS(Aug!$B:$B,2222,Aug!$J:$J,9)</f>
        <v>0</v>
      </c>
      <c r="J40" s="59">
        <f>COUNTIFS(Sep!$B:$B,2222,Sep!$J:$J,9)</f>
        <v>0</v>
      </c>
      <c r="K40" s="59">
        <f>COUNTIFS(Oct!$B:$B,2222,Oct!$J:$J,9)</f>
        <v>0</v>
      </c>
      <c r="L40" s="59">
        <f>COUNTIFS(Nov!$B:$B,2222,Nov!$J:$J,9)</f>
        <v>0</v>
      </c>
      <c r="M40" s="59">
        <v>0</v>
      </c>
    </row>
    <row r="41" spans="1:13" s="8" customFormat="1" ht="11.25" customHeight="1">
      <c r="A41" s="10" t="s">
        <v>31</v>
      </c>
      <c r="B41" s="59">
        <f>COUNTIFS(Jan!$B:$B,2222,Jan!$J:$J,10)</f>
        <v>0</v>
      </c>
      <c r="C41" s="59">
        <f>COUNTIFS(Feb!$B:$B,2222,Feb!$J:$J,10)</f>
        <v>0</v>
      </c>
      <c r="D41" s="59">
        <f>COUNTIFS(Mar!$B:$B,2222,Mar!$J:$J,10)</f>
        <v>0</v>
      </c>
      <c r="E41" s="59">
        <f>COUNTIFS(Apr!$B:$B,2222,Apr!$J:$J,10)</f>
        <v>0</v>
      </c>
      <c r="F41" s="59">
        <f>COUNTIFS(May!$B:$B,2222,May!$J:$J,10)</f>
        <v>0</v>
      </c>
      <c r="G41" s="59">
        <f>COUNTIFS(Jun!$B:$B,2222,Jun!$J:$J,10)</f>
        <v>0</v>
      </c>
      <c r="H41" s="59">
        <f>COUNTIFS(Jul!$B:$B,2222,Jul!$J:$J,10)</f>
        <v>0</v>
      </c>
      <c r="I41" s="59">
        <f>COUNTIFS(Aug!$B:$B,2222,Aug!$J:$J,10)</f>
        <v>0</v>
      </c>
      <c r="J41" s="59">
        <f>COUNTIFS(Sep!$B:$B,2222,Sep!$J:$J,10)</f>
        <v>0</v>
      </c>
      <c r="K41" s="59">
        <f>COUNTIFS(Oct!$B:$B,2222,Oct!$J:$J,10)</f>
        <v>0</v>
      </c>
      <c r="L41" s="59">
        <f>COUNTIFS(Nov!$B:$B,2222,Nov!$J:$J,10)</f>
        <v>0</v>
      </c>
      <c r="M41" s="59">
        <v>0</v>
      </c>
    </row>
    <row r="42" spans="1:13" s="8" customFormat="1" ht="11.25" customHeight="1">
      <c r="A42" s="10" t="s">
        <v>144</v>
      </c>
      <c r="B42" s="59">
        <f>COUNTIFS(Jan!$B:$B,2222,Jan!$F:$F,462)</f>
        <v>0</v>
      </c>
      <c r="C42" s="59">
        <f>COUNTIFS(Feb!$B:$B,2222,Feb!$F:$F,462)</f>
        <v>0</v>
      </c>
      <c r="D42" s="59">
        <f>COUNTIFS(Mar!$B:$B,2222,Mar!$F:$F,462)</f>
        <v>0</v>
      </c>
      <c r="E42" s="59">
        <f>COUNTIFS(Apr!$B:$B,2222,Apr!$F:$F,462)</f>
        <v>0</v>
      </c>
      <c r="F42" s="59">
        <f>COUNTIFS(May!$B:$B,2222,May!$F:$F,462)</f>
        <v>0</v>
      </c>
      <c r="G42" s="59">
        <f>COUNTIFS(Jun!$B:$B,2222,Jun!$F:$F,462)</f>
        <v>0</v>
      </c>
      <c r="H42" s="59">
        <f>COUNTIFS(Jul!$B:$B,2222,Jul!$F:$F,462)</f>
        <v>0</v>
      </c>
      <c r="I42" s="59">
        <f>COUNTIFS(Aug!$B:$B,2222,Aug!$F:$F,462)</f>
        <v>0</v>
      </c>
      <c r="J42" s="59">
        <f>COUNTIFS(Sep!$B:$B,2222,Sep!$F:$F,462)</f>
        <v>0</v>
      </c>
      <c r="K42" s="59">
        <f>COUNTIFS(Oct!$B:$B,2222,Oct!$F:$F,462)</f>
        <v>0</v>
      </c>
      <c r="L42" s="59">
        <f>COUNTIFS(Nov!$B:$B,2222,Nov!$F:$F,462)</f>
        <v>0</v>
      </c>
      <c r="M42" s="59">
        <v>0</v>
      </c>
    </row>
    <row r="43" spans="1:13" s="8" customFormat="1" ht="11.25" customHeight="1">
      <c r="A43" s="10" t="s">
        <v>1</v>
      </c>
      <c r="B43" s="59">
        <f>COUNTIFS(Jan!$B:$B,2222,Jan!$J:$J,11)</f>
        <v>0</v>
      </c>
      <c r="C43" s="59">
        <f>COUNTIFS(Feb!$B:$B,2222,Feb!$J:$J,11)</f>
        <v>0</v>
      </c>
      <c r="D43" s="59">
        <f>COUNTIFS(Mar!$B:$B,2222,Mar!$J:$J,11)</f>
        <v>0</v>
      </c>
      <c r="E43" s="59">
        <f>COUNTIFS(Apr!$B:$B,2222,Apr!$J:$J,11)</f>
        <v>0</v>
      </c>
      <c r="F43" s="59">
        <f>COUNTIFS(May!$B:$B,2222,May!$J:$J,11)</f>
        <v>0</v>
      </c>
      <c r="G43" s="59">
        <f>COUNTIFS(Jun!$B:$B,2222,Jun!$J:$J,11)</f>
        <v>0</v>
      </c>
      <c r="H43" s="59">
        <f>COUNTIFS(Jul!$B:$B,2222,Jul!$J:$J,11)</f>
        <v>0</v>
      </c>
      <c r="I43" s="59">
        <f>COUNTIFS(Aug!$B:$B,2222,Aug!$J:$J,11)</f>
        <v>0</v>
      </c>
      <c r="J43" s="59">
        <f>COUNTIFS(Sep!$B:$B,2222,Sep!$J:$J,11)</f>
        <v>0</v>
      </c>
      <c r="K43" s="59">
        <f>COUNTIFS(Oct!$B:$B,2222,Oct!$J:$J,11)</f>
        <v>0</v>
      </c>
      <c r="L43" s="59">
        <f>COUNTIFS(Nov!$B:$B,2222,Nov!$J:$J,11)</f>
        <v>0</v>
      </c>
      <c r="M43" s="59">
        <v>0</v>
      </c>
    </row>
    <row r="44" spans="1:13" s="8" customFormat="1" ht="11.25" customHeight="1">
      <c r="A44" s="10" t="s">
        <v>26</v>
      </c>
      <c r="B44" s="59">
        <f>COUNTIFS(Jan!$B:$B,2222,Jan!$J:$J,20)</f>
        <v>0</v>
      </c>
      <c r="C44" s="59">
        <f>COUNTIFS(Feb!$B:$B,2222,Feb!$J:$J,20)</f>
        <v>0</v>
      </c>
      <c r="D44" s="59">
        <f>COUNTIFS(Mar!$B:$B,2222,Mar!$J:$J,20)</f>
        <v>0</v>
      </c>
      <c r="E44" s="59">
        <f>COUNTIFS(Apr!$B:$B,2222,Apr!$J:$J,20)</f>
        <v>0</v>
      </c>
      <c r="F44" s="59">
        <f>COUNTIFS(May!$B:$B,2222,May!$J:$J,20)</f>
        <v>0</v>
      </c>
      <c r="G44" s="59">
        <f>COUNTIFS(Jun!$B:$B,2222,Jun!$J:$J,20)</f>
        <v>0</v>
      </c>
      <c r="H44" s="59">
        <f>COUNTIFS(Jul!$B:$B,2222,Jul!$J:$J,20)</f>
        <v>0</v>
      </c>
      <c r="I44" s="59">
        <f>COUNTIFS(Aug!$B:$B,2222,Aug!$J:$J,20)</f>
        <v>0</v>
      </c>
      <c r="J44" s="59">
        <f>COUNTIFS(Sep!$B:$B,2222,Sep!$J:$J,20)</f>
        <v>0</v>
      </c>
      <c r="K44" s="59">
        <f>COUNTIFS(Oct!$B:$B,2222,Oct!$J:$J,20)</f>
        <v>0</v>
      </c>
      <c r="L44" s="59">
        <f>COUNTIFS(Nov!$B:$B,2222,Nov!$J:$J,20)</f>
        <v>0</v>
      </c>
      <c r="M44" s="59">
        <v>0</v>
      </c>
    </row>
    <row r="45" spans="1:13" s="8" customFormat="1" ht="11.25" customHeight="1">
      <c r="A45" s="10" t="s">
        <v>32</v>
      </c>
      <c r="B45" s="59">
        <f>COUNTIFS(Jan!$B:$B,2222,Jan!$J:$J,2)</f>
        <v>0</v>
      </c>
      <c r="C45" s="59">
        <f>COUNTIFS(Feb!$B:$B,2222,Feb!$J:$J,2)</f>
        <v>0</v>
      </c>
      <c r="D45" s="59">
        <f>COUNTIFS(Mar!$B:$B,2222,Mar!$J:$J,2)</f>
        <v>0</v>
      </c>
      <c r="E45" s="59">
        <f>COUNTIFS(Apr!$B:$B,2222,Apr!$J:$J,2)</f>
        <v>0</v>
      </c>
      <c r="F45" s="59">
        <f>COUNTIFS(May!$B:$B,2222,May!$J:$J,2)</f>
        <v>0</v>
      </c>
      <c r="G45" s="59">
        <f>COUNTIFS(Jun!$B:$B,2222,Jun!$J:$J,2)</f>
        <v>0</v>
      </c>
      <c r="H45" s="59">
        <f>COUNTIFS(Jul!$B:$B,2222,Jul!$J:$J,2)</f>
        <v>0</v>
      </c>
      <c r="I45" s="59">
        <f>COUNTIFS(Aug!$B:$B,2222,Aug!$J:$J,2)</f>
        <v>0</v>
      </c>
      <c r="J45" s="59">
        <f>COUNTIFS(Sep!$B:$B,2222,Sep!$J:$J,2)</f>
        <v>0</v>
      </c>
      <c r="K45" s="59">
        <f>COUNTIFS(Oct!$B:$B,2222,Oct!$J:$J,2)</f>
        <v>0</v>
      </c>
      <c r="L45" s="59">
        <f>COUNTIFS(Nov!$B:$B,2222,Nov!$J:$J,2)</f>
        <v>0</v>
      </c>
      <c r="M45" s="59">
        <v>0</v>
      </c>
    </row>
    <row r="46" spans="1:13" s="8" customFormat="1" ht="11.25" customHeight="1">
      <c r="A46" s="10" t="s">
        <v>28</v>
      </c>
      <c r="B46" s="59">
        <f>COUNTIFS(Jan!$B:$B,2222,Jan!$J:$J,1700)+COUNTIFS(Jan!$B:$B,2222,Jan!$F:$F,1700)+COUNTIFS(Jan!$B:$B,2222,Jan!$J:$J,19)</f>
        <v>0</v>
      </c>
      <c r="C46" s="59">
        <f>COUNTIFS(Feb!$B:$B,2222,Feb!$J:$J,1700)+COUNTIFS(Feb!$B:$B,2222,Feb!$F:$F,1700)+COUNTIFS(Feb!$B:$B,2222,Feb!$J:$J,19)</f>
        <v>0</v>
      </c>
      <c r="D46" s="59">
        <f>COUNTIFS(Mar!$B:$B,2222,Mar!$J:$J,1700)+COUNTIFS(Mar!$B:$B,2222,Mar!$F:$F,1700)+COUNTIFS(Mar!$B:$B,2222,Mar!$J:$J,19)</f>
        <v>0</v>
      </c>
      <c r="E46" s="59">
        <f>COUNTIFS(Apr!$B:$B,2222,Apr!$J:$J,1700)+COUNTIFS(Apr!$B:$B,2222,Apr!$F:$F,1700)+COUNTIFS(Apr!$B:$B,2222,Apr!$J:$J,19)</f>
        <v>0</v>
      </c>
      <c r="F46" s="59">
        <f>COUNTIFS(May!$B:$B,2222,May!$J:$J,1700)+COUNTIFS(May!$B:$B,2222,May!$F:$F,1700)+COUNTIFS(May!$B:$B,2222,May!$J:$J,19)</f>
        <v>0</v>
      </c>
      <c r="G46" s="59">
        <f>COUNTIFS(Jun!$B:$B,2222,Jun!$J:$J,1700)+COUNTIFS(Jun!$B:$B,2222,Jun!$F:$F,1700)+COUNTIFS(Jun!$B:$B,2222,Jun!$J:$J,19)</f>
        <v>0</v>
      </c>
      <c r="H46" s="59">
        <f>COUNTIFS(Jul!$B:$B,2222,Jul!$J:$J,1700)+COUNTIFS(Jul!$B:$B,2222,Jul!$F:$F,1700)+COUNTIFS(Jul!$B:$B,2222,Jul!$J:$J,19)</f>
        <v>0</v>
      </c>
      <c r="I46" s="59">
        <f>COUNTIFS(Aug!$B:$B,2222,Aug!$J:$J,1700)+COUNTIFS(Aug!$B:$B,2222,Aug!$F:$F,1700)+COUNTIFS(Aug!$B:$B,2222,Aug!$J:$J,19)</f>
        <v>0</v>
      </c>
      <c r="J46" s="59">
        <f>COUNTIFS(Sep!$B:$B,2222,Sep!$J:$J,1700)+COUNTIFS(Sep!$B:$B,2222,Sep!$F:$F,1700)+COUNTIFS(Sep!$B:$B,2222,Sep!$J:$J,19)</f>
        <v>0</v>
      </c>
      <c r="K46" s="59">
        <f>COUNTIFS(Oct!$B:$B,2222,Oct!$J:$J,1700)+COUNTIFS(Oct!$B:$B,2222,Oct!$F:$F,1700)+COUNTIFS(Oct!$B:$B,2222,Oct!$J:$J,19)</f>
        <v>0</v>
      </c>
      <c r="L46" s="59">
        <f>COUNTIFS(Nov!$B:$B,2222,Nov!$J:$J,1700)+COUNTIFS(Nov!$B:$B,2222,Nov!$F:$F,1700)+COUNTIFS(Nov!$B:$B,2222,Nov!$J:$J,19)</f>
        <v>0</v>
      </c>
      <c r="M46" s="59">
        <v>0</v>
      </c>
    </row>
    <row r="47" spans="1:13" s="8" customFormat="1" ht="11.25" customHeight="1">
      <c r="A47" s="10" t="s">
        <v>0</v>
      </c>
      <c r="B47" s="59">
        <f>COUNTIFS(Jan!$B:$B,2222,Jan!$J:$J,3)</f>
        <v>0</v>
      </c>
      <c r="C47" s="59">
        <f>COUNTIFS(Feb!$B:$B,2222,Feb!$J:$J,3)</f>
        <v>0</v>
      </c>
      <c r="D47" s="59">
        <f>COUNTIFS(Mar!$B:$B,2222,Mar!$J:$J,3)</f>
        <v>0</v>
      </c>
      <c r="E47" s="59">
        <f>COUNTIFS(Apr!$B:$B,2222,Apr!$J:$J,3)</f>
        <v>0</v>
      </c>
      <c r="F47" s="59">
        <f>COUNTIFS(May!$B:$B,2222,May!$J:$J,3)</f>
        <v>0</v>
      </c>
      <c r="G47" s="59">
        <f>COUNTIFS(Jun!$B:$B,2222,Jun!$J:$J,3)</f>
        <v>0</v>
      </c>
      <c r="H47" s="59">
        <f>COUNTIFS(Jul!$B:$B,2222,Jul!$J:$J,3)</f>
        <v>0</v>
      </c>
      <c r="I47" s="59">
        <f>COUNTIFS(Aug!$B:$B,2222,Aug!$J:$J,3)</f>
        <v>0</v>
      </c>
      <c r="J47" s="59">
        <f>COUNTIFS(Sep!$B:$B,2222,Sep!$J:$J,3)</f>
        <v>0</v>
      </c>
      <c r="K47" s="59">
        <f>COUNTIFS(Oct!$B:$B,2222,Oct!$J:$J,3)</f>
        <v>0</v>
      </c>
      <c r="L47" s="59">
        <f>COUNTIFS(Nov!$B:$B,2222,Nov!$J:$J,3)</f>
        <v>0</v>
      </c>
      <c r="M47" s="59">
        <v>0</v>
      </c>
    </row>
    <row r="48" spans="1:13" s="8" customFormat="1" ht="11.25" customHeight="1">
      <c r="A48" s="10" t="s">
        <v>35</v>
      </c>
      <c r="B48" s="59">
        <f>COUNTIFS(Jan!$B:$B,2222,Jan!$J:$J,7400)</f>
        <v>0</v>
      </c>
      <c r="C48" s="59">
        <f>COUNTIFS(Feb!$B:$B,2222,Feb!$J:$J,7400)</f>
        <v>0</v>
      </c>
      <c r="D48" s="59">
        <f>COUNTIFS(Mar!$B:$B,2222,Mar!$J:$J,7400)</f>
        <v>0</v>
      </c>
      <c r="E48" s="59">
        <f>COUNTIFS(Apr!$B:$B,2222,Apr!$J:$J,7400)</f>
        <v>0</v>
      </c>
      <c r="F48" s="59">
        <f>COUNTIFS(May!$B:$B,2222,May!$J:$J,7400)</f>
        <v>0</v>
      </c>
      <c r="G48" s="59">
        <f>COUNTIFS(Jun!$B:$B,2222,Jun!$J:$J,7400)</f>
        <v>0</v>
      </c>
      <c r="H48" s="59">
        <f>COUNTIFS(Jul!$B:$B,2222,Jul!$J:$J,7400)</f>
        <v>0</v>
      </c>
      <c r="I48" s="59">
        <f>COUNTIFS(Aug!$B:$B,2222,Aug!$J:$J,7400)</f>
        <v>0</v>
      </c>
      <c r="J48" s="59">
        <f>COUNTIFS(Sep!$B:$B,2222,Sep!$J:$J,7400)</f>
        <v>0</v>
      </c>
      <c r="K48" s="59">
        <f>COUNTIFS(Oct!$B:$B,2222,Oct!$J:$J,7400)</f>
        <v>0</v>
      </c>
      <c r="L48" s="59">
        <f>COUNTIFS(Nov!$B:$B,2222,Nov!$J:$J,7400)</f>
        <v>0</v>
      </c>
      <c r="M48" s="59">
        <v>0</v>
      </c>
    </row>
    <row r="49" spans="1:13" s="8" customFormat="1" ht="11.25" customHeight="1">
      <c r="A49" s="10" t="s">
        <v>2</v>
      </c>
      <c r="B49" s="59">
        <f>COUNTIFS(Jan!$B:$B,2222,Jan!$J:$J,14)</f>
        <v>0</v>
      </c>
      <c r="C49" s="59">
        <f>COUNTIFS(Feb!$B:$B,2222,Feb!$J:$J,14)</f>
        <v>0</v>
      </c>
      <c r="D49" s="59">
        <f>COUNTIFS(Mar!$B:$B,2222,Mar!$J:$J,14)</f>
        <v>0</v>
      </c>
      <c r="E49" s="59">
        <f>COUNTIFS(Apr!$B:$B,2222,Apr!$J:$J,14)</f>
        <v>0</v>
      </c>
      <c r="F49" s="59">
        <f>COUNTIFS(May!$B:$B,2222,May!$J:$J,14)</f>
        <v>0</v>
      </c>
      <c r="G49" s="59">
        <f>COUNTIFS(Jun!$B:$B,2222,Jun!$J:$J,14)</f>
        <v>0</v>
      </c>
      <c r="H49" s="59">
        <f>COUNTIFS(Jul!$B:$B,2222,Jul!$J:$J,14)</f>
        <v>0</v>
      </c>
      <c r="I49" s="59">
        <f>COUNTIFS(Aug!$B:$B,2222,Aug!$J:$J,14)</f>
        <v>0</v>
      </c>
      <c r="J49" s="59">
        <f>COUNTIFS(Sep!$B:$B,2222,Sep!$J:$J,14)</f>
        <v>0</v>
      </c>
      <c r="K49" s="59">
        <f>COUNTIFS(Oct!$B:$B,2222,Oct!$J:$J,14)</f>
        <v>0</v>
      </c>
      <c r="L49" s="59">
        <f>COUNTIFS(Nov!$B:$B,2222,Nov!$J:$J,14)</f>
        <v>0</v>
      </c>
      <c r="M49" s="59">
        <v>0</v>
      </c>
    </row>
    <row r="50" spans="1:13" s="8" customFormat="1" ht="11.25" customHeight="1">
      <c r="A50" s="10" t="s">
        <v>142</v>
      </c>
      <c r="B50" s="59">
        <f>COUNTIFS(Jan!$B:$B,2222,Jan!$F:$F,466)</f>
        <v>0</v>
      </c>
      <c r="C50" s="59">
        <f>COUNTIFS(Feb!$B:$B,2222,Feb!$F:$F,466)</f>
        <v>0</v>
      </c>
      <c r="D50" s="59">
        <f>COUNTIFS(Mar!$B:$B,2222,Mar!$F:$F,466)</f>
        <v>0</v>
      </c>
      <c r="E50" s="59">
        <f>COUNTIFS(Apr!$B:$B,2222,Apr!$F:$F,466)</f>
        <v>0</v>
      </c>
      <c r="F50" s="59">
        <f>COUNTIFS(May!$B:$B,2222,May!$F:$F,466)</f>
        <v>0</v>
      </c>
      <c r="G50" s="59">
        <f>COUNTIFS(Jun!$B:$B,2222,Jun!$F:$F,466)</f>
        <v>0</v>
      </c>
      <c r="H50" s="59">
        <f>COUNTIFS(Jul!$B:$B,2222,Jul!$F:$F,466)</f>
        <v>0</v>
      </c>
      <c r="I50" s="59">
        <f>COUNTIFS(Aug!$B:$B,2222,Aug!$F:$F,466)</f>
        <v>0</v>
      </c>
      <c r="J50" s="59">
        <f>COUNTIFS(Sep!$B:$B,2222,Sep!$F:$F,466)</f>
        <v>0</v>
      </c>
      <c r="K50" s="59">
        <f>COUNTIFS(Oct!$B:$B,2222,Oct!$F:$F,466)</f>
        <v>0</v>
      </c>
      <c r="L50" s="59">
        <f>COUNTIFS(Nov!$B:$B,2222,Nov!$F:$F,466)</f>
        <v>0</v>
      </c>
      <c r="M50" s="59">
        <v>0</v>
      </c>
    </row>
    <row r="51" spans="1:13" s="8" customFormat="1" ht="11.25" customHeight="1">
      <c r="A51" s="10" t="s">
        <v>27</v>
      </c>
      <c r="B51" s="59">
        <f>COUNTIFS(Jan!$B:$B,2222,Jan!$J:$J,25)</f>
        <v>0</v>
      </c>
      <c r="C51" s="59">
        <f>COUNTIFS(Feb!$B:$B,2222,Feb!$J:$J,25)</f>
        <v>0</v>
      </c>
      <c r="D51" s="59">
        <f>COUNTIFS(Mar!$B:$B,2222,Mar!$J:$J,25)</f>
        <v>0</v>
      </c>
      <c r="E51" s="59">
        <f>COUNTIFS(Apr!$B:$B,2222,Apr!$J:$J,25)</f>
        <v>0</v>
      </c>
      <c r="F51" s="59">
        <f>COUNTIFS(May!$B:$B,2222,May!$J:$J,25)</f>
        <v>0</v>
      </c>
      <c r="G51" s="59">
        <f>COUNTIFS(Jun!$B:$B,2222,Jun!$J:$J,25)</f>
        <v>0</v>
      </c>
      <c r="H51" s="59">
        <f>COUNTIFS(Jul!$B:$B,2222,Jul!$J:$J,25)</f>
        <v>0</v>
      </c>
      <c r="I51" s="59">
        <f>COUNTIFS(Aug!$B:$B,2222,Aug!$J:$J,25)</f>
        <v>0</v>
      </c>
      <c r="J51" s="59">
        <f>COUNTIFS(Sep!$B:$B,2222,Sep!$J:$J,25)</f>
        <v>0</v>
      </c>
      <c r="K51" s="59">
        <f>COUNTIFS(Oct!$B:$B,2222,Oct!$J:$J,25)</f>
        <v>0</v>
      </c>
      <c r="L51" s="59">
        <f>COUNTIFS(Nov!$B:$B,2222,Nov!$J:$J,25)</f>
        <v>0</v>
      </c>
      <c r="M51" s="59">
        <v>0</v>
      </c>
    </row>
    <row r="52" spans="1:13" s="8" customFormat="1" ht="11.25" customHeight="1" thickBot="1">
      <c r="A52" s="11" t="s">
        <v>16</v>
      </c>
      <c r="B52" s="60">
        <f>SUM(B34:B51)</f>
        <v>0</v>
      </c>
      <c r="C52" s="60">
        <f t="shared" ref="C52:M52" si="11">SUM(C34:C51)</f>
        <v>0</v>
      </c>
      <c r="D52" s="60">
        <f>SUM(D34:D51)</f>
        <v>0</v>
      </c>
      <c r="E52" s="60">
        <f>SUM(E34:E51)</f>
        <v>0</v>
      </c>
      <c r="F52" s="60">
        <f>SUM(F34:F51)</f>
        <v>0</v>
      </c>
      <c r="G52" s="60">
        <f>SUM(G34:G51)</f>
        <v>0</v>
      </c>
      <c r="H52" s="60">
        <f t="shared" si="11"/>
        <v>0</v>
      </c>
      <c r="I52" s="60">
        <f t="shared" si="11"/>
        <v>0</v>
      </c>
      <c r="J52" s="60">
        <f t="shared" si="11"/>
        <v>0</v>
      </c>
      <c r="K52" s="60">
        <f t="shared" si="11"/>
        <v>0</v>
      </c>
      <c r="L52" s="159">
        <f t="shared" si="11"/>
        <v>0</v>
      </c>
      <c r="M52" s="170">
        <f t="shared" si="11"/>
        <v>0</v>
      </c>
    </row>
    <row r="53" spans="1:13" ht="12" customHeight="1" thickBot="1">
      <c r="A53" s="55" t="s">
        <v>137</v>
      </c>
      <c r="B53" s="50">
        <v>41275</v>
      </c>
      <c r="C53" s="47">
        <v>41306</v>
      </c>
      <c r="D53" s="47">
        <v>41334</v>
      </c>
      <c r="E53" s="47">
        <v>41365</v>
      </c>
      <c r="F53" s="47">
        <v>41395</v>
      </c>
      <c r="G53" s="47">
        <v>41426</v>
      </c>
      <c r="H53" s="47">
        <v>41456</v>
      </c>
      <c r="I53" s="47">
        <v>41487</v>
      </c>
      <c r="J53" s="47">
        <v>41518</v>
      </c>
      <c r="K53" s="47">
        <v>41548</v>
      </c>
      <c r="L53" s="47">
        <v>41579</v>
      </c>
      <c r="M53" s="51">
        <v>41609</v>
      </c>
    </row>
    <row r="54" spans="1:13" s="8" customFormat="1" ht="11.25" customHeight="1">
      <c r="A54" s="10" t="s">
        <v>30</v>
      </c>
      <c r="B54" s="57">
        <f>COUNTIFS(Jan!$B:$B,2222,Jan!$J:$J,7)</f>
        <v>0</v>
      </c>
      <c r="C54" s="57">
        <f>COUNTIFS(Feb!$B:$B,2222,Feb!$J:$J,7)</f>
        <v>0</v>
      </c>
      <c r="D54" s="57">
        <f>COUNTIFS(Mar!$B:$B,2222,Mar!$J:$J,7)</f>
        <v>0</v>
      </c>
      <c r="E54" s="57">
        <f>COUNTIFS(Apr!$B:$B,2222,Apr!$J:$J,7)</f>
        <v>0</v>
      </c>
      <c r="F54" s="57">
        <f>COUNTIFS(May!$B:$B,2222,May!$J:$J,7)</f>
        <v>0</v>
      </c>
      <c r="G54" s="57">
        <f>COUNTIFS(Jun!$B:$B,2222,Jun!$J:$J,7)</f>
        <v>0</v>
      </c>
      <c r="H54" s="57">
        <f>COUNTIFS(Jul!$B:$B,2222,Jul!$J:$J,7)</f>
        <v>0</v>
      </c>
      <c r="I54" s="57">
        <f>COUNTIFS(Aug!$B:$B,2222,Aug!$J:$J,7)</f>
        <v>0</v>
      </c>
      <c r="J54" s="57">
        <f>COUNTIFS(Sep!$B:$B,2222,Sep!$J:$J,7)</f>
        <v>0</v>
      </c>
      <c r="K54" s="57">
        <f>COUNTIFS(Oct!$B:$B,2222,Oct!$J:$J,7)</f>
        <v>0</v>
      </c>
      <c r="L54" s="57">
        <f>COUNTIFS(Nov!$B:$B,2222,Nov!$J:$J,7)</f>
        <v>0</v>
      </c>
      <c r="M54" s="57">
        <v>0</v>
      </c>
    </row>
    <row r="55" spans="1:13" s="8" customFormat="1" ht="11.25" customHeight="1">
      <c r="A55" s="10" t="s">
        <v>29</v>
      </c>
      <c r="B55" s="59">
        <f>COUNTIFS(Jan!$B:$B,2222,Jan!$J:$J,8)</f>
        <v>0</v>
      </c>
      <c r="C55" s="59">
        <f>COUNTIFS(Feb!$B:$B,2222,Feb!$J:$J,8)</f>
        <v>0</v>
      </c>
      <c r="D55" s="59">
        <f>COUNTIFS(Mar!$B:$B,2222,Mar!$J:$J,8)</f>
        <v>0</v>
      </c>
      <c r="E55" s="59">
        <f>COUNTIFS(Apr!$B:$B,2222,Apr!$J:$J,8)</f>
        <v>0</v>
      </c>
      <c r="F55" s="59">
        <f>COUNTIFS(May!$B:$B,2222,May!$J:$J,8)</f>
        <v>0</v>
      </c>
      <c r="G55" s="59">
        <f>COUNTIFS(Jun!$B:$B,2222,Jun!$J:$J,8)</f>
        <v>0</v>
      </c>
      <c r="H55" s="59">
        <f>COUNTIFS(Jul!$B:$B,2222,Jul!$J:$J,8)</f>
        <v>0</v>
      </c>
      <c r="I55" s="59">
        <f>COUNTIFS(Aug!$B:$B,2222,Aug!$J:$J,8)</f>
        <v>0</v>
      </c>
      <c r="J55" s="59">
        <f>COUNTIFS(Sep!$B:$B,2222,Sep!$J:$J,8)</f>
        <v>0</v>
      </c>
      <c r="K55" s="59">
        <f>COUNTIFS(Oct!$B:$B,2222,Oct!$J:$J,8)</f>
        <v>0</v>
      </c>
      <c r="L55" s="59">
        <f>COUNTIFS(Nov!$B:$B,2222,Nov!$J:$J,8)</f>
        <v>0</v>
      </c>
      <c r="M55" s="59">
        <v>0</v>
      </c>
    </row>
    <row r="56" spans="1:13" s="8" customFormat="1" ht="11.25" customHeight="1">
      <c r="A56" s="10" t="s">
        <v>7</v>
      </c>
      <c r="B56" s="59">
        <f>COUNTIFS(Jan!$B:$B,2222,Jan!$J:$J,12)</f>
        <v>0</v>
      </c>
      <c r="C56" s="59">
        <f>COUNTIFS(Feb!$B:$B,2222,Feb!$J:$J,12)</f>
        <v>0</v>
      </c>
      <c r="D56" s="59">
        <f>COUNTIFS(Mar!$B:$B,2222,Mar!$J:$J,12)</f>
        <v>0</v>
      </c>
      <c r="E56" s="59">
        <f>COUNTIFS(Apr!$B:$B,2222,Apr!$J:$J,12)</f>
        <v>0</v>
      </c>
      <c r="F56" s="59">
        <f>COUNTIFS(May!$B:$B,2222,May!$J:$J,12)</f>
        <v>0</v>
      </c>
      <c r="G56" s="59">
        <f>COUNTIFS(Jun!$B:$B,2222,Jun!$J:$J,12)</f>
        <v>0</v>
      </c>
      <c r="H56" s="59">
        <f>COUNTIFS(Jul!$B:$B,2222,Jul!$J:$J,12)</f>
        <v>0</v>
      </c>
      <c r="I56" s="59">
        <f>COUNTIFS(Aug!$B:$B,2222,Aug!$J:$J,12)</f>
        <v>0</v>
      </c>
      <c r="J56" s="59">
        <f>COUNTIFS(Sep!$B:$B,2222,Sep!$J:$J,12)</f>
        <v>0</v>
      </c>
      <c r="K56" s="59">
        <f>COUNTIFS(Oct!$B:$B,2222,Oct!$J:$J,12)</f>
        <v>0</v>
      </c>
      <c r="L56" s="59">
        <f>COUNTIFS(Nov!$B:$B,2222,Nov!$J:$J,12)</f>
        <v>0</v>
      </c>
      <c r="M56" s="59">
        <v>0</v>
      </c>
    </row>
    <row r="57" spans="1:13" s="8" customFormat="1" ht="11.25" customHeight="1">
      <c r="A57" s="10" t="s">
        <v>10</v>
      </c>
      <c r="B57" s="59">
        <f>COUNTIFS(Jan!$B:$B,2222,Jan!$J:$J,5100)</f>
        <v>0</v>
      </c>
      <c r="C57" s="59">
        <f>COUNTIFS(Feb!$B:$B,2222,Feb!$J:$J,5100)</f>
        <v>0</v>
      </c>
      <c r="D57" s="59">
        <f>COUNTIFS(Mar!$B:$B,2222,Mar!$J:$J,5100)</f>
        <v>0</v>
      </c>
      <c r="E57" s="59">
        <f>COUNTIFS(Apr!$B:$B,2222,Apr!$J:$J,5100)</f>
        <v>0</v>
      </c>
      <c r="F57" s="59">
        <f>COUNTIFS(May!$B:$B,2222,May!$J:$J,5100)</f>
        <v>0</v>
      </c>
      <c r="G57" s="59">
        <f>COUNTIFS(Jun!$B:$B,2222,Jun!$J:$J,5100)</f>
        <v>0</v>
      </c>
      <c r="H57" s="59">
        <f>COUNTIFS(Jul!$B:$B,2222,Jul!$J:$J,5100)</f>
        <v>0</v>
      </c>
      <c r="I57" s="59">
        <f>COUNTIFS(Aug!$B:$B,2222,Aug!$J:$J,5100)</f>
        <v>0</v>
      </c>
      <c r="J57" s="59">
        <f>COUNTIFS(Sep!$B:$B,2222,Sep!$J:$J,5100)</f>
        <v>0</v>
      </c>
      <c r="K57" s="59">
        <f>COUNTIFS(Oct!$B:$B,2222,Oct!$J:$J,5100)</f>
        <v>0</v>
      </c>
      <c r="L57" s="59">
        <f>COUNTIFS(Nov!$B:$B,2222,Nov!$J:$J,5100)</f>
        <v>0</v>
      </c>
      <c r="M57" s="59">
        <v>0</v>
      </c>
    </row>
    <row r="58" spans="1:13" s="8" customFormat="1" ht="11.25" customHeight="1">
      <c r="A58" s="10" t="s">
        <v>36</v>
      </c>
      <c r="B58" s="59">
        <f>COUNTIFS(Jan!$B:$B,2222,Jan!$J:$J,6200)</f>
        <v>0</v>
      </c>
      <c r="C58" s="59">
        <f>COUNTIFS(Feb!$B:$B,2222,Feb!$J:$J,6200)</f>
        <v>0</v>
      </c>
      <c r="D58" s="59">
        <f>COUNTIFS(Mar!$B:$B,2222,Mar!$J:$J,6200)</f>
        <v>0</v>
      </c>
      <c r="E58" s="59">
        <f>COUNTIFS(Apr!$B:$B,2222,Apr!$J:$J,6200)</f>
        <v>0</v>
      </c>
      <c r="F58" s="59">
        <f>COUNTIFS(May!$B:$B,2222,May!$J:$J,6200)</f>
        <v>0</v>
      </c>
      <c r="G58" s="59">
        <f>COUNTIFS(Jun!$B:$B,2222,Jun!$J:$J,6200)</f>
        <v>0</v>
      </c>
      <c r="H58" s="59">
        <f>COUNTIFS(Jul!$B:$B,2222,Jul!$J:$J,6200)</f>
        <v>0</v>
      </c>
      <c r="I58" s="59">
        <f>COUNTIFS(Aug!$B:$B,2222,Aug!$J:$J,6200)</f>
        <v>0</v>
      </c>
      <c r="J58" s="59">
        <f>COUNTIFS(Sep!$B:$B,2222,Sep!$J:$J,6200)</f>
        <v>0</v>
      </c>
      <c r="K58" s="59">
        <f>COUNTIFS(Oct!$B:$B,2222,Oct!$J:$J,6200)</f>
        <v>0</v>
      </c>
      <c r="L58" s="59">
        <f>COUNTIFS(Nov!$B:$B,2222,Nov!$J:$J,6200)</f>
        <v>0</v>
      </c>
      <c r="M58" s="59">
        <v>0</v>
      </c>
    </row>
    <row r="59" spans="1:13" s="8" customFormat="1" ht="11.25" customHeight="1">
      <c r="A59" s="10" t="s">
        <v>145</v>
      </c>
      <c r="B59" s="59">
        <f>COUNTIFS(Jan!$B:$B,2222,Jan!$J:$J,28)</f>
        <v>0</v>
      </c>
      <c r="C59" s="59">
        <f>COUNTIFS(Feb!$B:$B,2222,Feb!$J:$J,28)</f>
        <v>0</v>
      </c>
      <c r="D59" s="59">
        <f>COUNTIFS(Mar!$B:$B,2222,Mar!$J:$J,28)</f>
        <v>0</v>
      </c>
      <c r="E59" s="59">
        <f>COUNTIFS(Apr!$B:$B,2222,Apr!$J:$J,28)</f>
        <v>0</v>
      </c>
      <c r="F59" s="59">
        <f>COUNTIFS(May!$B:$B,2222,May!$J:$J,28)</f>
        <v>0</v>
      </c>
      <c r="G59" s="59">
        <f>COUNTIFS(Jun!$B:$B,2222,Jun!$J:$J,28)</f>
        <v>0</v>
      </c>
      <c r="H59" s="59">
        <f>COUNTIFS(Jul!$B:$B,2222,Jul!$J:$J,28)</f>
        <v>0</v>
      </c>
      <c r="I59" s="59">
        <f>COUNTIFS(Aug!$B:$B,2222,Aug!$J:$J,28)</f>
        <v>0</v>
      </c>
      <c r="J59" s="59">
        <f>COUNTIFS(Sep!$B:$B,2222,Sep!$J:$J,28)</f>
        <v>0</v>
      </c>
      <c r="K59" s="59">
        <f>COUNTIFS(Oct!$B:$B,2222,Oct!$J:$J,28)</f>
        <v>0</v>
      </c>
      <c r="L59" s="59">
        <f>COUNTIFS(Nov!$B:$B,2222,Nov!$J:$J,28)</f>
        <v>0</v>
      </c>
      <c r="M59" s="59">
        <v>0</v>
      </c>
    </row>
    <row r="60" spans="1:13" s="8" customFormat="1" ht="11.25" customHeight="1">
      <c r="A60" s="10" t="s">
        <v>38</v>
      </c>
      <c r="B60" s="59">
        <f>COUNTIFS(Jan!$B:$B,2222,Jan!$J:$J,6100)</f>
        <v>0</v>
      </c>
      <c r="C60" s="59">
        <f>COUNTIFS(Feb!$B:$B,2222,Feb!$J:$J,6100)</f>
        <v>0</v>
      </c>
      <c r="D60" s="59">
        <f>COUNTIFS(Mar!$B:$B,2222,Mar!$J:$J,6100)</f>
        <v>0</v>
      </c>
      <c r="E60" s="59">
        <f>COUNTIFS(Apr!$B:$B,2222,Apr!$J:$J,6100)</f>
        <v>0</v>
      </c>
      <c r="F60" s="59">
        <f>COUNTIFS(May!$B:$B,2222,May!$J:$J,6100)</f>
        <v>0</v>
      </c>
      <c r="G60" s="59">
        <f>COUNTIFS(Jun!$B:$B,2222,Jun!$J:$J,6100)</f>
        <v>0</v>
      </c>
      <c r="H60" s="59">
        <f>COUNTIFS(Jul!$B:$B,2222,Jul!$J:$J,6100)</f>
        <v>0</v>
      </c>
      <c r="I60" s="59">
        <f>COUNTIFS(Aug!$B:$B,2222,Aug!$J:$J,6100)</f>
        <v>0</v>
      </c>
      <c r="J60" s="59">
        <f>COUNTIFS(Sep!$B:$B,2222,Sep!$J:$J,6100)</f>
        <v>0</v>
      </c>
      <c r="K60" s="59">
        <f>COUNTIFS(Oct!$B:$B,2222,Oct!$J:$J,6100)</f>
        <v>0</v>
      </c>
      <c r="L60" s="59">
        <f>COUNTIFS(Nov!$B:$B,2222,Nov!$J:$J,6100)</f>
        <v>0</v>
      </c>
      <c r="M60" s="59">
        <v>0</v>
      </c>
    </row>
    <row r="61" spans="1:13" s="8" customFormat="1" ht="11.25" customHeight="1">
      <c r="A61" s="10" t="s">
        <v>9</v>
      </c>
      <c r="B61" s="59">
        <f>COUNTIFS(Jan!$B:$B,2222,Jan!$J:$J,6)</f>
        <v>0</v>
      </c>
      <c r="C61" s="59">
        <f>COUNTIFS(Feb!$B:$B,2222,Feb!$J:$J,6)</f>
        <v>0</v>
      </c>
      <c r="D61" s="59">
        <f>COUNTIFS(Mar!$B:$B,2222,Mar!$J:$J,6)</f>
        <v>0</v>
      </c>
      <c r="E61" s="59">
        <f>COUNTIFS(Apr!$B:$B,2222,Apr!$J:$J,6)</f>
        <v>0</v>
      </c>
      <c r="F61" s="59">
        <f>COUNTIFS(May!$B:$B,2222,May!$J:$J,6)</f>
        <v>0</v>
      </c>
      <c r="G61" s="59">
        <f>COUNTIFS(Jun!$B:$B,2222,Jun!$J:$J,6)</f>
        <v>0</v>
      </c>
      <c r="H61" s="59">
        <f>COUNTIFS(Jul!$B:$B,2222,Jul!$J:$J,6)</f>
        <v>0</v>
      </c>
      <c r="I61" s="59">
        <f>COUNTIFS(Aug!$B:$B,2222,Aug!$J:$J,6)</f>
        <v>0</v>
      </c>
      <c r="J61" s="59">
        <f>COUNTIFS(Sep!$B:$B,2222,Sep!$J:$J,6)</f>
        <v>0</v>
      </c>
      <c r="K61" s="59">
        <f>COUNTIFS(Oct!$B:$B,2222,Oct!$J:$J,6)</f>
        <v>0</v>
      </c>
      <c r="L61" s="59">
        <f>COUNTIFS(Nov!$B:$B,2222,Nov!$J:$J,6)</f>
        <v>0</v>
      </c>
      <c r="M61" s="59">
        <v>0</v>
      </c>
    </row>
    <row r="62" spans="1:13" s="8" customFormat="1" ht="11.25" customHeight="1">
      <c r="A62" s="10" t="s">
        <v>8</v>
      </c>
      <c r="B62" s="59">
        <f>COUNTIFS(Jan!$B:$B,2222,Jan!$J:$J,4)</f>
        <v>0</v>
      </c>
      <c r="C62" s="59">
        <f>COUNTIFS(Feb!$B:$B,2222,Feb!$J:$J,4)</f>
        <v>0</v>
      </c>
      <c r="D62" s="59">
        <f>COUNTIFS(Mar!$B:$B,2222,Mar!$J:$J,4)</f>
        <v>0</v>
      </c>
      <c r="E62" s="59">
        <f>COUNTIFS(Apr!$B:$B,2222,Apr!$J:$J,4)</f>
        <v>0</v>
      </c>
      <c r="F62" s="59">
        <f>COUNTIFS(May!$B:$B,2222,May!$J:$J,4)</f>
        <v>0</v>
      </c>
      <c r="G62" s="59">
        <f>COUNTIFS(Jun!$B:$B,2222,Jun!$J:$J,4)</f>
        <v>0</v>
      </c>
      <c r="H62" s="59">
        <f>COUNTIFS(Jul!$B:$B,2222,Jul!$J:$J,4)</f>
        <v>0</v>
      </c>
      <c r="I62" s="59">
        <f>COUNTIFS(Aug!$B:$B,2222,Aug!$J:$J,4)</f>
        <v>0</v>
      </c>
      <c r="J62" s="59">
        <f>COUNTIFS(Sep!$B:$B,2222,Sep!$J:$J,4)</f>
        <v>0</v>
      </c>
      <c r="K62" s="59">
        <f>COUNTIFS(Oct!$B:$B,2222,Oct!$J:$J,4)</f>
        <v>0</v>
      </c>
      <c r="L62" s="59">
        <f>COUNTIFS(Nov!$B:$B,2222,Nov!$J:$J,4)</f>
        <v>0</v>
      </c>
      <c r="M62" s="59">
        <v>0</v>
      </c>
    </row>
    <row r="63" spans="1:13" s="8" customFormat="1" ht="11.25" customHeight="1">
      <c r="A63" s="10" t="s">
        <v>6</v>
      </c>
      <c r="B63" s="59">
        <f>COUNTIFS(Jan!$B:$B,2222,Jan!$J:$J,5)</f>
        <v>0</v>
      </c>
      <c r="C63" s="59">
        <f>COUNTIFS(Feb!$B:$B,2222,Feb!$J:$J,5)</f>
        <v>0</v>
      </c>
      <c r="D63" s="59">
        <f>COUNTIFS(Mar!$B:$B,2222,Mar!$J:$J,5)</f>
        <v>0</v>
      </c>
      <c r="E63" s="59">
        <f>COUNTIFS(Apr!$B:$B,2222,Apr!$J:$J,5)</f>
        <v>0</v>
      </c>
      <c r="F63" s="59">
        <f>COUNTIFS(May!$B:$B,2222,May!$J:$J,5)</f>
        <v>0</v>
      </c>
      <c r="G63" s="59">
        <f>COUNTIFS(Jun!$B:$B,2222,Jun!$J:$J,5)</f>
        <v>0</v>
      </c>
      <c r="H63" s="59">
        <f>COUNTIFS(Jul!$B:$B,2222,Jul!$J:$J,5)</f>
        <v>0</v>
      </c>
      <c r="I63" s="59">
        <f>COUNTIFS(Aug!$B:$B,2222,Aug!$J:$J,5)</f>
        <v>0</v>
      </c>
      <c r="J63" s="59">
        <f>COUNTIFS(Sep!$B:$B,2222,Sep!$J:$J,5)</f>
        <v>0</v>
      </c>
      <c r="K63" s="59">
        <f>COUNTIFS(Oct!$B:$B,2222,Oct!$J:$J,5)</f>
        <v>0</v>
      </c>
      <c r="L63" s="59">
        <f>COUNTIFS(Nov!$B:$B,2222,Nov!$J:$J,5)</f>
        <v>0</v>
      </c>
      <c r="M63" s="59">
        <v>0</v>
      </c>
    </row>
    <row r="64" spans="1:13" s="8" customFormat="1" ht="11.25" customHeight="1">
      <c r="A64" s="52" t="s">
        <v>141</v>
      </c>
      <c r="B64" s="69">
        <f>COUNTIFS(Jan!$B:$B,2222,Jan!$F:$F,456)</f>
        <v>0</v>
      </c>
      <c r="C64" s="69">
        <f>COUNTIFS(Feb!$B:$B,2222,Feb!$F:$F,456)</f>
        <v>0</v>
      </c>
      <c r="D64" s="69">
        <f>COUNTIFS(Mar!$B:$B,2222,Mar!$F:$F,456)</f>
        <v>0</v>
      </c>
      <c r="E64" s="69">
        <f>COUNTIFS(Apr!$B:$B,2222,Apr!$F:$F,456)</f>
        <v>0</v>
      </c>
      <c r="F64" s="69">
        <f>COUNTIFS(May!$B:$B,2222,May!$F:$F,456)</f>
        <v>0</v>
      </c>
      <c r="G64" s="69">
        <f>COUNTIFS(Jun!$B:$B,2222,Jun!$F:$F,456)</f>
        <v>0</v>
      </c>
      <c r="H64" s="69">
        <f>COUNTIFS(Jul!$B:$B,2222,Jul!$F:$F,456)</f>
        <v>0</v>
      </c>
      <c r="I64" s="69">
        <f>COUNTIFS(Aug!$B:$B,2222,Aug!$F:$F,456)</f>
        <v>0</v>
      </c>
      <c r="J64" s="69">
        <f>COUNTIFS(Sep!$B:$B,2222,Sep!$F:$F,456)</f>
        <v>0</v>
      </c>
      <c r="K64" s="69">
        <f>COUNTIFS(Oct!$B:$B,2222,Oct!$F:$F,456)</f>
        <v>0</v>
      </c>
      <c r="L64" s="69">
        <f>COUNTIFS(Nov!$B:$B,2222,Nov!$F:$F,456)</f>
        <v>0</v>
      </c>
      <c r="M64" s="69">
        <v>0</v>
      </c>
    </row>
    <row r="65" spans="1:13" s="8" customFormat="1" ht="11.25" customHeight="1" thickBot="1">
      <c r="A65" s="12" t="s">
        <v>16</v>
      </c>
      <c r="B65" s="70">
        <f>SUM(B54:B64)</f>
        <v>0</v>
      </c>
      <c r="C65" s="70">
        <f t="shared" ref="C65:L65" si="12">SUM(C54:C64)</f>
        <v>0</v>
      </c>
      <c r="D65" s="70">
        <f t="shared" si="12"/>
        <v>0</v>
      </c>
      <c r="E65" s="70">
        <f t="shared" si="12"/>
        <v>0</v>
      </c>
      <c r="F65" s="70">
        <f t="shared" si="12"/>
        <v>0</v>
      </c>
      <c r="G65" s="70">
        <f t="shared" si="12"/>
        <v>0</v>
      </c>
      <c r="H65" s="70">
        <f t="shared" si="12"/>
        <v>0</v>
      </c>
      <c r="I65" s="70">
        <f t="shared" si="12"/>
        <v>0</v>
      </c>
      <c r="J65" s="70">
        <f t="shared" si="12"/>
        <v>0</v>
      </c>
      <c r="K65" s="70">
        <f t="shared" si="12"/>
        <v>0</v>
      </c>
      <c r="L65" s="165">
        <f t="shared" si="12"/>
        <v>0</v>
      </c>
      <c r="M65" s="170">
        <v>0</v>
      </c>
    </row>
    <row r="66" spans="1:13" s="8" customFormat="1" ht="15.75" customHeight="1">
      <c r="A66" s="6"/>
      <c r="B66" s="7"/>
      <c r="C66" s="7"/>
      <c r="D66" s="7"/>
      <c r="E66" s="7"/>
      <c r="F66" s="7"/>
      <c r="G66" s="7"/>
      <c r="H66" s="7"/>
      <c r="I66" s="7"/>
      <c r="J66" s="7"/>
      <c r="K66" s="7"/>
      <c r="L66" s="7"/>
      <c r="M66" s="7"/>
    </row>
    <row r="67" spans="1:13" ht="12" customHeight="1">
      <c r="A67" s="6"/>
      <c r="B67" s="7"/>
      <c r="C67" s="7"/>
      <c r="D67" s="7"/>
      <c r="E67" s="7"/>
      <c r="F67" s="7"/>
      <c r="G67" s="7"/>
      <c r="H67" s="7"/>
      <c r="I67" s="7"/>
      <c r="J67" s="7"/>
      <c r="K67" s="7"/>
      <c r="L67" s="7"/>
      <c r="M67" s="7"/>
    </row>
  </sheetData>
  <phoneticPr fontId="0" type="noConversion"/>
  <printOptions horizontalCentered="1" verticalCentered="1"/>
  <pageMargins left="0.14000000000000001" right="0.16" top="0.25" bottom="0.5" header="0.5" footer="0.25"/>
  <pageSetup scale="95" firstPageNumber="3" orientation="portrait" useFirstPageNumber="1" r:id="rId1"/>
  <headerFooter alignWithMargins="0">
    <oddFooter>&amp;R39 of 51</oddFooter>
  </headerFooter>
  <ignoredErrors>
    <ignoredError sqref="M32 M52" formulaRange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3"/>
  <sheetViews>
    <sheetView view="pageBreakPreview" zoomScale="110" zoomScaleNormal="80" zoomScaleSheetLayoutView="110" workbookViewId="0">
      <pane ySplit="6" topLeftCell="A28" activePane="bottomLeft" state="frozen"/>
      <selection activeCell="G20" sqref="G20"/>
      <selection pane="bottomLeft" activeCell="O3" sqref="O3"/>
    </sheetView>
  </sheetViews>
  <sheetFormatPr defaultRowHeight="20.100000000000001" customHeight="1"/>
  <cols>
    <col min="1" max="1" width="9.42578125" style="80" customWidth="1"/>
    <col min="2" max="2" width="18.42578125" style="83" bestFit="1" customWidth="1"/>
    <col min="3" max="3" width="1.7109375" style="83" customWidth="1"/>
    <col min="4" max="15" width="6.5703125" style="83" customWidth="1"/>
    <col min="16" max="16384" width="9.140625" style="83"/>
  </cols>
  <sheetData>
    <row r="1" spans="1:16" ht="15.75" customHeight="1">
      <c r="A1" s="139"/>
      <c r="B1" s="140"/>
      <c r="C1" s="140"/>
      <c r="D1" s="140"/>
      <c r="E1" s="140"/>
      <c r="F1" s="140"/>
      <c r="G1" s="140"/>
      <c r="H1" s="140"/>
      <c r="I1" s="140"/>
      <c r="J1" s="115"/>
      <c r="K1" s="140"/>
      <c r="L1" s="140"/>
      <c r="M1" s="140"/>
      <c r="N1" s="115"/>
      <c r="O1" s="178" t="s">
        <v>22</v>
      </c>
    </row>
    <row r="2" spans="1:16" ht="15.75" customHeight="1">
      <c r="A2" s="139"/>
      <c r="B2" s="140"/>
      <c r="C2" s="140"/>
      <c r="D2" s="140"/>
      <c r="E2" s="140"/>
      <c r="F2" s="140"/>
      <c r="G2" s="140"/>
      <c r="H2" s="140"/>
      <c r="I2" s="140"/>
      <c r="J2" s="115"/>
      <c r="K2" s="140"/>
      <c r="L2" s="140"/>
      <c r="M2" s="140"/>
      <c r="N2" s="115"/>
      <c r="O2" s="178" t="s">
        <v>147</v>
      </c>
    </row>
    <row r="3" spans="1:16" ht="15.75" customHeight="1">
      <c r="A3" s="139"/>
      <c r="B3" s="140"/>
      <c r="C3" s="140"/>
      <c r="D3" s="140"/>
      <c r="E3" s="140"/>
      <c r="F3" s="140"/>
      <c r="G3" s="140"/>
      <c r="H3" s="140"/>
      <c r="I3" s="140"/>
      <c r="J3" s="115"/>
      <c r="K3" s="140"/>
      <c r="L3" s="140"/>
      <c r="M3" s="140"/>
      <c r="N3" s="115"/>
      <c r="O3" s="142" t="s">
        <v>2187</v>
      </c>
    </row>
    <row r="4" spans="1:16" ht="6.75" customHeight="1">
      <c r="A4" s="139"/>
      <c r="B4" s="140"/>
      <c r="C4" s="140"/>
      <c r="D4" s="140"/>
      <c r="E4" s="140"/>
      <c r="F4" s="140"/>
      <c r="G4" s="140"/>
      <c r="H4" s="140"/>
      <c r="I4" s="140"/>
      <c r="J4" s="140"/>
      <c r="K4" s="140"/>
      <c r="L4" s="140"/>
      <c r="M4" s="140"/>
      <c r="N4" s="140"/>
      <c r="O4" s="115"/>
    </row>
    <row r="5" spans="1:16" ht="15" customHeight="1">
      <c r="A5" s="231" t="s">
        <v>88</v>
      </c>
      <c r="B5" s="231"/>
      <c r="C5" s="40"/>
      <c r="D5" s="232" t="s">
        <v>219</v>
      </c>
      <c r="E5" s="233"/>
      <c r="F5" s="233"/>
      <c r="G5" s="233"/>
      <c r="H5" s="233"/>
      <c r="I5" s="233"/>
      <c r="J5" s="233"/>
      <c r="K5" s="233"/>
      <c r="L5" s="233"/>
      <c r="M5" s="233"/>
      <c r="N5" s="233"/>
      <c r="O5" s="234"/>
      <c r="P5" s="141"/>
    </row>
    <row r="6" spans="1:16" s="85" customFormat="1" ht="15" customHeight="1" thickBot="1">
      <c r="A6" s="72" t="s">
        <v>89</v>
      </c>
      <c r="B6" s="72" t="s">
        <v>90</v>
      </c>
      <c r="C6" s="84"/>
      <c r="D6" s="72" t="s">
        <v>43</v>
      </c>
      <c r="E6" s="72" t="s">
        <v>44</v>
      </c>
      <c r="F6" s="72" t="s">
        <v>45</v>
      </c>
      <c r="G6" s="72" t="s">
        <v>46</v>
      </c>
      <c r="H6" s="72" t="s">
        <v>41</v>
      </c>
      <c r="I6" s="72" t="s">
        <v>47</v>
      </c>
      <c r="J6" s="72" t="s">
        <v>48</v>
      </c>
      <c r="K6" s="72" t="s">
        <v>42</v>
      </c>
      <c r="L6" s="72" t="s">
        <v>54</v>
      </c>
      <c r="M6" s="72" t="s">
        <v>49</v>
      </c>
      <c r="N6" s="72" t="s">
        <v>50</v>
      </c>
      <c r="O6" s="72" t="s">
        <v>51</v>
      </c>
    </row>
    <row r="7" spans="1:16" s="87" customFormat="1" ht="12.2" customHeight="1">
      <c r="A7" s="73">
        <v>2004</v>
      </c>
      <c r="B7" s="74" t="s">
        <v>91</v>
      </c>
      <c r="C7" s="86"/>
      <c r="D7" s="82">
        <f>('ASR2004'!B12)</f>
        <v>0</v>
      </c>
      <c r="E7" s="82">
        <f>('ASR2004'!C12)</f>
        <v>0</v>
      </c>
      <c r="F7" s="82">
        <f>('ASR2004'!D12)</f>
        <v>0</v>
      </c>
      <c r="G7" s="82">
        <f>('ASR2004'!E12)</f>
        <v>0</v>
      </c>
      <c r="H7" s="82">
        <f>('ASR2004'!F12)</f>
        <v>0</v>
      </c>
      <c r="I7" s="82">
        <f>('ASR2004'!G12)</f>
        <v>0</v>
      </c>
      <c r="J7" s="82">
        <f>('ASR2004'!H12)</f>
        <v>0</v>
      </c>
      <c r="K7" s="82">
        <f>('ASR2004'!I12)</f>
        <v>0</v>
      </c>
      <c r="L7" s="82">
        <f>('ASR2004'!J12)</f>
        <v>0</v>
      </c>
      <c r="M7" s="82">
        <f>('ASR2004'!K12)</f>
        <v>0</v>
      </c>
      <c r="N7" s="82">
        <f>('ASR2004'!L12)</f>
        <v>0</v>
      </c>
      <c r="O7" s="82">
        <f>('ASR2004'!M12)</f>
        <v>0</v>
      </c>
    </row>
    <row r="8" spans="1:16" ht="12.2" customHeight="1">
      <c r="A8" s="76">
        <v>2011</v>
      </c>
      <c r="B8" s="77" t="s">
        <v>92</v>
      </c>
      <c r="C8" s="88"/>
      <c r="D8" s="82">
        <f>('ASR2011'!B12)</f>
        <v>36</v>
      </c>
      <c r="E8" s="82">
        <f>('ASR2011'!C12)</f>
        <v>32</v>
      </c>
      <c r="F8" s="82">
        <f>('ASR2011'!D12)</f>
        <v>36</v>
      </c>
      <c r="G8" s="82">
        <f>('ASR2011'!E12)</f>
        <v>10</v>
      </c>
      <c r="H8" s="82">
        <f>('ASR2011'!F12)</f>
        <v>30</v>
      </c>
      <c r="I8" s="82">
        <f>('ASR2011'!G12)</f>
        <v>45</v>
      </c>
      <c r="J8" s="82">
        <f>('ASR2011'!H12)</f>
        <v>45</v>
      </c>
      <c r="K8" s="82">
        <f>('ASR2011'!I12)</f>
        <v>48</v>
      </c>
      <c r="L8" s="82">
        <f>('ASR2011'!J12)</f>
        <v>50</v>
      </c>
      <c r="M8" s="82">
        <f>('ASR2011'!K12)</f>
        <v>69</v>
      </c>
      <c r="N8" s="82">
        <f>('ASR2011'!L12)</f>
        <v>69</v>
      </c>
      <c r="O8" s="82">
        <f>('ASR2011'!M12)</f>
        <v>35</v>
      </c>
    </row>
    <row r="9" spans="1:16" ht="12.2" customHeight="1">
      <c r="A9" s="76">
        <v>2012</v>
      </c>
      <c r="B9" s="77" t="s">
        <v>92</v>
      </c>
      <c r="C9" s="88"/>
      <c r="D9" s="89">
        <f>('ASR2012'!B12)</f>
        <v>12</v>
      </c>
      <c r="E9" s="89">
        <f>('ASR2012'!C12)</f>
        <v>9</v>
      </c>
      <c r="F9" s="89">
        <f>('ASR2012'!D12)</f>
        <v>17</v>
      </c>
      <c r="G9" s="89">
        <f>('ASR2012'!E12)</f>
        <v>22</v>
      </c>
      <c r="H9" s="89">
        <f>('ASR2012'!F12)</f>
        <v>21</v>
      </c>
      <c r="I9" s="89">
        <f>('ASR2012'!G12)</f>
        <v>6</v>
      </c>
      <c r="J9" s="89">
        <f>('ASR2012'!H12)</f>
        <v>13</v>
      </c>
      <c r="K9" s="89">
        <f>('ASR2012'!I12)</f>
        <v>21</v>
      </c>
      <c r="L9" s="89">
        <f>('ASR2012'!J12)</f>
        <v>19</v>
      </c>
      <c r="M9" s="89">
        <f>('ASR2012'!K12)</f>
        <v>16</v>
      </c>
      <c r="N9" s="89">
        <f>('ASR2012'!L12)</f>
        <v>30</v>
      </c>
      <c r="O9" s="89">
        <f>('ASR2012'!M12)</f>
        <v>31</v>
      </c>
    </row>
    <row r="10" spans="1:16" ht="12.2" customHeight="1">
      <c r="A10" s="76">
        <v>2021</v>
      </c>
      <c r="B10" s="77" t="s">
        <v>93</v>
      </c>
      <c r="C10" s="88"/>
      <c r="D10" s="89">
        <f>('ASR2021'!B12)</f>
        <v>24</v>
      </c>
      <c r="E10" s="89">
        <f>('ASR2021'!C12)</f>
        <v>20</v>
      </c>
      <c r="F10" s="89">
        <f>('ASR2021'!D12)</f>
        <v>23</v>
      </c>
      <c r="G10" s="89">
        <f>('ASR2021'!E12)</f>
        <v>38</v>
      </c>
      <c r="H10" s="89">
        <f>('ASR2021'!F12)</f>
        <v>38</v>
      </c>
      <c r="I10" s="89">
        <f>('ASR2021'!G12)</f>
        <v>41</v>
      </c>
      <c r="J10" s="89">
        <f>('ASR2021'!H12)</f>
        <v>38</v>
      </c>
      <c r="K10" s="89">
        <f>('ASR2021'!I12)</f>
        <v>45</v>
      </c>
      <c r="L10" s="89">
        <f>('ASR2021'!J12)</f>
        <v>26</v>
      </c>
      <c r="M10" s="89">
        <f>('ASR2021'!K12)</f>
        <v>29</v>
      </c>
      <c r="N10" s="89">
        <f>('ASR2021'!L12)</f>
        <v>14</v>
      </c>
      <c r="O10" s="89">
        <f>('ASR2021'!M12)</f>
        <v>31</v>
      </c>
    </row>
    <row r="11" spans="1:16" ht="12.2" customHeight="1">
      <c r="A11" s="76">
        <v>2024</v>
      </c>
      <c r="B11" s="77" t="s">
        <v>94</v>
      </c>
      <c r="C11" s="88"/>
      <c r="D11" s="89">
        <f>('ASR2024'!B12)</f>
        <v>46</v>
      </c>
      <c r="E11" s="89">
        <f>('ASR2024'!C12)</f>
        <v>43</v>
      </c>
      <c r="F11" s="89">
        <f>('ASR2024'!D12)</f>
        <v>29</v>
      </c>
      <c r="G11" s="89">
        <f>('ASR2024'!E12)</f>
        <v>48</v>
      </c>
      <c r="H11" s="89">
        <f>('ASR2024'!F12)</f>
        <v>36</v>
      </c>
      <c r="I11" s="89">
        <f>('ASR2024'!G12)</f>
        <v>32</v>
      </c>
      <c r="J11" s="89">
        <f>('ASR2024'!H12)</f>
        <v>34</v>
      </c>
      <c r="K11" s="89">
        <f>('ASR2024'!I12)</f>
        <v>42</v>
      </c>
      <c r="L11" s="89">
        <f>('ASR2024'!J12)</f>
        <v>64</v>
      </c>
      <c r="M11" s="89">
        <f>('ASR2024'!K12)</f>
        <v>43</v>
      </c>
      <c r="N11" s="89">
        <f>('ASR2024'!L12)</f>
        <v>65</v>
      </c>
      <c r="O11" s="89">
        <f>('ASR2024'!M12)</f>
        <v>43</v>
      </c>
    </row>
    <row r="12" spans="1:16" ht="12.2" customHeight="1">
      <c r="A12" s="76">
        <v>2031</v>
      </c>
      <c r="B12" s="77" t="s">
        <v>95</v>
      </c>
      <c r="C12" s="88"/>
      <c r="D12" s="89">
        <f>('ASR2031'!B12)</f>
        <v>9</v>
      </c>
      <c r="E12" s="89">
        <f>('ASR2031'!C12)</f>
        <v>12</v>
      </c>
      <c r="F12" s="89">
        <f>('ASR2031'!D12)</f>
        <v>16</v>
      </c>
      <c r="G12" s="89">
        <f>('ASR2031'!E12)</f>
        <v>26</v>
      </c>
      <c r="H12" s="89">
        <f>('ASR2031'!F12)</f>
        <v>11</v>
      </c>
      <c r="I12" s="89">
        <f>('ASR2031'!G12)</f>
        <v>22</v>
      </c>
      <c r="J12" s="89">
        <f>('ASR2031'!H12)</f>
        <v>34</v>
      </c>
      <c r="K12" s="89">
        <f>('ASR2031'!I12)</f>
        <v>29</v>
      </c>
      <c r="L12" s="89">
        <f>('ASR2031'!J12)</f>
        <v>17</v>
      </c>
      <c r="M12" s="89">
        <f>('ASR2031'!K12)</f>
        <v>35</v>
      </c>
      <c r="N12" s="89">
        <f>('ASR2031'!L12)</f>
        <v>19</v>
      </c>
      <c r="O12" s="89">
        <f>('ASR2031'!M12)</f>
        <v>27</v>
      </c>
    </row>
    <row r="13" spans="1:16" ht="12.2" customHeight="1">
      <c r="A13" s="76">
        <v>2051</v>
      </c>
      <c r="B13" s="77" t="s">
        <v>97</v>
      </c>
      <c r="C13" s="88"/>
      <c r="D13" s="89">
        <f>('ASR2051'!B12)</f>
        <v>11</v>
      </c>
      <c r="E13" s="89">
        <f>('ASR2051'!C12)</f>
        <v>8</v>
      </c>
      <c r="F13" s="89">
        <f>('ASR2051'!D12)</f>
        <v>14</v>
      </c>
      <c r="G13" s="89">
        <f>('ASR2051'!E12)</f>
        <v>17</v>
      </c>
      <c r="H13" s="89">
        <f>('ASR2051'!F12)</f>
        <v>33</v>
      </c>
      <c r="I13" s="89">
        <f>('ASR2051'!G12)</f>
        <v>30</v>
      </c>
      <c r="J13" s="89">
        <f>('ASR2051'!H12)</f>
        <v>16</v>
      </c>
      <c r="K13" s="89">
        <f>('ASR2051'!I12)</f>
        <v>25</v>
      </c>
      <c r="L13" s="89">
        <f>('ASR2051'!J12)</f>
        <v>36</v>
      </c>
      <c r="M13" s="89">
        <f>('ASR2051'!K12)</f>
        <v>13</v>
      </c>
      <c r="N13" s="89">
        <f>('ASR2051'!L12)</f>
        <v>13</v>
      </c>
      <c r="O13" s="89">
        <f>('ASR2051'!M12)</f>
        <v>12</v>
      </c>
    </row>
    <row r="14" spans="1:16" ht="12.2" customHeight="1">
      <c r="A14" s="76">
        <v>2052</v>
      </c>
      <c r="B14" s="77" t="s">
        <v>97</v>
      </c>
      <c r="C14" s="88"/>
      <c r="D14" s="89">
        <f>('ASR2052'!B12)</f>
        <v>42</v>
      </c>
      <c r="E14" s="89">
        <f>('ASR2052'!C12)</f>
        <v>38</v>
      </c>
      <c r="F14" s="89">
        <f>('ASR2052'!D12)</f>
        <v>51</v>
      </c>
      <c r="G14" s="89">
        <f>('ASR2052'!E12)</f>
        <v>55</v>
      </c>
      <c r="H14" s="89">
        <f>('ASR2052'!F12)</f>
        <v>29</v>
      </c>
      <c r="I14" s="89">
        <f>('ASR2052'!G12)</f>
        <v>51</v>
      </c>
      <c r="J14" s="89">
        <f>('ASR2052'!H12)</f>
        <v>44</v>
      </c>
      <c r="K14" s="89">
        <f>('ASR2052'!I12)</f>
        <v>60</v>
      </c>
      <c r="L14" s="89">
        <f>('ASR2052'!J12)</f>
        <v>50</v>
      </c>
      <c r="M14" s="89">
        <f>('ASR2052'!K12)</f>
        <v>48</v>
      </c>
      <c r="N14" s="89">
        <f>('ASR2052'!L12)</f>
        <v>23</v>
      </c>
      <c r="O14" s="89">
        <f>('ASR2052'!M12)</f>
        <v>34</v>
      </c>
    </row>
    <row r="15" spans="1:16" ht="12.2" customHeight="1">
      <c r="A15" s="76">
        <v>2053</v>
      </c>
      <c r="B15" s="77" t="s">
        <v>98</v>
      </c>
      <c r="C15" s="88"/>
      <c r="D15" s="89">
        <f>('ASR2053'!B12)</f>
        <v>21</v>
      </c>
      <c r="E15" s="89">
        <f>('ASR2053'!C12)</f>
        <v>19</v>
      </c>
      <c r="F15" s="89">
        <f>('ASR2053'!D12)</f>
        <v>48</v>
      </c>
      <c r="G15" s="89">
        <f>('ASR2053'!E12)</f>
        <v>36</v>
      </c>
      <c r="H15" s="89">
        <f>('ASR2053'!F12)</f>
        <v>42</v>
      </c>
      <c r="I15" s="89">
        <f>('ASR2053'!G12)</f>
        <v>55</v>
      </c>
      <c r="J15" s="89">
        <f>('ASR2053'!H12)</f>
        <v>46</v>
      </c>
      <c r="K15" s="89">
        <f>('ASR2053'!I12)</f>
        <v>49</v>
      </c>
      <c r="L15" s="89">
        <f>('ASR2053'!J12)</f>
        <v>42</v>
      </c>
      <c r="M15" s="89">
        <f>('ASR2053'!K12)</f>
        <v>32</v>
      </c>
      <c r="N15" s="89">
        <f>('ASR2053'!L12)</f>
        <v>32</v>
      </c>
      <c r="O15" s="89">
        <f>('ASR2053'!M12)</f>
        <v>44</v>
      </c>
    </row>
    <row r="16" spans="1:16" ht="12.2" customHeight="1">
      <c r="A16" s="76">
        <v>2062</v>
      </c>
      <c r="B16" s="77" t="s">
        <v>99</v>
      </c>
      <c r="C16" s="88"/>
      <c r="D16" s="89">
        <f>('ASR2062'!B12)</f>
        <v>112</v>
      </c>
      <c r="E16" s="89">
        <f>('ASR2062'!C12)</f>
        <v>133</v>
      </c>
      <c r="F16" s="89">
        <f>('ASR2062'!D12)</f>
        <v>165</v>
      </c>
      <c r="G16" s="89">
        <f>('ASR2062'!E12)</f>
        <v>156</v>
      </c>
      <c r="H16" s="89">
        <f>('ASR2062'!F12)</f>
        <v>173</v>
      </c>
      <c r="I16" s="89">
        <f>('ASR2062'!G12)</f>
        <v>157</v>
      </c>
      <c r="J16" s="89">
        <f>('ASR2062'!H12)</f>
        <v>192</v>
      </c>
      <c r="K16" s="89">
        <f>('ASR2062'!I12)</f>
        <v>177</v>
      </c>
      <c r="L16" s="89">
        <f>('ASR2062'!J12)</f>
        <v>172</v>
      </c>
      <c r="M16" s="89">
        <f>('ASR2062'!K12)</f>
        <v>165</v>
      </c>
      <c r="N16" s="89">
        <f>('ASR2062'!L12)</f>
        <v>192</v>
      </c>
      <c r="O16" s="89">
        <f>('ASR2062'!M12)</f>
        <v>165</v>
      </c>
    </row>
    <row r="17" spans="1:15" ht="12.2" customHeight="1">
      <c r="A17" s="76">
        <v>2071</v>
      </c>
      <c r="B17" s="77" t="s">
        <v>100</v>
      </c>
      <c r="C17" s="88"/>
      <c r="D17" s="89">
        <f>('ASR2071'!B12)</f>
        <v>19</v>
      </c>
      <c r="E17" s="89">
        <f>('ASR2071'!C12)</f>
        <v>36</v>
      </c>
      <c r="F17" s="89">
        <f>('ASR2071'!D12)</f>
        <v>22</v>
      </c>
      <c r="G17" s="89">
        <f>('ASR2071'!E12)</f>
        <v>9</v>
      </c>
      <c r="H17" s="89">
        <f>('ASR2071'!F12)</f>
        <v>46</v>
      </c>
      <c r="I17" s="89">
        <f>('ASR2071'!G12)</f>
        <v>43</v>
      </c>
      <c r="J17" s="89">
        <f>('ASR2071'!H12)</f>
        <v>17</v>
      </c>
      <c r="K17" s="89">
        <f>('ASR2071'!I12)</f>
        <v>17</v>
      </c>
      <c r="L17" s="89">
        <f>('ASR2071'!J12)</f>
        <v>18</v>
      </c>
      <c r="M17" s="89">
        <f>('ASR2071'!K12)</f>
        <v>14</v>
      </c>
      <c r="N17" s="89">
        <f>('ASR2071'!L12)</f>
        <v>3</v>
      </c>
      <c r="O17" s="89">
        <f>('ASR2071'!M12)</f>
        <v>6</v>
      </c>
    </row>
    <row r="18" spans="1:15" ht="12.2" customHeight="1">
      <c r="A18" s="76">
        <v>2074</v>
      </c>
      <c r="B18" s="77" t="s">
        <v>101</v>
      </c>
      <c r="C18" s="88"/>
      <c r="D18" s="89">
        <f>('ASR2074'!B12)</f>
        <v>57</v>
      </c>
      <c r="E18" s="89">
        <f>('ASR2074'!C12)</f>
        <v>54</v>
      </c>
      <c r="F18" s="89">
        <f>('ASR2074'!D12)</f>
        <v>75</v>
      </c>
      <c r="G18" s="89">
        <f>('ASR2074'!E12)</f>
        <v>55</v>
      </c>
      <c r="H18" s="89">
        <f>('ASR2074'!F12)</f>
        <v>60</v>
      </c>
      <c r="I18" s="89">
        <f>('ASR2074'!G12)</f>
        <v>86</v>
      </c>
      <c r="J18" s="89">
        <f>('ASR2074'!H12)</f>
        <v>73</v>
      </c>
      <c r="K18" s="89">
        <f>('ASR2074'!I12)</f>
        <v>72</v>
      </c>
      <c r="L18" s="89">
        <f>('ASR2074'!J12)</f>
        <v>86</v>
      </c>
      <c r="M18" s="89">
        <f>('ASR2074'!K12)</f>
        <v>58</v>
      </c>
      <c r="N18" s="89">
        <f>('ASR2074'!L12)</f>
        <v>53</v>
      </c>
      <c r="O18" s="89">
        <f>('ASR2074'!M12)</f>
        <v>104</v>
      </c>
    </row>
    <row r="19" spans="1:15" ht="12.2" customHeight="1">
      <c r="A19" s="76">
        <v>2081</v>
      </c>
      <c r="B19" s="77" t="s">
        <v>102</v>
      </c>
      <c r="C19" s="88"/>
      <c r="D19" s="89">
        <f>('ASR2081'!B12)</f>
        <v>73</v>
      </c>
      <c r="E19" s="89">
        <f>('ASR2081'!C12)</f>
        <v>57</v>
      </c>
      <c r="F19" s="89">
        <f>('ASR2081'!D12)</f>
        <v>99</v>
      </c>
      <c r="G19" s="89">
        <f>('ASR2081'!E12)</f>
        <v>96</v>
      </c>
      <c r="H19" s="89">
        <f>('ASR2081'!F12)</f>
        <v>112</v>
      </c>
      <c r="I19" s="89">
        <f>('ASR2081'!G12)</f>
        <v>106</v>
      </c>
      <c r="J19" s="89">
        <f>('ASR2081'!H12)</f>
        <v>113</v>
      </c>
      <c r="K19" s="89">
        <f>('ASR2081'!I12)</f>
        <v>150</v>
      </c>
      <c r="L19" s="89">
        <f>('ASR2081'!J12)</f>
        <v>129</v>
      </c>
      <c r="M19" s="89">
        <f>('ASR2081'!K12)</f>
        <v>55</v>
      </c>
      <c r="N19" s="89">
        <f>('ASR2081'!L12)</f>
        <v>22</v>
      </c>
      <c r="O19" s="89">
        <f>('ASR2081'!M12)</f>
        <v>39</v>
      </c>
    </row>
    <row r="20" spans="1:15" ht="12.2" customHeight="1">
      <c r="A20" s="76">
        <v>2083</v>
      </c>
      <c r="B20" s="77" t="s">
        <v>103</v>
      </c>
      <c r="C20" s="88"/>
      <c r="D20" s="89">
        <f>('ASR2083'!B12)</f>
        <v>16</v>
      </c>
      <c r="E20" s="89">
        <f>('ASR2083'!C12)</f>
        <v>5</v>
      </c>
      <c r="F20" s="89">
        <f>('ASR2083'!D12)</f>
        <v>16</v>
      </c>
      <c r="G20" s="89">
        <f>('ASR2083'!E12)</f>
        <v>14</v>
      </c>
      <c r="H20" s="89">
        <f>('ASR2083'!F12)</f>
        <v>10</v>
      </c>
      <c r="I20" s="89">
        <f>('ASR2083'!G12)</f>
        <v>11</v>
      </c>
      <c r="J20" s="89">
        <f>('ASR2083'!H12)</f>
        <v>6</v>
      </c>
      <c r="K20" s="89">
        <f>('ASR2083'!I12)</f>
        <v>9</v>
      </c>
      <c r="L20" s="89">
        <f>('ASR2083'!J12)</f>
        <v>11</v>
      </c>
      <c r="M20" s="89">
        <f>('ASR2083'!K12)</f>
        <v>15</v>
      </c>
      <c r="N20" s="89">
        <f>('ASR2083'!L12)</f>
        <v>9</v>
      </c>
      <c r="O20" s="89">
        <f>('ASR2083'!M12)</f>
        <v>10</v>
      </c>
    </row>
    <row r="21" spans="1:15" ht="12.2" customHeight="1">
      <c r="A21" s="76">
        <v>2091</v>
      </c>
      <c r="B21" s="77" t="s">
        <v>104</v>
      </c>
      <c r="C21" s="88"/>
      <c r="D21" s="89">
        <f>('ASR2091'!B12)</f>
        <v>51</v>
      </c>
      <c r="E21" s="89">
        <f>('ASR2091'!C12)</f>
        <v>44</v>
      </c>
      <c r="F21" s="89">
        <f>('ASR2091'!D12)</f>
        <v>50</v>
      </c>
      <c r="G21" s="89">
        <f>('ASR2091'!E12)</f>
        <v>46</v>
      </c>
      <c r="H21" s="89">
        <f>('ASR2091'!F12)</f>
        <v>43</v>
      </c>
      <c r="I21" s="89">
        <f>('ASR2091'!G12)</f>
        <v>73</v>
      </c>
      <c r="J21" s="89">
        <f>('ASR2091'!H12)</f>
        <v>24</v>
      </c>
      <c r="K21" s="89">
        <f>('ASR2091'!I12)</f>
        <v>27</v>
      </c>
      <c r="L21" s="89">
        <f>('ASR2091'!J12)</f>
        <v>46</v>
      </c>
      <c r="M21" s="89">
        <f>('ASR2091'!K12)</f>
        <v>27</v>
      </c>
      <c r="N21" s="89">
        <f>('ASR2091'!L12)</f>
        <v>0</v>
      </c>
      <c r="O21" s="89">
        <f>('ASR2091'!M12)</f>
        <v>0</v>
      </c>
    </row>
    <row r="22" spans="1:15" ht="12.2" customHeight="1">
      <c r="A22" s="76">
        <v>2094</v>
      </c>
      <c r="B22" s="77" t="s">
        <v>105</v>
      </c>
      <c r="C22" s="88"/>
      <c r="D22" s="89">
        <f>('ASR2094'!B12)</f>
        <v>0</v>
      </c>
      <c r="E22" s="89">
        <f>('ASR2094'!C12)</f>
        <v>0</v>
      </c>
      <c r="F22" s="89">
        <f>('ASR2094'!D12)</f>
        <v>0</v>
      </c>
      <c r="G22" s="89">
        <f>('ASR2094'!E12)</f>
        <v>0</v>
      </c>
      <c r="H22" s="89">
        <f>('ASR2094'!F12)</f>
        <v>0</v>
      </c>
      <c r="I22" s="89">
        <f>('ASR2094'!G12)</f>
        <v>0</v>
      </c>
      <c r="J22" s="89">
        <f>('ASR2094'!H12)</f>
        <v>0</v>
      </c>
      <c r="K22" s="89">
        <f>('ASR2094'!I12)</f>
        <v>0</v>
      </c>
      <c r="L22" s="89">
        <f>('ASR2094'!J12)</f>
        <v>0</v>
      </c>
      <c r="M22" s="89">
        <f>('ASR2094'!K12)</f>
        <v>4</v>
      </c>
      <c r="N22" s="89">
        <f>('ASR2094'!L12)</f>
        <v>12</v>
      </c>
      <c r="O22" s="89">
        <f>('ASR2094'!M12)</f>
        <v>13</v>
      </c>
    </row>
    <row r="23" spans="1:15" ht="12.2" customHeight="1">
      <c r="A23" s="76">
        <v>2104</v>
      </c>
      <c r="B23" s="77" t="s">
        <v>106</v>
      </c>
      <c r="C23" s="88"/>
      <c r="D23" s="89">
        <f>('ASR2104'!B12)</f>
        <v>0</v>
      </c>
      <c r="E23" s="89">
        <f>('ASR2104'!C12)</f>
        <v>0</v>
      </c>
      <c r="F23" s="89">
        <f>('ASR2104'!D12)</f>
        <v>0</v>
      </c>
      <c r="G23" s="89">
        <f>('ASR2104'!E12)</f>
        <v>0</v>
      </c>
      <c r="H23" s="89">
        <f>('ASR2104'!F12)</f>
        <v>0</v>
      </c>
      <c r="I23" s="89">
        <f>('ASR2104'!G12)</f>
        <v>0</v>
      </c>
      <c r="J23" s="89">
        <f>('ASR2104'!H12)</f>
        <v>3</v>
      </c>
      <c r="K23" s="89">
        <f>('ASR2104'!I12)</f>
        <v>2</v>
      </c>
      <c r="L23" s="89">
        <f>('ASR2104'!J12)</f>
        <v>0</v>
      </c>
      <c r="M23" s="89">
        <f>('ASR2104'!K12)</f>
        <v>0</v>
      </c>
      <c r="N23" s="89">
        <f>('ASR2104'!L12)</f>
        <v>0</v>
      </c>
      <c r="O23" s="89">
        <f>('ASR2104'!M12)</f>
        <v>0</v>
      </c>
    </row>
    <row r="24" spans="1:15" ht="12.2" customHeight="1">
      <c r="A24" s="76">
        <v>2111</v>
      </c>
      <c r="B24" s="77" t="s">
        <v>107</v>
      </c>
      <c r="C24" s="88"/>
      <c r="D24" s="89">
        <f>('ASR2111'!B12)</f>
        <v>19</v>
      </c>
      <c r="E24" s="89">
        <f>('ASR2111'!C12)</f>
        <v>9</v>
      </c>
      <c r="F24" s="89">
        <f>('ASR2111'!D12)</f>
        <v>28</v>
      </c>
      <c r="G24" s="89">
        <f>('ASR2111'!E12)</f>
        <v>24</v>
      </c>
      <c r="H24" s="89">
        <f>('ASR2111'!F12)</f>
        <v>25</v>
      </c>
      <c r="I24" s="89">
        <f>('ASR2111'!G12)</f>
        <v>28</v>
      </c>
      <c r="J24" s="89">
        <f>('ASR2111'!H12)</f>
        <v>29</v>
      </c>
      <c r="K24" s="89">
        <f>('ASR2111'!I12)</f>
        <v>19</v>
      </c>
      <c r="L24" s="89">
        <f>('ASR2111'!J12)</f>
        <v>27</v>
      </c>
      <c r="M24" s="89">
        <f>('ASR2111'!K12)</f>
        <v>31</v>
      </c>
      <c r="N24" s="89">
        <f>('ASR2111'!L12)</f>
        <v>22</v>
      </c>
      <c r="O24" s="89">
        <f>('ASR2111'!M12)</f>
        <v>17</v>
      </c>
    </row>
    <row r="25" spans="1:15" ht="12.2" customHeight="1">
      <c r="A25" s="76">
        <v>2112</v>
      </c>
      <c r="B25" s="77" t="s">
        <v>107</v>
      </c>
      <c r="C25" s="88"/>
      <c r="D25" s="89">
        <f>('ASR2112'!B12)</f>
        <v>4</v>
      </c>
      <c r="E25" s="89">
        <f>('ASR2112'!C12)</f>
        <v>2</v>
      </c>
      <c r="F25" s="89">
        <f>('ASR2112'!D12)</f>
        <v>4</v>
      </c>
      <c r="G25" s="89">
        <f>('ASR2112'!E12)</f>
        <v>5</v>
      </c>
      <c r="H25" s="89">
        <f>('ASR2112'!F12)</f>
        <v>10</v>
      </c>
      <c r="I25" s="89">
        <f>('ASR2112'!G12)</f>
        <v>5</v>
      </c>
      <c r="J25" s="89">
        <f>('ASR2112'!H12)</f>
        <v>9</v>
      </c>
      <c r="K25" s="89">
        <f>('ASR2112'!I12)</f>
        <v>9</v>
      </c>
      <c r="L25" s="89">
        <f>('ASR2112'!J12)</f>
        <v>6</v>
      </c>
      <c r="M25" s="89">
        <f>('ASR2112'!K12)</f>
        <v>14</v>
      </c>
      <c r="N25" s="89">
        <f>('ASR2112'!L12)</f>
        <v>12</v>
      </c>
      <c r="O25" s="89">
        <f>('ASR2112'!M12)</f>
        <v>7</v>
      </c>
    </row>
    <row r="26" spans="1:15" ht="12.2" customHeight="1">
      <c r="A26" s="76">
        <v>2122</v>
      </c>
      <c r="B26" s="77" t="s">
        <v>108</v>
      </c>
      <c r="C26" s="88"/>
      <c r="D26" s="89">
        <f>('ASR2122'!B12)</f>
        <v>31</v>
      </c>
      <c r="E26" s="89">
        <f>('ASR2122'!C12)</f>
        <v>28</v>
      </c>
      <c r="F26" s="89">
        <f>('ASR2122'!D12)</f>
        <v>35</v>
      </c>
      <c r="G26" s="89">
        <f>('ASR2122'!E12)</f>
        <v>30</v>
      </c>
      <c r="H26" s="89">
        <f>('ASR2122'!F12)</f>
        <v>23</v>
      </c>
      <c r="I26" s="89">
        <f>('ASR2122'!G12)</f>
        <v>11</v>
      </c>
      <c r="J26" s="89">
        <f>('ASR2122'!H12)</f>
        <v>15</v>
      </c>
      <c r="K26" s="89">
        <f>('ASR2122'!I12)</f>
        <v>24</v>
      </c>
      <c r="L26" s="89">
        <f>('ASR2122'!J12)</f>
        <v>31</v>
      </c>
      <c r="M26" s="89">
        <f>('ASR2122'!K12)</f>
        <v>39</v>
      </c>
      <c r="N26" s="89">
        <f>('ASR2122'!L12)</f>
        <v>38</v>
      </c>
      <c r="O26" s="89">
        <f>('ASR2122'!M12)</f>
        <v>42</v>
      </c>
    </row>
    <row r="27" spans="1:15" ht="12.2" customHeight="1">
      <c r="A27" s="76">
        <v>2124</v>
      </c>
      <c r="B27" s="181" t="s">
        <v>214</v>
      </c>
      <c r="C27" s="182"/>
      <c r="D27" s="189">
        <f>('ASR2124'!B12)</f>
        <v>38</v>
      </c>
      <c r="E27" s="89">
        <f>('ASR2124'!C12)</f>
        <v>42</v>
      </c>
      <c r="F27" s="89">
        <f>('ASR2124'!D12)</f>
        <v>44</v>
      </c>
      <c r="G27" s="89">
        <f>('ASR2124'!E12)</f>
        <v>40</v>
      </c>
      <c r="H27" s="89">
        <f>('ASR2124'!F12)</f>
        <v>38</v>
      </c>
      <c r="I27" s="89">
        <f>('ASR2124'!G12)</f>
        <v>42</v>
      </c>
      <c r="J27" s="89">
        <f>('ASR2124'!H12)</f>
        <v>46</v>
      </c>
      <c r="K27" s="89">
        <f>('ASR2124'!I12)</f>
        <v>48</v>
      </c>
      <c r="L27" s="89">
        <f>('ASR2124'!J12)</f>
        <v>47</v>
      </c>
      <c r="M27" s="89">
        <f>('ASR2124'!K12)</f>
        <v>50</v>
      </c>
      <c r="N27" s="89">
        <f>('ASR2124'!L12)</f>
        <v>46</v>
      </c>
      <c r="O27" s="89">
        <f>('ASR2124'!M12)</f>
        <v>47</v>
      </c>
    </row>
    <row r="28" spans="1:15" ht="12.2" customHeight="1">
      <c r="A28" s="76">
        <v>2131</v>
      </c>
      <c r="B28" s="77" t="s">
        <v>109</v>
      </c>
      <c r="C28" s="88"/>
      <c r="D28" s="89">
        <f>('ASR2131'!B12)</f>
        <v>3</v>
      </c>
      <c r="E28" s="89">
        <f>('ASR2131'!C12)</f>
        <v>7</v>
      </c>
      <c r="F28" s="89">
        <f>('ASR2131'!D12)</f>
        <v>5</v>
      </c>
      <c r="G28" s="89">
        <f>('ASR2131'!E12)</f>
        <v>8</v>
      </c>
      <c r="H28" s="89">
        <f>('ASR2131'!F12)</f>
        <v>14</v>
      </c>
      <c r="I28" s="89">
        <f>('ASR2131'!G12)</f>
        <v>4</v>
      </c>
      <c r="J28" s="89">
        <f>('ASR2131'!H12)</f>
        <v>6</v>
      </c>
      <c r="K28" s="89">
        <f>('ASR2131'!I12)</f>
        <v>4</v>
      </c>
      <c r="L28" s="89">
        <f>('ASR2131'!J12)</f>
        <v>12</v>
      </c>
      <c r="M28" s="89">
        <f>('ASR2131'!K12)</f>
        <v>13</v>
      </c>
      <c r="N28" s="89">
        <f>('ASR2131'!L12)</f>
        <v>19</v>
      </c>
      <c r="O28" s="89">
        <f>('ASR2131'!M12)</f>
        <v>24</v>
      </c>
    </row>
    <row r="29" spans="1:15" ht="12.2" customHeight="1">
      <c r="A29" s="76">
        <v>2132</v>
      </c>
      <c r="B29" s="77" t="s">
        <v>109</v>
      </c>
      <c r="C29" s="88"/>
      <c r="D29" s="89">
        <f>('ASR2132'!B12)</f>
        <v>8</v>
      </c>
      <c r="E29" s="89">
        <f>('ASR2132'!C12)</f>
        <v>14</v>
      </c>
      <c r="F29" s="89">
        <f>('ASR2132'!D12)</f>
        <v>28</v>
      </c>
      <c r="G29" s="89">
        <f>('ASR2132'!E12)</f>
        <v>35</v>
      </c>
      <c r="H29" s="89">
        <f>('ASR2132'!F12)</f>
        <v>50</v>
      </c>
      <c r="I29" s="89">
        <f>('ASR2132'!G12)</f>
        <v>46</v>
      </c>
      <c r="J29" s="89">
        <f>('ASR2132'!H12)</f>
        <v>29</v>
      </c>
      <c r="K29" s="89">
        <f>('ASR2132'!I12)</f>
        <v>53</v>
      </c>
      <c r="L29" s="89">
        <f>('ASR2132'!J12)</f>
        <v>43</v>
      </c>
      <c r="M29" s="89">
        <f>('ASR2132'!K12)</f>
        <v>46</v>
      </c>
      <c r="N29" s="89">
        <f>('ASR2132'!L12)</f>
        <v>31</v>
      </c>
      <c r="O29" s="89">
        <f>('ASR2132'!M12)</f>
        <v>44</v>
      </c>
    </row>
    <row r="30" spans="1:15" ht="12.2" customHeight="1">
      <c r="A30" s="76">
        <v>2134</v>
      </c>
      <c r="B30" s="77" t="s">
        <v>110</v>
      </c>
      <c r="C30" s="88"/>
      <c r="D30" s="89">
        <f>('ASR2134'!B12)</f>
        <v>17</v>
      </c>
      <c r="E30" s="89">
        <f>('ASR2134'!C12)</f>
        <v>16</v>
      </c>
      <c r="F30" s="89">
        <f>('ASR2134'!D12)</f>
        <v>23</v>
      </c>
      <c r="G30" s="89">
        <f>('ASR2134'!E12)</f>
        <v>32</v>
      </c>
      <c r="H30" s="89">
        <f>('ASR2134'!F12)</f>
        <v>21</v>
      </c>
      <c r="I30" s="89">
        <f>('ASR2134'!G12)</f>
        <v>34</v>
      </c>
      <c r="J30" s="89">
        <f>('ASR2134'!H12)</f>
        <v>36</v>
      </c>
      <c r="K30" s="89">
        <f>('ASR2134'!I12)</f>
        <v>27</v>
      </c>
      <c r="L30" s="89">
        <f>('ASR2134'!J12)</f>
        <v>49</v>
      </c>
      <c r="M30" s="89">
        <f>('ASR2134'!K12)</f>
        <v>25</v>
      </c>
      <c r="N30" s="89">
        <f>('ASR2134'!L12)</f>
        <v>29</v>
      </c>
      <c r="O30" s="89">
        <f>('ASR2134'!M12)</f>
        <v>38</v>
      </c>
    </row>
    <row r="31" spans="1:15" ht="12.2" customHeight="1">
      <c r="A31" s="76">
        <v>2142</v>
      </c>
      <c r="B31" s="77" t="s">
        <v>111</v>
      </c>
      <c r="C31" s="88"/>
      <c r="D31" s="89">
        <f>('ASR2142'!B12)</f>
        <v>18</v>
      </c>
      <c r="E31" s="89">
        <f>('ASR2142'!C12)</f>
        <v>16</v>
      </c>
      <c r="F31" s="89">
        <f>('ASR2142'!D12)</f>
        <v>17</v>
      </c>
      <c r="G31" s="89">
        <f>('ASR2142'!E12)</f>
        <v>17</v>
      </c>
      <c r="H31" s="89">
        <f>('ASR2142'!F12)</f>
        <v>17</v>
      </c>
      <c r="I31" s="89">
        <f>('ASR2142'!G12)</f>
        <v>30</v>
      </c>
      <c r="J31" s="89">
        <f>('ASR2142'!H12)</f>
        <v>27</v>
      </c>
      <c r="K31" s="89">
        <f>('ASR2142'!I12)</f>
        <v>27</v>
      </c>
      <c r="L31" s="89">
        <f>('ASR2142'!J12)</f>
        <v>12</v>
      </c>
      <c r="M31" s="89">
        <f>('ASR2142'!K12)</f>
        <v>20</v>
      </c>
      <c r="N31" s="89">
        <f>('ASR2142'!L12)</f>
        <v>25</v>
      </c>
      <c r="O31" s="89">
        <f>('ASR2142'!M12)</f>
        <v>18</v>
      </c>
    </row>
    <row r="32" spans="1:15" ht="12.2" customHeight="1">
      <c r="A32" s="76">
        <v>2144</v>
      </c>
      <c r="B32" s="77" t="s">
        <v>112</v>
      </c>
      <c r="C32" s="88"/>
      <c r="D32" s="89">
        <f>('ASR2144'!B12)</f>
        <v>26</v>
      </c>
      <c r="E32" s="89">
        <f>('ASR2144'!C12)</f>
        <v>53</v>
      </c>
      <c r="F32" s="89">
        <f>('ASR2144'!D12)</f>
        <v>64</v>
      </c>
      <c r="G32" s="89">
        <f>('ASR2144'!E12)</f>
        <v>61</v>
      </c>
      <c r="H32" s="89">
        <f>('ASR2144'!F12)</f>
        <v>41</v>
      </c>
      <c r="I32" s="89">
        <f>('ASR2144'!G12)</f>
        <v>39</v>
      </c>
      <c r="J32" s="89">
        <f>('ASR2144'!H12)</f>
        <v>43</v>
      </c>
      <c r="K32" s="89">
        <f>('ASR2144'!I12)</f>
        <v>49</v>
      </c>
      <c r="L32" s="89">
        <f>('ASR2144'!J12)</f>
        <v>54</v>
      </c>
      <c r="M32" s="89">
        <f>('ASR2144'!K12)</f>
        <v>50</v>
      </c>
      <c r="N32" s="89">
        <f>('ASR2144'!L12)</f>
        <v>43</v>
      </c>
      <c r="O32" s="89">
        <f>('ASR2144'!M12)</f>
        <v>57</v>
      </c>
    </row>
    <row r="33" spans="1:15" ht="12.2" customHeight="1">
      <c r="A33" s="76">
        <v>2152</v>
      </c>
      <c r="B33" s="77" t="s">
        <v>113</v>
      </c>
      <c r="C33" s="88"/>
      <c r="D33" s="89">
        <f>('ASR2152'!B12)</f>
        <v>0</v>
      </c>
      <c r="E33" s="89">
        <f>('ASR2152'!C12)</f>
        <v>0</v>
      </c>
      <c r="F33" s="89">
        <f>('ASR2152'!D12)</f>
        <v>0</v>
      </c>
      <c r="G33" s="89">
        <f>('ASR2152'!E12)</f>
        <v>0</v>
      </c>
      <c r="H33" s="89">
        <f>('ASR2152'!F12)</f>
        <v>0</v>
      </c>
      <c r="I33" s="89">
        <f>('ASR2152'!G12)</f>
        <v>0</v>
      </c>
      <c r="J33" s="89">
        <f>('ASR2152'!H12)</f>
        <v>0</v>
      </c>
      <c r="K33" s="89">
        <f>('ASR2152'!I12)</f>
        <v>0</v>
      </c>
      <c r="L33" s="89">
        <f>('ASR2152'!J12)</f>
        <v>0</v>
      </c>
      <c r="M33" s="89">
        <f>('ASR2152'!K12)</f>
        <v>0</v>
      </c>
      <c r="N33" s="89">
        <f>('ASR2152'!L12)</f>
        <v>0</v>
      </c>
      <c r="O33" s="89">
        <f>('ASR2152'!M12)</f>
        <v>0</v>
      </c>
    </row>
    <row r="34" spans="1:15" ht="12.2" customHeight="1">
      <c r="A34" s="76">
        <v>2154</v>
      </c>
      <c r="B34" s="77" t="s">
        <v>114</v>
      </c>
      <c r="C34" s="88"/>
      <c r="D34" s="89">
        <f>('ASR2154'!B12)</f>
        <v>0</v>
      </c>
      <c r="E34" s="89">
        <f>('ASR2154'!C12)</f>
        <v>0</v>
      </c>
      <c r="F34" s="89">
        <f>('ASR2154'!D12)</f>
        <v>0</v>
      </c>
      <c r="G34" s="89">
        <f>('ASR2154'!E12)</f>
        <v>0</v>
      </c>
      <c r="H34" s="89">
        <f>('ASR2154'!F12)</f>
        <v>0</v>
      </c>
      <c r="I34" s="89">
        <f>('ASR2154'!G12)</f>
        <v>0</v>
      </c>
      <c r="J34" s="89">
        <f>('ASR2154'!H12)</f>
        <v>0</v>
      </c>
      <c r="K34" s="89">
        <f>('ASR2154'!I12)</f>
        <v>0</v>
      </c>
      <c r="L34" s="89">
        <f>('ASR2154'!J12)</f>
        <v>0</v>
      </c>
      <c r="M34" s="89">
        <f>('ASR2154'!K12)</f>
        <v>0</v>
      </c>
      <c r="N34" s="89">
        <f>('ASR2154'!L12)</f>
        <v>0</v>
      </c>
      <c r="O34" s="89">
        <f>('ASR2154'!M12)</f>
        <v>0</v>
      </c>
    </row>
    <row r="35" spans="1:15" ht="12.2" customHeight="1">
      <c r="A35" s="76">
        <v>2161</v>
      </c>
      <c r="B35" s="77" t="s">
        <v>115</v>
      </c>
      <c r="C35" s="88"/>
      <c r="D35" s="89">
        <f>('ASR2161'!B12)</f>
        <v>79</v>
      </c>
      <c r="E35" s="89">
        <f>('ASR2161'!C12)</f>
        <v>113</v>
      </c>
      <c r="F35" s="89">
        <f>('ASR2161'!D12)</f>
        <v>125</v>
      </c>
      <c r="G35" s="89">
        <f>('ASR2161'!E12)</f>
        <v>106</v>
      </c>
      <c r="H35" s="89">
        <f>('ASR2161'!F12)</f>
        <v>147</v>
      </c>
      <c r="I35" s="89">
        <f>('ASR2161'!G12)</f>
        <v>110</v>
      </c>
      <c r="J35" s="89">
        <f>('ASR2161'!H12)</f>
        <v>141</v>
      </c>
      <c r="K35" s="89">
        <f>('ASR2161'!I12)</f>
        <v>173</v>
      </c>
      <c r="L35" s="89">
        <f>('ASR2161'!J12)</f>
        <v>160</v>
      </c>
      <c r="M35" s="89">
        <f>('ASR2161'!K12)</f>
        <v>160</v>
      </c>
      <c r="N35" s="89">
        <f>('ASR2161'!L12)</f>
        <v>168</v>
      </c>
      <c r="O35" s="89">
        <f>('ASR2161'!M12)</f>
        <v>172</v>
      </c>
    </row>
    <row r="36" spans="1:15" s="87" customFormat="1" ht="12.2" customHeight="1">
      <c r="A36" s="76">
        <v>2184</v>
      </c>
      <c r="B36" s="77" t="s">
        <v>116</v>
      </c>
      <c r="C36" s="86"/>
      <c r="D36" s="90">
        <f>('ASR2184'!B12)</f>
        <v>0</v>
      </c>
      <c r="E36" s="90">
        <f>('ASR2184'!C12)</f>
        <v>0</v>
      </c>
      <c r="F36" s="90">
        <f>('ASR2184'!D12)</f>
        <v>0</v>
      </c>
      <c r="G36" s="90">
        <f>('ASR2184'!E12)</f>
        <v>0</v>
      </c>
      <c r="H36" s="90">
        <f>('ASR2184'!F12)</f>
        <v>0</v>
      </c>
      <c r="I36" s="90">
        <f>('ASR2184'!G12)</f>
        <v>0</v>
      </c>
      <c r="J36" s="90">
        <f>('ASR2184'!H12)</f>
        <v>0</v>
      </c>
      <c r="K36" s="90">
        <f>('ASR2184'!I12)</f>
        <v>0</v>
      </c>
      <c r="L36" s="90">
        <f>('ASR2184'!J12)</f>
        <v>0</v>
      </c>
      <c r="M36" s="90">
        <f>('ASR2184'!K12)</f>
        <v>0</v>
      </c>
      <c r="N36" s="90">
        <f>('ASR2184'!L12)</f>
        <v>0</v>
      </c>
      <c r="O36" s="90">
        <f>('ASR2184'!M12)</f>
        <v>0</v>
      </c>
    </row>
    <row r="37" spans="1:15" ht="12.2" customHeight="1">
      <c r="A37" s="76">
        <v>2211</v>
      </c>
      <c r="B37" s="77" t="s">
        <v>117</v>
      </c>
      <c r="C37" s="88"/>
      <c r="D37" s="89">
        <f>('ASR2211'!B12)</f>
        <v>16</v>
      </c>
      <c r="E37" s="89">
        <f>('ASR2211'!C12)</f>
        <v>14</v>
      </c>
      <c r="F37" s="89">
        <f>('ASR2211'!D12)</f>
        <v>15</v>
      </c>
      <c r="G37" s="89">
        <f>('ASR2211'!E12)</f>
        <v>14</v>
      </c>
      <c r="H37" s="89">
        <f>('ASR2211'!F12)</f>
        <v>19</v>
      </c>
      <c r="I37" s="89">
        <f>('ASR2211'!G12)</f>
        <v>17</v>
      </c>
      <c r="J37" s="89">
        <f>('ASR2211'!H12)</f>
        <v>12</v>
      </c>
      <c r="K37" s="89">
        <f>('ASR2211'!I12)</f>
        <v>14</v>
      </c>
      <c r="L37" s="89">
        <f>('ASR2211'!J12)</f>
        <v>14</v>
      </c>
      <c r="M37" s="89">
        <f>('ASR2211'!K12)</f>
        <v>9</v>
      </c>
      <c r="N37" s="89">
        <f>('ASR2211'!L12)</f>
        <v>20</v>
      </c>
      <c r="O37" s="89">
        <f>('ASR2211'!M12)</f>
        <v>13</v>
      </c>
    </row>
    <row r="38" spans="1:15" ht="12.2" customHeight="1">
      <c r="A38" s="76">
        <v>2212</v>
      </c>
      <c r="B38" s="77" t="s">
        <v>117</v>
      </c>
      <c r="C38" s="88"/>
      <c r="D38" s="89">
        <f>('ASR2212'!B12)</f>
        <v>8</v>
      </c>
      <c r="E38" s="89">
        <f>('ASR2212'!C12)</f>
        <v>12</v>
      </c>
      <c r="F38" s="89">
        <f>('ASR2212'!D12)</f>
        <v>21</v>
      </c>
      <c r="G38" s="89">
        <f>('ASR2212'!E12)</f>
        <v>7</v>
      </c>
      <c r="H38" s="89">
        <f>('ASR2212'!F12)</f>
        <v>3</v>
      </c>
      <c r="I38" s="89">
        <f>('ASR2212'!G12)</f>
        <v>19</v>
      </c>
      <c r="J38" s="89">
        <f>('ASR2212'!H12)</f>
        <v>25</v>
      </c>
      <c r="K38" s="89">
        <f>('ASR2212'!I12)</f>
        <v>30</v>
      </c>
      <c r="L38" s="89">
        <f>('ASR2212'!J12)</f>
        <v>31</v>
      </c>
      <c r="M38" s="89">
        <f>('ASR2212'!K12)</f>
        <v>40</v>
      </c>
      <c r="N38" s="89">
        <f>('ASR2212'!L12)</f>
        <v>23</v>
      </c>
      <c r="O38" s="89">
        <f>('ASR2212'!M12)</f>
        <v>18</v>
      </c>
    </row>
    <row r="39" spans="1:15" ht="12.2" customHeight="1">
      <c r="A39" s="76">
        <v>2221</v>
      </c>
      <c r="B39" s="77" t="s">
        <v>118</v>
      </c>
      <c r="C39" s="88"/>
      <c r="D39" s="89">
        <f>('ASR2221'!B12)</f>
        <v>0</v>
      </c>
      <c r="E39" s="89">
        <f>('ASR2221'!C12)</f>
        <v>0</v>
      </c>
      <c r="F39" s="89">
        <f>('ASR2221'!D12)</f>
        <v>0</v>
      </c>
      <c r="G39" s="89">
        <f>('ASR2221'!E12)</f>
        <v>0</v>
      </c>
      <c r="H39" s="89">
        <f>('ASR2221'!F12)</f>
        <v>0</v>
      </c>
      <c r="I39" s="89">
        <f>('ASR2221'!G12)</f>
        <v>0</v>
      </c>
      <c r="J39" s="89">
        <f>('ASR2221'!H12)</f>
        <v>0</v>
      </c>
      <c r="K39" s="89">
        <f>('ASR2221'!I12)</f>
        <v>0</v>
      </c>
      <c r="L39" s="89">
        <f>('ASR2221'!J12)</f>
        <v>0</v>
      </c>
      <c r="M39" s="89">
        <f>('ASR2221'!K12)</f>
        <v>0</v>
      </c>
      <c r="N39" s="89">
        <f>('ASR2221'!L12)</f>
        <v>0</v>
      </c>
      <c r="O39" s="89">
        <f>('ASR2221'!M12)</f>
        <v>0</v>
      </c>
    </row>
    <row r="40" spans="1:15" ht="12.2" customHeight="1">
      <c r="A40" s="76">
        <v>2222</v>
      </c>
      <c r="B40" s="77" t="s">
        <v>118</v>
      </c>
      <c r="C40" s="88"/>
      <c r="D40" s="89">
        <f>('ASR2222'!B12)</f>
        <v>0</v>
      </c>
      <c r="E40" s="89">
        <f>('ASR2222'!C12)</f>
        <v>0</v>
      </c>
      <c r="F40" s="89">
        <f>('ASR2222'!D12)</f>
        <v>0</v>
      </c>
      <c r="G40" s="89">
        <f>('ASR2222'!E12)</f>
        <v>0</v>
      </c>
      <c r="H40" s="89">
        <f>('ASR2222'!F12)</f>
        <v>0</v>
      </c>
      <c r="I40" s="89">
        <f>('ASR2222'!G12)</f>
        <v>0</v>
      </c>
      <c r="J40" s="89">
        <f>('ASR2222'!H12)</f>
        <v>0</v>
      </c>
      <c r="K40" s="89">
        <f>('ASR2222'!I12)</f>
        <v>0</v>
      </c>
      <c r="L40" s="89">
        <f>('ASR2222'!J12)</f>
        <v>0</v>
      </c>
      <c r="M40" s="89">
        <f>('ASR2222'!K12)</f>
        <v>0</v>
      </c>
      <c r="N40" s="89">
        <f>('ASR2222'!L12)</f>
        <v>0</v>
      </c>
      <c r="O40" s="89">
        <f>('ASR2222'!M12)</f>
        <v>0</v>
      </c>
    </row>
    <row r="41" spans="1:15" ht="12.2" customHeight="1">
      <c r="A41" s="76">
        <v>2233</v>
      </c>
      <c r="B41" s="77" t="s">
        <v>119</v>
      </c>
      <c r="C41" s="88"/>
      <c r="D41" s="89">
        <f>('ASR2233'!B12)</f>
        <v>0</v>
      </c>
      <c r="E41" s="89">
        <f>('ASR2233'!C12)</f>
        <v>0</v>
      </c>
      <c r="F41" s="89">
        <f>('ASR2233'!D12)</f>
        <v>0</v>
      </c>
      <c r="G41" s="89">
        <f>('ASR2233'!E12)</f>
        <v>0</v>
      </c>
      <c r="H41" s="89">
        <f>('ASR2233'!F12)</f>
        <v>0</v>
      </c>
      <c r="I41" s="89">
        <f>('ASR2233'!G12)</f>
        <v>0</v>
      </c>
      <c r="J41" s="89">
        <f>('ASR2233'!H12)</f>
        <v>0</v>
      </c>
      <c r="K41" s="89">
        <f>('ASR2233'!I12)</f>
        <v>0</v>
      </c>
      <c r="L41" s="89">
        <f>('ASR2233'!J12)</f>
        <v>0</v>
      </c>
      <c r="M41" s="89">
        <f>('ASR2233'!K12)</f>
        <v>0</v>
      </c>
      <c r="N41" s="89">
        <f>('ASR2233'!L12)</f>
        <v>0</v>
      </c>
      <c r="O41" s="89">
        <f>('ASR2233'!M12)</f>
        <v>0</v>
      </c>
    </row>
    <row r="42" spans="1:15" ht="12.2" customHeight="1">
      <c r="A42" s="76">
        <v>2234</v>
      </c>
      <c r="B42" s="77" t="s">
        <v>119</v>
      </c>
      <c r="C42" s="88"/>
      <c r="D42" s="89">
        <f>('ASR2234'!B12)</f>
        <v>9</v>
      </c>
      <c r="E42" s="89">
        <f>('ASR2234'!C12)</f>
        <v>8</v>
      </c>
      <c r="F42" s="89">
        <f>('ASR2234'!D12)</f>
        <v>7</v>
      </c>
      <c r="G42" s="89">
        <f>('ASR2234'!E12)</f>
        <v>3</v>
      </c>
      <c r="H42" s="89">
        <f>('ASR2234'!F12)</f>
        <v>8</v>
      </c>
      <c r="I42" s="89">
        <f>('ASR2234'!G12)</f>
        <v>13</v>
      </c>
      <c r="J42" s="89">
        <f>('ASR2234'!H12)</f>
        <v>4</v>
      </c>
      <c r="K42" s="89">
        <f>('ASR2234'!I12)</f>
        <v>8</v>
      </c>
      <c r="L42" s="89">
        <f>('ASR2234'!J12)</f>
        <v>7</v>
      </c>
      <c r="M42" s="89">
        <f>('ASR2234'!K12)</f>
        <v>8</v>
      </c>
      <c r="N42" s="89">
        <f>('ASR2234'!L12)</f>
        <v>8</v>
      </c>
      <c r="O42" s="89">
        <f>('ASR2234'!M12)</f>
        <v>7</v>
      </c>
    </row>
    <row r="43" spans="1:15" ht="12.2" customHeight="1">
      <c r="A43" s="76">
        <v>2241</v>
      </c>
      <c r="B43" s="77" t="s">
        <v>120</v>
      </c>
      <c r="C43" s="88"/>
      <c r="D43" s="89">
        <f>('ASR2241'!B12)</f>
        <v>43</v>
      </c>
      <c r="E43" s="89">
        <f>('ASR2241'!C12)</f>
        <v>42</v>
      </c>
      <c r="F43" s="89">
        <f>('ASR2241'!D12)</f>
        <v>39</v>
      </c>
      <c r="G43" s="89">
        <f>('ASR2241'!E12)</f>
        <v>41</v>
      </c>
      <c r="H43" s="89">
        <f>('ASR2241'!F12)</f>
        <v>55</v>
      </c>
      <c r="I43" s="89">
        <f>('ASR2241'!G12)</f>
        <v>51</v>
      </c>
      <c r="J43" s="89">
        <f>('ASR2241'!H12)</f>
        <v>33</v>
      </c>
      <c r="K43" s="89">
        <f>('ASR2241'!I12)</f>
        <v>47</v>
      </c>
      <c r="L43" s="89">
        <f>('ASR2241'!J12)</f>
        <v>44</v>
      </c>
      <c r="M43" s="89">
        <f>('ASR2241'!K12)</f>
        <v>50</v>
      </c>
      <c r="N43" s="89">
        <f>('ASR2241'!L12)</f>
        <v>45</v>
      </c>
      <c r="O43" s="89">
        <f>('ASR2241'!M12)</f>
        <v>54</v>
      </c>
    </row>
    <row r="44" spans="1:15" ht="12.2" customHeight="1">
      <c r="A44" s="76">
        <v>2242</v>
      </c>
      <c r="B44" s="77" t="s">
        <v>120</v>
      </c>
      <c r="C44" s="88"/>
      <c r="D44" s="89">
        <f>('ASR2242'!B12)</f>
        <v>10</v>
      </c>
      <c r="E44" s="89">
        <f>('ASR2242'!C12)</f>
        <v>4</v>
      </c>
      <c r="F44" s="89">
        <f>('ASR2242'!D12)</f>
        <v>19</v>
      </c>
      <c r="G44" s="89">
        <f>('ASR2242'!E12)</f>
        <v>41</v>
      </c>
      <c r="H44" s="89">
        <f>('ASR2242'!F12)</f>
        <v>44</v>
      </c>
      <c r="I44" s="89">
        <f>('ASR2242'!G12)</f>
        <v>31</v>
      </c>
      <c r="J44" s="89">
        <f>('ASR2242'!H12)</f>
        <v>28</v>
      </c>
      <c r="K44" s="89">
        <f>('ASR2242'!I12)</f>
        <v>40</v>
      </c>
      <c r="L44" s="89">
        <f>('ASR2242'!J12)</f>
        <v>56</v>
      </c>
      <c r="M44" s="89">
        <f>('ASR2242'!K12)</f>
        <v>24</v>
      </c>
      <c r="N44" s="89">
        <f>('ASR2242'!L12)</f>
        <v>42</v>
      </c>
      <c r="O44" s="89">
        <f>('ASR2242'!M12)</f>
        <v>19</v>
      </c>
    </row>
    <row r="45" spans="1:15" ht="12.2" customHeight="1">
      <c r="A45" s="76">
        <v>2253</v>
      </c>
      <c r="B45" s="77" t="s">
        <v>121</v>
      </c>
      <c r="C45" s="88"/>
      <c r="D45" s="89">
        <f>('ASR2253'!B12)</f>
        <v>5</v>
      </c>
      <c r="E45" s="89">
        <f>('ASR2253'!C12)</f>
        <v>8</v>
      </c>
      <c r="F45" s="89">
        <f>('ASR2253'!D12)</f>
        <v>13</v>
      </c>
      <c r="G45" s="89">
        <f>('ASR2253'!E12)</f>
        <v>12</v>
      </c>
      <c r="H45" s="89">
        <f>('ASR2253'!F12)</f>
        <v>6</v>
      </c>
      <c r="I45" s="89">
        <f>('ASR2253'!G12)</f>
        <v>12</v>
      </c>
      <c r="J45" s="89">
        <f>('ASR2253'!H12)</f>
        <v>6</v>
      </c>
      <c r="K45" s="89">
        <f>('ASR2253'!I12)</f>
        <v>10</v>
      </c>
      <c r="L45" s="89">
        <f>('ASR2253'!J12)</f>
        <v>11</v>
      </c>
      <c r="M45" s="89">
        <f>('ASR2253'!K12)</f>
        <v>6</v>
      </c>
      <c r="N45" s="89">
        <f>('ASR2253'!L12)</f>
        <v>4</v>
      </c>
      <c r="O45" s="89">
        <f>('ASR2253'!M12)</f>
        <v>2</v>
      </c>
    </row>
    <row r="46" spans="1:15" ht="12.2" customHeight="1">
      <c r="A46" s="76">
        <v>2263</v>
      </c>
      <c r="B46" s="77" t="s">
        <v>122</v>
      </c>
      <c r="C46" s="88"/>
      <c r="D46" s="89">
        <f>('ASR2263'!B12)</f>
        <v>19</v>
      </c>
      <c r="E46" s="89">
        <f>('ASR2263'!C12)</f>
        <v>14</v>
      </c>
      <c r="F46" s="89">
        <f>('ASR2263'!D12)</f>
        <v>12</v>
      </c>
      <c r="G46" s="89">
        <f>('ASR2263'!E12)</f>
        <v>6</v>
      </c>
      <c r="H46" s="89">
        <f>('ASR2263'!F12)</f>
        <v>10</v>
      </c>
      <c r="I46" s="89">
        <f>('ASR2263'!G12)</f>
        <v>14</v>
      </c>
      <c r="J46" s="89">
        <f>('ASR2263'!H12)</f>
        <v>11</v>
      </c>
      <c r="K46" s="89">
        <f>('ASR2263'!I12)</f>
        <v>15</v>
      </c>
      <c r="L46" s="89">
        <f>('ASR2263'!J12)</f>
        <v>16</v>
      </c>
      <c r="M46" s="89">
        <f>('ASR2263'!K12)</f>
        <v>8</v>
      </c>
      <c r="N46" s="89">
        <f>('ASR2263'!L12)</f>
        <v>8</v>
      </c>
      <c r="O46" s="89">
        <f>('ASR2263'!M12)</f>
        <v>12</v>
      </c>
    </row>
    <row r="47" spans="1:15" ht="12.2" customHeight="1">
      <c r="A47" s="76">
        <v>2264</v>
      </c>
      <c r="B47" s="77" t="s">
        <v>122</v>
      </c>
      <c r="C47" s="88"/>
      <c r="D47" s="89">
        <f>('ASR2264'!B12)</f>
        <v>10</v>
      </c>
      <c r="E47" s="89">
        <f>('ASR2264'!C12)</f>
        <v>9</v>
      </c>
      <c r="F47" s="89">
        <f>('ASR2264'!D12)</f>
        <v>19</v>
      </c>
      <c r="G47" s="89">
        <f>('ASR2264'!E12)</f>
        <v>16</v>
      </c>
      <c r="H47" s="89">
        <f>('ASR2264'!F12)</f>
        <v>21</v>
      </c>
      <c r="I47" s="89">
        <f>('ASR2264'!G12)</f>
        <v>27</v>
      </c>
      <c r="J47" s="89">
        <f>('ASR2264'!H12)</f>
        <v>25</v>
      </c>
      <c r="K47" s="89">
        <f>('ASR2264'!I12)</f>
        <v>23</v>
      </c>
      <c r="L47" s="89">
        <f>('ASR2264'!J12)</f>
        <v>15</v>
      </c>
      <c r="M47" s="89">
        <f>('ASR2264'!K12)</f>
        <v>32</v>
      </c>
      <c r="N47" s="89">
        <f>('ASR2264'!L12)</f>
        <v>35</v>
      </c>
      <c r="O47" s="89">
        <f>('ASR2264'!M12)</f>
        <v>22</v>
      </c>
    </row>
    <row r="48" spans="1:15" ht="12.2" customHeight="1">
      <c r="A48" s="76">
        <v>3001</v>
      </c>
      <c r="B48" s="77" t="s">
        <v>123</v>
      </c>
      <c r="C48" s="88"/>
      <c r="D48" s="89">
        <f>('ASR3001'!B12)</f>
        <v>33</v>
      </c>
      <c r="E48" s="89">
        <f>('ASR3001'!C12)</f>
        <v>37</v>
      </c>
      <c r="F48" s="89">
        <f>('ASR3001'!D12)</f>
        <v>32</v>
      </c>
      <c r="G48" s="89">
        <f>('ASR3001'!E12)</f>
        <v>28</v>
      </c>
      <c r="H48" s="89">
        <f>('ASR3001'!F12)</f>
        <v>39</v>
      </c>
      <c r="I48" s="89">
        <f>('ASR3001'!G12)</f>
        <v>38</v>
      </c>
      <c r="J48" s="89">
        <f>('ASR3001'!H12)</f>
        <v>30</v>
      </c>
      <c r="K48" s="89">
        <f>('ASR3001'!I12)</f>
        <v>31</v>
      </c>
      <c r="L48" s="89">
        <f>('ASR3001'!J12)</f>
        <v>34</v>
      </c>
      <c r="M48" s="89">
        <f>('ASR3001'!K12)</f>
        <v>24</v>
      </c>
      <c r="N48" s="89">
        <f>('ASR3001'!L12)</f>
        <v>33</v>
      </c>
      <c r="O48" s="89">
        <f>('ASR3001'!M12)</f>
        <v>15</v>
      </c>
    </row>
    <row r="49" spans="1:15" ht="12.2" customHeight="1">
      <c r="A49" s="76">
        <v>3003</v>
      </c>
      <c r="B49" s="77" t="s">
        <v>124</v>
      </c>
      <c r="C49" s="88"/>
      <c r="D49" s="89">
        <f>('ASR3003'!B12)</f>
        <v>32</v>
      </c>
      <c r="E49" s="89">
        <f>('ASR3003'!C12)</f>
        <v>41</v>
      </c>
      <c r="F49" s="89">
        <f>('ASR3003'!D12)</f>
        <v>33</v>
      </c>
      <c r="G49" s="89">
        <f>('ASR3003'!E12)</f>
        <v>39</v>
      </c>
      <c r="H49" s="89">
        <f>('ASR3003'!F12)</f>
        <v>30</v>
      </c>
      <c r="I49" s="89">
        <f>('ASR3003'!G12)</f>
        <v>29</v>
      </c>
      <c r="J49" s="89">
        <f>('ASR3003'!H12)</f>
        <v>15</v>
      </c>
      <c r="K49" s="89">
        <f>('ASR3003'!I12)</f>
        <v>30</v>
      </c>
      <c r="L49" s="89">
        <f>('ASR3003'!J12)</f>
        <v>14</v>
      </c>
      <c r="M49" s="89">
        <f>('ASR3003'!K12)</f>
        <v>7</v>
      </c>
      <c r="N49" s="89">
        <f>('ASR3003'!L12)</f>
        <v>10</v>
      </c>
      <c r="O49" s="89">
        <f>('ASR3003'!M12)</f>
        <v>8</v>
      </c>
    </row>
    <row r="50" spans="1:15" ht="12.2" customHeight="1">
      <c r="A50" s="76">
        <v>3011</v>
      </c>
      <c r="B50" s="77" t="s">
        <v>125</v>
      </c>
      <c r="C50" s="88"/>
      <c r="D50" s="89">
        <f>('ASR3011'!B12)</f>
        <v>20</v>
      </c>
      <c r="E50" s="89">
        <f>('ASR3011'!C12)</f>
        <v>21</v>
      </c>
      <c r="F50" s="89">
        <f>('ASR3011'!D12)</f>
        <v>19</v>
      </c>
      <c r="G50" s="89">
        <f>('ASR3011'!E12)</f>
        <v>27</v>
      </c>
      <c r="H50" s="89">
        <f>('ASR3011'!F12)</f>
        <v>17</v>
      </c>
      <c r="I50" s="89">
        <f>('ASR3011'!G12)</f>
        <v>24</v>
      </c>
      <c r="J50" s="89">
        <f>('ASR3011'!H12)</f>
        <v>29</v>
      </c>
      <c r="K50" s="89">
        <f>('ASR3011'!I12)</f>
        <v>23</v>
      </c>
      <c r="L50" s="89">
        <f>('ASR3011'!J12)</f>
        <v>23</v>
      </c>
      <c r="M50" s="89">
        <f>('ASR3011'!K12)</f>
        <v>35</v>
      </c>
      <c r="N50" s="89">
        <f>('ASR3011'!L12)</f>
        <v>19</v>
      </c>
      <c r="O50" s="89">
        <f>('ASR3011'!M12)</f>
        <v>24</v>
      </c>
    </row>
    <row r="51" spans="1:15" ht="12.2" customHeight="1">
      <c r="A51" s="76">
        <v>3034</v>
      </c>
      <c r="B51" s="77" t="s">
        <v>96</v>
      </c>
      <c r="C51" s="88"/>
      <c r="D51" s="89">
        <f>('ASR3034'!B12)</f>
        <v>89</v>
      </c>
      <c r="E51" s="89">
        <f>('ASR3034'!C12)</f>
        <v>128</v>
      </c>
      <c r="F51" s="89">
        <f>('ASR3034'!D12)</f>
        <v>138</v>
      </c>
      <c r="G51" s="89">
        <f>('ASR3034'!E12)</f>
        <v>130</v>
      </c>
      <c r="H51" s="89">
        <f>('ASR3034'!F12)</f>
        <v>146</v>
      </c>
      <c r="I51" s="89">
        <f>('ASR3034'!G12)</f>
        <v>132</v>
      </c>
      <c r="J51" s="89">
        <f>('ASR3034'!H12)</f>
        <v>148</v>
      </c>
      <c r="K51" s="89">
        <f>('ASR3034'!I12)</f>
        <v>150</v>
      </c>
      <c r="L51" s="89">
        <f>('ASR3034'!J12)</f>
        <v>155</v>
      </c>
      <c r="M51" s="89">
        <f>('ASR3034'!K12)</f>
        <v>175</v>
      </c>
      <c r="N51" s="89">
        <f>('ASR3034'!L12)</f>
        <v>145</v>
      </c>
      <c r="O51" s="89">
        <f>('ASR3034'!M12)</f>
        <v>164</v>
      </c>
    </row>
    <row r="52" spans="1:15" ht="12.2" customHeight="1">
      <c r="A52" s="76">
        <v>3044</v>
      </c>
      <c r="B52" s="77" t="s">
        <v>216</v>
      </c>
      <c r="C52" s="88"/>
      <c r="D52" s="89">
        <f>('ASR3044'!B12)</f>
        <v>58</v>
      </c>
      <c r="E52" s="89">
        <f>('ASR3044'!C12)</f>
        <v>66</v>
      </c>
      <c r="F52" s="89">
        <f>('ASR3044'!D12)</f>
        <v>64</v>
      </c>
      <c r="G52" s="89">
        <f>('ASR3044'!E12)</f>
        <v>80</v>
      </c>
      <c r="H52" s="89">
        <f>('ASR3044'!F12)</f>
        <v>80</v>
      </c>
      <c r="I52" s="89">
        <f>('ASR3044'!G12)</f>
        <v>85</v>
      </c>
      <c r="J52" s="89">
        <f>('ASR3044'!H12)</f>
        <v>77</v>
      </c>
      <c r="K52" s="89">
        <f>('ASR3044'!I12)</f>
        <v>120</v>
      </c>
      <c r="L52" s="89">
        <f>('ASR3044'!J12)</f>
        <v>88</v>
      </c>
      <c r="M52" s="89">
        <f>('ASR3044'!K12)</f>
        <v>65</v>
      </c>
      <c r="N52" s="89">
        <f>('ASR3044'!L12)</f>
        <v>80</v>
      </c>
      <c r="O52" s="89">
        <f>('ASR3044'!M12)</f>
        <v>75</v>
      </c>
    </row>
    <row r="53" spans="1:15" ht="12" customHeight="1">
      <c r="B53" s="24" t="s">
        <v>146</v>
      </c>
      <c r="C53" s="91"/>
      <c r="D53" s="81">
        <f>SUM(D7:D52)</f>
        <v>1124</v>
      </c>
      <c r="E53" s="81">
        <f>SUM(E7:E52)</f>
        <v>1214</v>
      </c>
      <c r="F53" s="81">
        <f t="shared" ref="F53:O53" si="0">SUM(F7:F52)</f>
        <v>1465</v>
      </c>
      <c r="G53" s="81">
        <f t="shared" si="0"/>
        <v>1430</v>
      </c>
      <c r="H53" s="81">
        <f t="shared" si="0"/>
        <v>1548</v>
      </c>
      <c r="I53" s="81">
        <f t="shared" si="0"/>
        <v>1599</v>
      </c>
      <c r="J53" s="81">
        <f t="shared" si="0"/>
        <v>1522</v>
      </c>
      <c r="K53" s="81">
        <f t="shared" si="0"/>
        <v>1747</v>
      </c>
      <c r="L53" s="81">
        <f t="shared" si="0"/>
        <v>1715</v>
      </c>
      <c r="M53" s="81">
        <f t="shared" si="0"/>
        <v>1554</v>
      </c>
      <c r="N53" s="81">
        <f t="shared" si="0"/>
        <v>1461</v>
      </c>
      <c r="O53" s="81">
        <f t="shared" si="0"/>
        <v>1493</v>
      </c>
    </row>
  </sheetData>
  <mergeCells count="2">
    <mergeCell ref="A5:B5"/>
    <mergeCell ref="D5:O5"/>
  </mergeCells>
  <printOptions horizontalCentered="1" verticalCentered="1"/>
  <pageMargins left="0.14000000000000001" right="0.16" top="0.75" bottom="0.75" header="0.3" footer="0.3"/>
  <pageSetup scale="95" firstPageNumber="3" orientation="portrait" useFirstPageNumber="1" r:id="rId1"/>
  <headerFooter alignWithMargins="0">
    <oddFooter>&amp;R4 of 51</oddFooter>
  </headerFooter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67"/>
  <sheetViews>
    <sheetView view="pageBreakPreview" zoomScale="90" zoomScaleNormal="100" zoomScaleSheetLayoutView="90" workbookViewId="0">
      <selection activeCell="M65" sqref="M65"/>
    </sheetView>
  </sheetViews>
  <sheetFormatPr defaultRowHeight="12.75"/>
  <cols>
    <col min="1" max="1" width="22.85546875" style="1" customWidth="1"/>
    <col min="2" max="13" width="7.140625" style="1" customWidth="1"/>
    <col min="14" max="14" width="4.42578125" style="1" customWidth="1"/>
    <col min="15" max="16384" width="9.140625" style="1"/>
  </cols>
  <sheetData>
    <row r="1" spans="1:21" ht="18" customHeight="1">
      <c r="A1" s="130"/>
      <c r="B1" s="131"/>
      <c r="C1" s="131"/>
      <c r="D1" s="131"/>
      <c r="E1" s="131"/>
      <c r="F1" s="131"/>
      <c r="G1" s="130"/>
      <c r="H1" s="130"/>
      <c r="I1" s="131"/>
      <c r="J1" s="131"/>
      <c r="K1" s="131"/>
      <c r="L1" s="130"/>
      <c r="M1" s="143" t="s">
        <v>22</v>
      </c>
    </row>
    <row r="2" spans="1:21" ht="18" customHeight="1">
      <c r="A2" s="130"/>
      <c r="B2" s="135"/>
      <c r="C2" s="135"/>
      <c r="D2" s="135"/>
      <c r="E2" s="135"/>
      <c r="F2" s="135"/>
      <c r="G2" s="130"/>
      <c r="H2" s="130"/>
      <c r="I2" s="135"/>
      <c r="J2" s="135"/>
      <c r="K2" s="135"/>
      <c r="L2" s="130"/>
      <c r="M2" s="155" t="s">
        <v>13</v>
      </c>
    </row>
    <row r="3" spans="1:21" s="5" customFormat="1" ht="18" customHeight="1">
      <c r="A3" s="133"/>
      <c r="B3" s="133"/>
      <c r="C3" s="133"/>
      <c r="D3" s="133"/>
      <c r="E3" s="133"/>
      <c r="F3" s="133"/>
      <c r="G3" s="133"/>
      <c r="H3" s="133"/>
      <c r="I3" s="133"/>
      <c r="J3" s="136"/>
      <c r="K3" s="136"/>
      <c r="L3" s="133"/>
      <c r="M3" s="155" t="s">
        <v>80</v>
      </c>
      <c r="N3" s="134"/>
      <c r="O3" s="134"/>
      <c r="P3" s="134"/>
      <c r="Q3" s="134"/>
      <c r="R3" s="134"/>
      <c r="S3" s="134"/>
      <c r="T3" s="134"/>
      <c r="U3" s="134"/>
    </row>
    <row r="4" spans="1:21" s="8" customFormat="1" ht="6.75" customHeight="1" thickBot="1">
      <c r="A4" s="38"/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</row>
    <row r="5" spans="1:21" s="8" customFormat="1" ht="11.25" customHeight="1" thickBot="1">
      <c r="A5" s="53" t="s">
        <v>19</v>
      </c>
      <c r="B5" s="50">
        <v>41275</v>
      </c>
      <c r="C5" s="47">
        <v>41306</v>
      </c>
      <c r="D5" s="47">
        <v>41334</v>
      </c>
      <c r="E5" s="47">
        <v>41365</v>
      </c>
      <c r="F5" s="47">
        <v>41395</v>
      </c>
      <c r="G5" s="47">
        <v>41426</v>
      </c>
      <c r="H5" s="47">
        <v>41456</v>
      </c>
      <c r="I5" s="47">
        <v>41487</v>
      </c>
      <c r="J5" s="47">
        <v>41518</v>
      </c>
      <c r="K5" s="47">
        <v>41548</v>
      </c>
      <c r="L5" s="47">
        <v>41579</v>
      </c>
      <c r="M5" s="51">
        <v>41609</v>
      </c>
    </row>
    <row r="6" spans="1:21" s="8" customFormat="1" ht="11.25" customHeight="1">
      <c r="A6" s="41" t="s">
        <v>129</v>
      </c>
      <c r="B6" s="57">
        <f t="shared" ref="B6:L6" si="0">B32</f>
        <v>0</v>
      </c>
      <c r="C6" s="57">
        <f t="shared" si="0"/>
        <v>0</v>
      </c>
      <c r="D6" s="57">
        <f t="shared" si="0"/>
        <v>0</v>
      </c>
      <c r="E6" s="57">
        <f t="shared" si="0"/>
        <v>0</v>
      </c>
      <c r="F6" s="57">
        <f t="shared" si="0"/>
        <v>0</v>
      </c>
      <c r="G6" s="57">
        <f t="shared" si="0"/>
        <v>0</v>
      </c>
      <c r="H6" s="57">
        <f t="shared" si="0"/>
        <v>0</v>
      </c>
      <c r="I6" s="57">
        <f t="shared" si="0"/>
        <v>0</v>
      </c>
      <c r="J6" s="57">
        <f t="shared" si="0"/>
        <v>0</v>
      </c>
      <c r="K6" s="57">
        <f t="shared" si="0"/>
        <v>0</v>
      </c>
      <c r="L6" s="156">
        <f t="shared" si="0"/>
        <v>0</v>
      </c>
      <c r="M6" s="168">
        <v>0</v>
      </c>
    </row>
    <row r="7" spans="1:21" s="8" customFormat="1" ht="11.25" customHeight="1">
      <c r="A7" s="42" t="s">
        <v>18</v>
      </c>
      <c r="B7" s="57">
        <f t="shared" ref="B7:L7" si="1">SUM(B10:B12)</f>
        <v>0</v>
      </c>
      <c r="C7" s="57">
        <f t="shared" si="1"/>
        <v>0</v>
      </c>
      <c r="D7" s="57">
        <f t="shared" si="1"/>
        <v>0</v>
      </c>
      <c r="E7" s="57">
        <f t="shared" si="1"/>
        <v>0</v>
      </c>
      <c r="F7" s="57">
        <f t="shared" si="1"/>
        <v>0</v>
      </c>
      <c r="G7" s="57">
        <f t="shared" si="1"/>
        <v>0</v>
      </c>
      <c r="H7" s="57">
        <f t="shared" si="1"/>
        <v>0</v>
      </c>
      <c r="I7" s="57">
        <f t="shared" si="1"/>
        <v>0</v>
      </c>
      <c r="J7" s="57">
        <f t="shared" si="1"/>
        <v>0</v>
      </c>
      <c r="K7" s="57">
        <f t="shared" si="1"/>
        <v>0</v>
      </c>
      <c r="L7" s="156">
        <f t="shared" si="1"/>
        <v>0</v>
      </c>
      <c r="M7" s="171">
        <v>0</v>
      </c>
    </row>
    <row r="8" spans="1:21" s="8" customFormat="1" ht="11.25" customHeight="1" thickBot="1">
      <c r="A8" s="43" t="s">
        <v>14</v>
      </c>
      <c r="B8" s="58">
        <f t="shared" ref="B8:L8" si="2">SUM(B6:B7)</f>
        <v>0</v>
      </c>
      <c r="C8" s="58">
        <f t="shared" si="2"/>
        <v>0</v>
      </c>
      <c r="D8" s="58">
        <f t="shared" si="2"/>
        <v>0</v>
      </c>
      <c r="E8" s="58">
        <f t="shared" si="2"/>
        <v>0</v>
      </c>
      <c r="F8" s="58">
        <f t="shared" si="2"/>
        <v>0</v>
      </c>
      <c r="G8" s="58">
        <f t="shared" si="2"/>
        <v>0</v>
      </c>
      <c r="H8" s="58">
        <f t="shared" si="2"/>
        <v>0</v>
      </c>
      <c r="I8" s="58">
        <f t="shared" si="2"/>
        <v>0</v>
      </c>
      <c r="J8" s="58">
        <f t="shared" si="2"/>
        <v>0</v>
      </c>
      <c r="K8" s="58">
        <f t="shared" si="2"/>
        <v>0</v>
      </c>
      <c r="L8" s="157">
        <f t="shared" si="2"/>
        <v>0</v>
      </c>
      <c r="M8" s="172">
        <v>0</v>
      </c>
    </row>
    <row r="9" spans="1:21" s="8" customFormat="1" ht="11.25" customHeight="1" thickBot="1">
      <c r="A9" s="54" t="s">
        <v>18</v>
      </c>
      <c r="B9" s="50">
        <v>41275</v>
      </c>
      <c r="C9" s="47">
        <v>41306</v>
      </c>
      <c r="D9" s="47">
        <v>41334</v>
      </c>
      <c r="E9" s="47">
        <v>41365</v>
      </c>
      <c r="F9" s="47">
        <v>41395</v>
      </c>
      <c r="G9" s="47">
        <v>41426</v>
      </c>
      <c r="H9" s="47">
        <v>41456</v>
      </c>
      <c r="I9" s="47">
        <v>41487</v>
      </c>
      <c r="J9" s="47">
        <v>41518</v>
      </c>
      <c r="K9" s="47">
        <v>41548</v>
      </c>
      <c r="L9" s="47">
        <v>41579</v>
      </c>
      <c r="M9" s="51">
        <v>41609</v>
      </c>
    </row>
    <row r="10" spans="1:21" s="8" customFormat="1" ht="11.25" customHeight="1">
      <c r="A10" s="9" t="s">
        <v>128</v>
      </c>
      <c r="B10" s="57">
        <f t="shared" ref="B10:L10" si="3">B52</f>
        <v>0</v>
      </c>
      <c r="C10" s="57">
        <f t="shared" si="3"/>
        <v>0</v>
      </c>
      <c r="D10" s="57">
        <f t="shared" si="3"/>
        <v>0</v>
      </c>
      <c r="E10" s="57">
        <f t="shared" si="3"/>
        <v>0</v>
      </c>
      <c r="F10" s="57">
        <f t="shared" si="3"/>
        <v>0</v>
      </c>
      <c r="G10" s="59">
        <f t="shared" si="3"/>
        <v>0</v>
      </c>
      <c r="H10" s="59">
        <f t="shared" si="3"/>
        <v>0</v>
      </c>
      <c r="I10" s="59">
        <f t="shared" si="3"/>
        <v>0</v>
      </c>
      <c r="J10" s="59">
        <f t="shared" si="3"/>
        <v>0</v>
      </c>
      <c r="K10" s="59">
        <f t="shared" si="3"/>
        <v>0</v>
      </c>
      <c r="L10" s="158">
        <f t="shared" si="3"/>
        <v>0</v>
      </c>
      <c r="M10" s="168">
        <v>0</v>
      </c>
    </row>
    <row r="11" spans="1:21" s="8" customFormat="1" ht="11.25" customHeight="1">
      <c r="A11" s="9" t="s">
        <v>127</v>
      </c>
      <c r="B11" s="59">
        <f t="shared" ref="B11:L11" si="4">B65</f>
        <v>0</v>
      </c>
      <c r="C11" s="59">
        <f t="shared" si="4"/>
        <v>0</v>
      </c>
      <c r="D11" s="59">
        <f t="shared" si="4"/>
        <v>0</v>
      </c>
      <c r="E11" s="59">
        <f t="shared" si="4"/>
        <v>0</v>
      </c>
      <c r="F11" s="59">
        <f t="shared" si="4"/>
        <v>0</v>
      </c>
      <c r="G11" s="59">
        <f t="shared" si="4"/>
        <v>0</v>
      </c>
      <c r="H11" s="59">
        <f t="shared" si="4"/>
        <v>0</v>
      </c>
      <c r="I11" s="59">
        <f t="shared" si="4"/>
        <v>0</v>
      </c>
      <c r="J11" s="59">
        <f t="shared" si="4"/>
        <v>0</v>
      </c>
      <c r="K11" s="59">
        <f t="shared" si="4"/>
        <v>0</v>
      </c>
      <c r="L11" s="158">
        <f t="shared" si="4"/>
        <v>0</v>
      </c>
      <c r="M11" s="169">
        <v>0</v>
      </c>
    </row>
    <row r="12" spans="1:21" s="8" customFormat="1" ht="11.25" customHeight="1" thickBot="1">
      <c r="A12" s="2" t="s">
        <v>12</v>
      </c>
      <c r="B12" s="60">
        <f>COUNTIFS(Jan!$B:$B,2233,Jan!$F:$F,800)</f>
        <v>0</v>
      </c>
      <c r="C12" s="60">
        <f>COUNTIFS(Feb!$B:$B,2233,Feb!$F:$F,800)</f>
        <v>0</v>
      </c>
      <c r="D12" s="60">
        <f>COUNTIFS(Mar!$B:$B,2233,Mar!$F:$F,800)</f>
        <v>0</v>
      </c>
      <c r="E12" s="60">
        <f>COUNTIFS(Apr!$B:$B,2233,Apr!$F:$F,800)</f>
        <v>0</v>
      </c>
      <c r="F12" s="60">
        <f>COUNTIFS(May!$B:$B,2233,May!$F:$F,800)</f>
        <v>0</v>
      </c>
      <c r="G12" s="60">
        <f>COUNTIFS(Jun!$B:$B,2233,Jun!$F:$F,800)</f>
        <v>0</v>
      </c>
      <c r="H12" s="60">
        <f>COUNTIFS(Jul!$B:$B,2233,Jul!$F:$F,800)</f>
        <v>0</v>
      </c>
      <c r="I12" s="60">
        <f>COUNTIFS(Aug!$B:$B,2233,Aug!$F:$F,800)</f>
        <v>0</v>
      </c>
      <c r="J12" s="60">
        <f>COUNTIFS(Sep!$B:$B,2233,Sep!$F:$F,800)</f>
        <v>0</v>
      </c>
      <c r="K12" s="60">
        <f>COUNTIFS(Oct!$B:$B,2233,Oct!$F:$F,800)</f>
        <v>0</v>
      </c>
      <c r="L12" s="60">
        <f>COUNTIFS(Nov!$B:$B,2233,Nov!$F:$F,800)</f>
        <v>0</v>
      </c>
      <c r="M12" s="60">
        <v>0</v>
      </c>
    </row>
    <row r="13" spans="1:21" s="8" customFormat="1" ht="5.0999999999999996" customHeight="1" thickBot="1">
      <c r="A13" s="3"/>
      <c r="B13" s="17"/>
      <c r="C13" s="17"/>
      <c r="D13" s="17"/>
      <c r="E13" s="17"/>
      <c r="F13" s="17"/>
      <c r="G13" s="17"/>
      <c r="H13" s="17"/>
      <c r="I13" s="17"/>
      <c r="J13" s="17"/>
      <c r="K13" s="17"/>
      <c r="L13" s="17"/>
      <c r="M13" s="147"/>
    </row>
    <row r="14" spans="1:21" s="16" customFormat="1" ht="11.25" customHeight="1">
      <c r="A14" s="44" t="s">
        <v>131</v>
      </c>
      <c r="B14" s="120"/>
      <c r="C14" s="120"/>
      <c r="D14" s="120"/>
      <c r="E14" s="120"/>
      <c r="F14" s="120"/>
      <c r="G14" s="120"/>
      <c r="H14" s="119"/>
      <c r="I14" s="61"/>
      <c r="J14" s="61"/>
      <c r="K14" s="118"/>
      <c r="L14" s="160"/>
      <c r="M14" s="173"/>
      <c r="O14" s="22"/>
      <c r="P14" s="22"/>
      <c r="Q14" s="22"/>
    </row>
    <row r="15" spans="1:21" s="8" customFormat="1" ht="11.25" customHeight="1">
      <c r="A15" s="45" t="s">
        <v>132</v>
      </c>
      <c r="B15" s="62" t="str">
        <f>IFERROR((SUMIFS(Jan!$N:$N,Jan!$J:$J,1,Jan!$B:$B,2233)+SUMIFS(Jan!$N:$N,Jan!$D:$D,"&gt;1",Jan!$B:$B,2233))/(COUNTIFS(Jan!$J:$J,1,Jan!$B:$B,2233)+COUNTIFS(Jan!$D:$D,"&gt;1",Jan!$B:$B,2233)),"")</f>
        <v/>
      </c>
      <c r="C15" s="62" t="str">
        <f ca="1">IFERROR((SUMIFS(Feb!$N:$N,Feb!$J:$J,1,Feb!$B:$B,2233)+SUMIFS(Feb!$N:$N,Feb!$D:$D,"&gt;1",Feb!$B:$B,2233))/(COUNTIFS(Feb!$J:$J,1,Feb!$B:$B,2233)+COUNTIFS(Feb!$D:$D,"&gt;1",Feb!$B:$B,2233)),"")</f>
        <v/>
      </c>
      <c r="D15" s="62" t="str">
        <f ca="1">IFERROR((SUMIFS(Mar!$N:$N,Mar!$J:$J,1,Mar!$B:$B,2233)+SUMIFS(Mar!$N:$N,Mar!$D:$D,"&gt;1",Mar!$B:$B,2233))/(COUNTIFS(Mar!$J:$J,1,Mar!$B:$B,2233)+COUNTIFS(Mar!$D:$D,"&gt;1",Mar!$B:$B,2233)),"")</f>
        <v/>
      </c>
      <c r="E15" s="62" t="str">
        <f ca="1">IFERROR((SUMIFS(Apr!$N:$N,Apr!$J:$J,1,Apr!$B:$B,2233)+SUMIFS(Apr!$N:$N,Apr!$D:$D,"&gt;1",Apr!$B:$B,2233))/(COUNTIFS(Apr!$J:$J,1,Apr!$B:$B,2233)+COUNTIFS(Apr!$D:$D,"&gt;1",Apr!$B:$B,2233)),"")</f>
        <v/>
      </c>
      <c r="F15" s="62" t="str">
        <f ca="1">IFERROR((SUMIFS(May!$N:$N,May!$J:$J,1,May!$B:$B,2233)+SUMIFS(May!$N:$N,May!$D:$D,"&gt;1",May!$B:$B,2233))/(COUNTIFS(May!$J:$J,1,May!$B:$B,2233)+COUNTIFS(May!$D:$D,"&gt;1",May!$B:$B,2233)),"")</f>
        <v/>
      </c>
      <c r="G15" s="62" t="str">
        <f ca="1">IFERROR((SUMIFS(Jun!$N:$N,Jun!$J:$J,1,Jun!$B:$B,2233)+SUMIFS(Jun!$N:$N,Jun!$D:$D,"&gt;1",Jun!$B:$B,2233))/(COUNTIFS(Jun!$J:$J,1,Jun!$B:$B,2233)+COUNTIFS(Jun!$D:$D,"&gt;1",Jun!$B:$B,2233)),"")</f>
        <v/>
      </c>
      <c r="H15" s="62" t="str">
        <f ca="1">IFERROR((SUMIFS(Jul!$N:$N,Jul!$J:$J,1,Jul!$B:$B,2233)+SUMIFS(Jul!$N:$N,Jul!$D:$D,"&gt;1",Jul!$B:$B,2233))/(COUNTIFS(Jul!$J:$J,1,Jul!$B:$B,2233)+COUNTIFS(Jul!$D:$D,"&gt;1",Jul!$B:$B,2233)),"")</f>
        <v/>
      </c>
      <c r="I15" s="62" t="str">
        <f ca="1">IFERROR((SUMIFS(Aug!$N:$N,Aug!$J:$J,1,Aug!$B:$B,2233)+SUMIFS(Aug!$N:$N,Aug!$D:$D,"&gt;1",Aug!$B:$B,2233))/(COUNTIFS(Aug!$J:$J,1,Aug!$B:$B,2233)+COUNTIFS(Aug!$D:$D,"&gt;1",Aug!$B:$B,2233)),"")</f>
        <v/>
      </c>
      <c r="J15" s="62" t="str">
        <f ca="1">IFERROR((SUMIFS(Sep!$N:$N,Sep!$J:$J,1,Sep!$B:$B,2233)+SUMIFS(Sep!$N:$N,Sep!$D:$D,"&gt;1",Sep!$B:$B,2233))/(COUNTIFS(Sep!$J:$J,1,Sep!$B:$B,2233)+COUNTIFS(Sep!$D:$D,"&gt;1",Sep!$B:$B,2233)),"")</f>
        <v/>
      </c>
      <c r="K15" s="62" t="str">
        <f ca="1">IFERROR((SUMIFS(Oct!$N:$N,Oct!$J:$J,1,Oct!$B:$B,2233)+SUMIFS(Oct!$N:$N,Oct!$D:$D,"&gt;1",Oct!$B:$B,2233))/(COUNTIFS(Oct!$J:$J,1,Oct!$B:$B,2233)+COUNTIFS(Oct!$D:$D,"&gt;1",Oct!$B:$B,2233)),"")</f>
        <v/>
      </c>
      <c r="L15" s="62" t="str">
        <f ca="1">IFERROR((SUMIFS(Nov!$N:$N,Nov!$J:$J,1,Nov!$B:$B,2233)+SUMIFS(Nov!$N:$N,Nov!$D:$D,"&gt;1",Nov!$B:$B,2233))/(COUNTIFS(Nov!$J:$J,1,Nov!$B:$B,2233)+COUNTIFS(Nov!$D:$D,"&gt;1",Nov!$B:$B,2233)),"")</f>
        <v/>
      </c>
      <c r="M15" s="62" t="str">
        <f>IFERROR((SUMIFS(#REF!,#REF!,1,#REF!,2233)+SUMIFS(#REF!,#REF!,"&gt;1",#REF!,2233))/(COUNTIFS(#REF!,1,#REF!,2233)+COUNTIFS(#REF!,"&gt;1",#REF!,2233)),"")</f>
        <v/>
      </c>
      <c r="N15" s="15"/>
      <c r="O15" s="1"/>
      <c r="P15" s="1"/>
      <c r="Q15" s="1"/>
    </row>
    <row r="16" spans="1:21" s="8" customFormat="1" ht="11.25" customHeight="1">
      <c r="A16" s="45" t="s">
        <v>133</v>
      </c>
      <c r="B16" s="62" t="str">
        <f>IFERROR(AVERAGEIFS(Jan!$N:$N,Jan!$F:$F,800,Jan!$B:$B,2233),"")</f>
        <v/>
      </c>
      <c r="C16" s="62" t="str">
        <f ca="1">IFERROR(AVERAGEIFS(Feb!$N:$N,Feb!$F:$F,800,Feb!$B:$B,2233),"")</f>
        <v/>
      </c>
      <c r="D16" s="62" t="str">
        <f ca="1">IFERROR(AVERAGEIFS(Mar!$N:$N,Mar!$F:$F,800,Mar!$B:$B,2233),"")</f>
        <v/>
      </c>
      <c r="E16" s="62" t="str">
        <f ca="1">IFERROR(AVERAGEIFS(Apr!$N:$N,Apr!$F:$F,800,Apr!$B:$B,2233),"")</f>
        <v/>
      </c>
      <c r="F16" s="62" t="str">
        <f ca="1">IFERROR(AVERAGEIFS(May!$N:$N,May!$F:$F,800,May!$B:$B,2233),"")</f>
        <v/>
      </c>
      <c r="G16" s="62" t="str">
        <f ca="1">IFERROR(AVERAGEIFS(Jun!$N:$N,Jun!$F:$F,800,Jun!$B:$B,2233),"")</f>
        <v/>
      </c>
      <c r="H16" s="62" t="str">
        <f ca="1">IFERROR(AVERAGEIFS(Jul!$N:$N,Jul!$F:$F,800,Jul!$B:$B,2233),"")</f>
        <v/>
      </c>
      <c r="I16" s="62" t="str">
        <f ca="1">IFERROR(AVERAGEIFS(Aug!$N:$N,Aug!$F:$F,800,Aug!$B:$B,2233),"")</f>
        <v/>
      </c>
      <c r="J16" s="62" t="str">
        <f ca="1">IFERROR(AVERAGEIFS(Sep!$N:$N,Sep!$F:$F,800,Sep!$B:$B,2233),"")</f>
        <v/>
      </c>
      <c r="K16" s="62" t="str">
        <f ca="1">IFERROR(AVERAGEIFS(Oct!$N:$N,Oct!$F:$F,800,Oct!$B:$B,2233),"")</f>
        <v/>
      </c>
      <c r="L16" s="62" t="str">
        <f ca="1">IFERROR(AVERAGEIFS(Nov!$N:$N,Nov!$F:$F,800,Nov!$B:$B,2233),"")</f>
        <v/>
      </c>
      <c r="M16" s="62" t="str">
        <f>IFERROR(AVERAGEIFS(#REF!,#REF!,800,#REF!,2233),"")</f>
        <v/>
      </c>
      <c r="O16" s="1"/>
      <c r="P16" s="1"/>
      <c r="Q16" s="1"/>
    </row>
    <row r="17" spans="1:17" s="8" customFormat="1" ht="11.25" customHeight="1">
      <c r="A17" s="45" t="s">
        <v>134</v>
      </c>
      <c r="B17" s="63" t="str">
        <f>IFERROR((SUMIFS(Jan!$M:$M,Jan!$J:$J,1,Jan!$B:$B,2233)+SUMIFS(Jan!$M:$M,Jan!$D:$D,"&gt;1",Jan!$B:$B,2233))/(COUNTIFS(Jan!$J:$J,1,Jan!$B:$B,2233)+COUNTIFS(Jan!$D:$D,"&gt;1",Jan!$B:$B,2233)),"")</f>
        <v/>
      </c>
      <c r="C17" s="63" t="str">
        <f ca="1">IFERROR((SUMIFS(Feb!$M:$M,Feb!$J:$J,1,Feb!$B:$B,2233)+SUMIFS(Feb!$M:$M,Feb!$D:$D,"&gt;1",Feb!$B:$B,2233))/(COUNTIFS(Feb!$J:$J,1,Feb!$B:$B,2233)+COUNTIFS(Feb!$D:$D,"&gt;1",Feb!$B:$B,2233)),"")</f>
        <v/>
      </c>
      <c r="D17" s="63" t="str">
        <f ca="1">IFERROR((SUMIFS(Mar!$M:$M,Mar!$J:$J,1,Mar!$B:$B,2233)+SUMIFS(Mar!$M:$M,Mar!$D:$D,"&gt;1",Mar!$B:$B,2233))/(COUNTIFS(Mar!$J:$J,1,Mar!$B:$B,2233)+COUNTIFS(Mar!$D:$D,"&gt;1",Mar!$B:$B,2233)),"")</f>
        <v/>
      </c>
      <c r="E17" s="63" t="str">
        <f ca="1">IFERROR((SUMIFS(Apr!$M:$M,Apr!$J:$J,1,Apr!$B:$B,2233)+SUMIFS(Apr!$M:$M,Apr!$D:$D,"&gt;1",Apr!$B:$B,2233))/(COUNTIFS(Apr!$J:$J,1,Apr!$B:$B,2233)+COUNTIFS(Apr!$D:$D,"&gt;1",Apr!$B:$B,2233)),"")</f>
        <v/>
      </c>
      <c r="F17" s="63" t="str">
        <f ca="1">IFERROR((SUMIFS(May!$M:$M,May!$J:$J,1,May!$B:$B,2233)+SUMIFS(May!$M:$M,May!$D:$D,"&gt;1",May!$B:$B,2233))/(COUNTIFS(May!$J:$J,1,May!$B:$B,2233)+COUNTIFS(May!$D:$D,"&gt;1",May!$B:$B,2233)),"")</f>
        <v/>
      </c>
      <c r="G17" s="63" t="str">
        <f ca="1">IFERROR((SUMIFS(Jun!$M:$M,Jun!$J:$J,1,Jun!$B:$B,2233)+SUMIFS(Jun!$M:$M,Jun!$D:$D,"&gt;1",Jun!$B:$B,2233))/(COUNTIFS(Jun!$J:$J,1,Jun!$B:$B,2233)+COUNTIFS(Jun!$D:$D,"&gt;1",Jun!$B:$B,2233)),"")</f>
        <v/>
      </c>
      <c r="H17" s="63" t="str">
        <f ca="1">IFERROR((SUMIFS(Jul!$M:$M,Jul!$J:$J,1,Jul!$B:$B,2233)+SUMIFS(Jul!$M:$M,Jul!$D:$D,"&gt;1",Jul!$B:$B,2233))/(COUNTIFS(Jul!$J:$J,1,Jul!$B:$B,2233)+COUNTIFS(Jul!$D:$D,"&gt;1",Jul!$B:$B,2233)),"")</f>
        <v/>
      </c>
      <c r="I17" s="63" t="str">
        <f ca="1">IFERROR((SUMIFS(Aug!$M:$M,Aug!$J:$J,1,Aug!$B:$B,2233)+SUMIFS(Aug!$M:$M,Aug!$D:$D,"&gt;1",Aug!$B:$B,2233))/(COUNTIFS(Aug!$J:$J,1,Aug!$B:$B,2233)+COUNTIFS(Aug!$D:$D,"&gt;1",Aug!$B:$B,2233)),"")</f>
        <v/>
      </c>
      <c r="J17" s="63" t="str">
        <f ca="1">IFERROR((SUMIFS(Sep!$M:$M,Sep!$J:$J,1,Sep!$B:$B,2233)+SUMIFS(Sep!$M:$M,Sep!$D:$D,"&gt;1",Sep!$B:$B,2233))/(COUNTIFS(Sep!$J:$J,1,Sep!$B:$B,2233)+COUNTIFS(Sep!$D:$D,"&gt;1",Sep!$B:$B,2233)),"")</f>
        <v/>
      </c>
      <c r="K17" s="63" t="str">
        <f ca="1">IFERROR((SUMIFS(Oct!$M:$M,Oct!$J:$J,1,Oct!$B:$B,2233)+SUMIFS(Oct!$M:$M,Oct!$D:$D,"&gt;1",Oct!$B:$B,2233))/(COUNTIFS(Oct!$J:$J,1,Oct!$B:$B,2233)+COUNTIFS(Oct!$D:$D,"&gt;1",Oct!$B:$B,2233)),"")</f>
        <v/>
      </c>
      <c r="L17" s="63" t="str">
        <f ca="1">IFERROR((SUMIFS(Nov!$M:$M,Nov!$J:$J,1,Nov!$B:$B,2233)+SUMIFS(Nov!$M:$M,Nov!$D:$D,"&gt;1",Nov!$B:$B,2233))/(COUNTIFS(Nov!$J:$J,1,Nov!$B:$B,2233)+COUNTIFS(Nov!$D:$D,"&gt;1",Nov!$B:$B,2233)),"")</f>
        <v/>
      </c>
      <c r="M17" s="63" t="str">
        <f>IFERROR((SUMIFS(#REF!,#REF!,1,#REF!,2233)+SUMIFS(#REF!,#REF!,"&gt;1",#REF!,2233))/(COUNTIFS(#REF!,1,#REF!,2233)+COUNTIFS(#REF!,"&gt;1",#REF!,2233)),"")</f>
        <v/>
      </c>
      <c r="O17" s="1"/>
      <c r="P17" s="1"/>
      <c r="Q17" s="1"/>
    </row>
    <row r="18" spans="1:17" s="8" customFormat="1" ht="11.25" customHeight="1" thickBot="1">
      <c r="A18" s="43" t="s">
        <v>135</v>
      </c>
      <c r="B18" s="64" t="str">
        <f>IFERROR(AVERAGEIFS(Jan!$M:$M,Jan!$F:$F,800,Jan!$B:$B,2233),"")</f>
        <v/>
      </c>
      <c r="C18" s="64" t="str">
        <f ca="1">IFERROR(AVERAGEIFS(Feb!$M:$M,Feb!$F:$F,800,Feb!$B:$B,2233),"")</f>
        <v/>
      </c>
      <c r="D18" s="64" t="str">
        <f ca="1">IFERROR(AVERAGEIFS(Mar!$M:$M,Mar!$F:$F,800,Mar!$B:$B,2233),"")</f>
        <v/>
      </c>
      <c r="E18" s="64" t="str">
        <f ca="1">IFERROR(AVERAGEIFS(Apr!$M:$M,Apr!$F:$F,800,Apr!$B:$B,2233),"")</f>
        <v/>
      </c>
      <c r="F18" s="64" t="str">
        <f ca="1">IFERROR(AVERAGEIFS(May!$M:$M,May!$F:$F,800,May!$B:$B,2233),"")</f>
        <v/>
      </c>
      <c r="G18" s="64" t="str">
        <f ca="1">IFERROR(AVERAGEIFS(Jun!$M:$M,Jun!$F:$F,800,Jun!$B:$B,2233),"")</f>
        <v/>
      </c>
      <c r="H18" s="64" t="str">
        <f ca="1">IFERROR(AVERAGEIFS(Jul!$M:$M,Jul!$F:$F,800,Jul!$B:$B,2233),"")</f>
        <v/>
      </c>
      <c r="I18" s="64" t="str">
        <f ca="1">IFERROR(AVERAGEIFS(Aug!$M:$M,Aug!$F:$F,800,Aug!$B:$B,2233),"")</f>
        <v/>
      </c>
      <c r="J18" s="64" t="str">
        <f ca="1">IFERROR(AVERAGEIFS(Sep!$M:$M,Sep!$F:$F,800,Sep!$B:$B,2233),"")</f>
        <v/>
      </c>
      <c r="K18" s="64" t="str">
        <f ca="1">IFERROR(AVERAGEIFS(Oct!$M:$M,Oct!$F:$F,800,Oct!$B:$B,2233),"")</f>
        <v/>
      </c>
      <c r="L18" s="64" t="str">
        <f ca="1">IFERROR(AVERAGEIFS(Nov!$M:$M,Nov!$F:$F,800,Nov!$B:$B,2233),"")</f>
        <v/>
      </c>
      <c r="M18" s="64" t="str">
        <f>IFERROR(AVERAGEIFS(#REF!,#REF!,800,#REF!,2233),"")</f>
        <v/>
      </c>
    </row>
    <row r="19" spans="1:17" s="8" customFormat="1" ht="5.0999999999999996" customHeight="1" thickBot="1">
      <c r="A19" s="3"/>
      <c r="B19" s="17"/>
      <c r="C19" s="17"/>
      <c r="D19" s="17"/>
      <c r="E19" s="17"/>
      <c r="F19" s="17"/>
      <c r="G19" s="17"/>
      <c r="H19" s="17"/>
      <c r="I19" s="17"/>
      <c r="J19" s="17"/>
      <c r="K19" s="17"/>
      <c r="L19" s="17"/>
      <c r="M19" s="147"/>
    </row>
    <row r="20" spans="1:17" s="8" customFormat="1" ht="11.25" customHeight="1">
      <c r="A20" s="42" t="s">
        <v>52</v>
      </c>
      <c r="B20" s="65">
        <v>31</v>
      </c>
      <c r="C20" s="65">
        <v>28</v>
      </c>
      <c r="D20" s="65">
        <v>31</v>
      </c>
      <c r="E20" s="65">
        <v>30</v>
      </c>
      <c r="F20" s="65">
        <v>31</v>
      </c>
      <c r="G20" s="65">
        <v>30</v>
      </c>
      <c r="H20" s="65">
        <v>31</v>
      </c>
      <c r="I20" s="65">
        <v>31</v>
      </c>
      <c r="J20" s="65">
        <v>30</v>
      </c>
      <c r="K20" s="65">
        <v>31</v>
      </c>
      <c r="L20" s="161">
        <v>30</v>
      </c>
      <c r="M20" s="174">
        <v>31</v>
      </c>
    </row>
    <row r="21" spans="1:17" s="8" customFormat="1" ht="11.25" customHeight="1">
      <c r="A21" s="9" t="s">
        <v>15</v>
      </c>
      <c r="B21" s="66">
        <f>B12/B20</f>
        <v>0</v>
      </c>
      <c r="C21" s="66">
        <f t="shared" ref="C21:M21" si="5">C12/C20</f>
        <v>0</v>
      </c>
      <c r="D21" s="66">
        <f>D12/D20</f>
        <v>0</v>
      </c>
      <c r="E21" s="66">
        <f>E12/E20</f>
        <v>0</v>
      </c>
      <c r="F21" s="66">
        <f>F12/F20</f>
        <v>0</v>
      </c>
      <c r="G21" s="66">
        <f>G12/G20</f>
        <v>0</v>
      </c>
      <c r="H21" s="66">
        <f t="shared" si="5"/>
        <v>0</v>
      </c>
      <c r="I21" s="66">
        <f t="shared" si="5"/>
        <v>0</v>
      </c>
      <c r="J21" s="66">
        <f t="shared" si="5"/>
        <v>0</v>
      </c>
      <c r="K21" s="66">
        <f t="shared" si="5"/>
        <v>0</v>
      </c>
      <c r="L21" s="162">
        <f t="shared" si="5"/>
        <v>0</v>
      </c>
      <c r="M21" s="175">
        <f t="shared" si="5"/>
        <v>0</v>
      </c>
    </row>
    <row r="22" spans="1:17" s="8" customFormat="1" ht="11.25" customHeight="1">
      <c r="A22" s="9" t="s">
        <v>130</v>
      </c>
      <c r="B22" s="67">
        <f t="shared" ref="B22:G22" si="6">IFERROR(B12/B7,0)</f>
        <v>0</v>
      </c>
      <c r="C22" s="67">
        <f t="shared" si="6"/>
        <v>0</v>
      </c>
      <c r="D22" s="67">
        <f t="shared" si="6"/>
        <v>0</v>
      </c>
      <c r="E22" s="67">
        <f t="shared" si="6"/>
        <v>0</v>
      </c>
      <c r="F22" s="67">
        <f t="shared" si="6"/>
        <v>0</v>
      </c>
      <c r="G22" s="67">
        <f t="shared" si="6"/>
        <v>0</v>
      </c>
      <c r="H22" s="67">
        <f t="shared" ref="H22:M22" si="7">IFERROR(H12/H7,0)</f>
        <v>0</v>
      </c>
      <c r="I22" s="67">
        <f t="shared" si="7"/>
        <v>0</v>
      </c>
      <c r="J22" s="67">
        <f t="shared" si="7"/>
        <v>0</v>
      </c>
      <c r="K22" s="116">
        <f t="shared" si="7"/>
        <v>0</v>
      </c>
      <c r="L22" s="67">
        <f t="shared" si="7"/>
        <v>0</v>
      </c>
      <c r="M22" s="176">
        <f t="shared" si="7"/>
        <v>0</v>
      </c>
      <c r="N22" s="1"/>
    </row>
    <row r="23" spans="1:17" s="8" customFormat="1" ht="11.25" customHeight="1" thickBot="1">
      <c r="A23" s="9" t="s">
        <v>53</v>
      </c>
      <c r="B23" s="67">
        <f t="shared" ref="B23:G23" si="8">IFERROR(B12/(B11+B12),0)</f>
        <v>0</v>
      </c>
      <c r="C23" s="67">
        <f t="shared" si="8"/>
        <v>0</v>
      </c>
      <c r="D23" s="67">
        <f t="shared" si="8"/>
        <v>0</v>
      </c>
      <c r="E23" s="67">
        <f t="shared" si="8"/>
        <v>0</v>
      </c>
      <c r="F23" s="67">
        <f t="shared" si="8"/>
        <v>0</v>
      </c>
      <c r="G23" s="67">
        <f t="shared" si="8"/>
        <v>0</v>
      </c>
      <c r="H23" s="67">
        <f t="shared" ref="H23:M23" si="9">IFERROR(H12/(H11+H12),0)</f>
        <v>0</v>
      </c>
      <c r="I23" s="67">
        <f t="shared" si="9"/>
        <v>0</v>
      </c>
      <c r="J23" s="67">
        <f t="shared" si="9"/>
        <v>0</v>
      </c>
      <c r="K23" s="117">
        <f t="shared" si="9"/>
        <v>0</v>
      </c>
      <c r="L23" s="163">
        <f t="shared" si="9"/>
        <v>0</v>
      </c>
      <c r="M23" s="177">
        <f t="shared" si="9"/>
        <v>0</v>
      </c>
      <c r="N23" s="4"/>
    </row>
    <row r="24" spans="1:17" s="8" customFormat="1" ht="11.25" customHeight="1" thickBot="1">
      <c r="A24" s="56" t="s">
        <v>21</v>
      </c>
      <c r="B24" s="50">
        <v>41275</v>
      </c>
      <c r="C24" s="47">
        <v>41306</v>
      </c>
      <c r="D24" s="47">
        <v>41334</v>
      </c>
      <c r="E24" s="47">
        <v>41365</v>
      </c>
      <c r="F24" s="47">
        <v>41395</v>
      </c>
      <c r="G24" s="47">
        <v>41426</v>
      </c>
      <c r="H24" s="47">
        <v>41456</v>
      </c>
      <c r="I24" s="47">
        <v>41487</v>
      </c>
      <c r="J24" s="47">
        <v>41518</v>
      </c>
      <c r="K24" s="47">
        <v>41548</v>
      </c>
      <c r="L24" s="47">
        <v>41579</v>
      </c>
      <c r="M24" s="51">
        <v>41609</v>
      </c>
    </row>
    <row r="25" spans="1:17" s="8" customFormat="1" ht="11.25" customHeight="1">
      <c r="A25" s="18" t="s">
        <v>5</v>
      </c>
      <c r="B25" s="68">
        <f>COUNTIFS(Jan!$B:$B,2233,Jan!$J:$J,18)</f>
        <v>0</v>
      </c>
      <c r="C25" s="68">
        <f>COUNTIFS(Feb!$B:$B,2233,Feb!$J:$J,18)</f>
        <v>0</v>
      </c>
      <c r="D25" s="68">
        <f>COUNTIFS(Mar!$B:$B,2233,Mar!$J:$J,18)</f>
        <v>0</v>
      </c>
      <c r="E25" s="68">
        <f>COUNTIFS(Apr!$B:$B,2233,Apr!$J:$J,18)</f>
        <v>0</v>
      </c>
      <c r="F25" s="68">
        <f>COUNTIFS(May!$B:$B,2233,May!$J:$J,18)</f>
        <v>0</v>
      </c>
      <c r="G25" s="68">
        <f>COUNTIFS(Jun!$B:$B,2233,Jun!$J:$J,18)</f>
        <v>0</v>
      </c>
      <c r="H25" s="68">
        <f>COUNTIFS(Jul!$B:$B,2233,Jul!$J:$J,18)</f>
        <v>0</v>
      </c>
      <c r="I25" s="68">
        <f>COUNTIFS(Aug!$B:$B,2233,Aug!$J:$J,18)</f>
        <v>0</v>
      </c>
      <c r="J25" s="68">
        <f>COUNTIFS(Sep!$B:$B,2233,Sep!$J:$J,18)</f>
        <v>0</v>
      </c>
      <c r="K25" s="68">
        <f>COUNTIFS(Oct!$B:$B,2233,Oct!$J:$J,18)</f>
        <v>0</v>
      </c>
      <c r="L25" s="68">
        <f>COUNTIFS(Nov!$B:$B,2233,Nov!$J:$J,18)</f>
        <v>0</v>
      </c>
      <c r="M25" s="68">
        <v>0</v>
      </c>
    </row>
    <row r="26" spans="1:17" s="8" customFormat="1" ht="11.25" customHeight="1">
      <c r="A26" s="46" t="s">
        <v>40</v>
      </c>
      <c r="B26" s="57">
        <f>COUNTIFS(Jan!$B:$B,2233,Jan!$J:$J,41)</f>
        <v>0</v>
      </c>
      <c r="C26" s="57">
        <f>COUNTIFS(Feb!$B:$B,2233,Feb!$J:$J,41)</f>
        <v>0</v>
      </c>
      <c r="D26" s="57">
        <f>COUNTIFS(Mar!$B:$B,2233,Mar!$J:$J,41)</f>
        <v>0</v>
      </c>
      <c r="E26" s="57">
        <f>COUNTIFS(Apr!$B:$B,2233,Apr!$J:$J,41)</f>
        <v>0</v>
      </c>
      <c r="F26" s="57">
        <f>COUNTIFS(May!$B:$B,2233,May!$J:$J,41)</f>
        <v>0</v>
      </c>
      <c r="G26" s="57">
        <f>COUNTIFS(Jun!$B:$B,2233,Jun!$J:$J,41)</f>
        <v>0</v>
      </c>
      <c r="H26" s="57">
        <f>COUNTIFS(Jul!$B:$B,2233,Jul!$J:$J,41)</f>
        <v>0</v>
      </c>
      <c r="I26" s="57">
        <f>COUNTIFS(Aug!$B:$B,2233,Aug!$J:$J,41)</f>
        <v>0</v>
      </c>
      <c r="J26" s="57">
        <f>COUNTIFS(Sep!$B:$B,2233,Sep!$J:$J,41)</f>
        <v>0</v>
      </c>
      <c r="K26" s="57">
        <f>COUNTIFS(Oct!$B:$B,2233,Oct!$J:$J,41)</f>
        <v>0</v>
      </c>
      <c r="L26" s="57">
        <f>COUNTIFS(Nov!$B:$B,2233,Nov!$J:$J,41)</f>
        <v>0</v>
      </c>
      <c r="M26" s="57">
        <v>0</v>
      </c>
    </row>
    <row r="27" spans="1:17" s="8" customFormat="1" ht="11.25" customHeight="1">
      <c r="A27" s="9" t="s">
        <v>11</v>
      </c>
      <c r="B27" s="179">
        <f>COUNTIFS(Jan!$B:$B,2233,Jan!$J:$J,17)</f>
        <v>0</v>
      </c>
      <c r="C27" s="179">
        <f>COUNTIFS(Feb!$B:$B,2233,Feb!$J:$J,17)</f>
        <v>0</v>
      </c>
      <c r="D27" s="179">
        <f>COUNTIFS(Mar!$B:$B,2233,Mar!$J:$J,17)</f>
        <v>0</v>
      </c>
      <c r="E27" s="179">
        <f>COUNTIFS(Apr!$B:$B,2233,Apr!$J:$J,17)</f>
        <v>0</v>
      </c>
      <c r="F27" s="179">
        <f>COUNTIFS(May!$B:$B,2233,May!$J:$J,17)</f>
        <v>0</v>
      </c>
      <c r="G27" s="179">
        <f>COUNTIFS(Jun!$B:$B,2233,Jun!$J:$J,17)</f>
        <v>0</v>
      </c>
      <c r="H27" s="179">
        <f>COUNTIFS(Jul!$B:$B,2233,Jul!$J:$J,17)</f>
        <v>0</v>
      </c>
      <c r="I27" s="179">
        <f>COUNTIFS(Aug!$B:$B,2233,Aug!$J:$J,17)</f>
        <v>0</v>
      </c>
      <c r="J27" s="179">
        <f>COUNTIFS(Sep!$B:$B,2233,Sep!$J:$J,17)</f>
        <v>0</v>
      </c>
      <c r="K27" s="179">
        <f>COUNTIFS(Oct!$B:$B,2233,Oct!$J:$J,17)</f>
        <v>0</v>
      </c>
      <c r="L27" s="179">
        <f>COUNTIFS(Nov!$B:$B,2233,Nov!$J:$J,17)</f>
        <v>0</v>
      </c>
      <c r="M27" s="206">
        <v>0</v>
      </c>
    </row>
    <row r="28" spans="1:17" s="8" customFormat="1" ht="11.25" customHeight="1">
      <c r="A28" s="9" t="s">
        <v>143</v>
      </c>
      <c r="B28" s="59">
        <f>COUNTIFS(Jan!$B:$B,2233,Jan!$F:$F,455)</f>
        <v>0</v>
      </c>
      <c r="C28" s="59">
        <f>COUNTIFS(Feb!$B:$B,2233,Feb!$F:$F,455)</f>
        <v>0</v>
      </c>
      <c r="D28" s="59">
        <f>COUNTIFS(Mar!$B:$B,2233,Mar!$F:$F,455)</f>
        <v>0</v>
      </c>
      <c r="E28" s="59">
        <f>COUNTIFS(Apr!$B:$B,2233,Apr!$F:$F,455)</f>
        <v>0</v>
      </c>
      <c r="F28" s="59">
        <f>COUNTIFS(May!$B:$B,2233,May!$F:$F,455)</f>
        <v>0</v>
      </c>
      <c r="G28" s="59">
        <f>COUNTIFS(Jun!$B:$B,2233,Jun!$F:$F,455)</f>
        <v>0</v>
      </c>
      <c r="H28" s="59">
        <f>COUNTIFS(Jul!$B:$B,2233,Jul!$F:$F,455)</f>
        <v>0</v>
      </c>
      <c r="I28" s="59">
        <f>COUNTIFS(Aug!$B:$B,2233,Aug!$F:$F,455)</f>
        <v>0</v>
      </c>
      <c r="J28" s="59">
        <f>COUNTIFS(Sep!$B:$B,2233,Sep!$F:$F,455)</f>
        <v>0</v>
      </c>
      <c r="K28" s="59">
        <f>COUNTIFS(Oct!$B:$B,2233,Oct!$F:$F,455)</f>
        <v>0</v>
      </c>
      <c r="L28" s="59">
        <f>COUNTIFS(Nov!$B:$B,2233,Nov!$F:$F,455)</f>
        <v>0</v>
      </c>
      <c r="M28" s="59">
        <v>0</v>
      </c>
    </row>
    <row r="29" spans="1:17" s="8" customFormat="1" ht="11.25" customHeight="1">
      <c r="A29" s="9" t="s">
        <v>23</v>
      </c>
      <c r="B29" s="59">
        <f>COUNTIFS(Jan!$B:$B,2233,Jan!$J:$J,31)</f>
        <v>0</v>
      </c>
      <c r="C29" s="59">
        <f>COUNTIFS(Feb!$B:$B,2233,Feb!$J:$J,31)</f>
        <v>0</v>
      </c>
      <c r="D29" s="59">
        <f>COUNTIFS(Mar!$B:$B,2233,Mar!$J:$J,31)</f>
        <v>0</v>
      </c>
      <c r="E29" s="59">
        <f>COUNTIFS(Apr!$B:$B,2233,Apr!$J:$J,31)</f>
        <v>0</v>
      </c>
      <c r="F29" s="59">
        <f>COUNTIFS(May!$B:$B,2233,May!$J:$J,31)</f>
        <v>0</v>
      </c>
      <c r="G29" s="59">
        <f>COUNTIFS(Jun!$B:$B,2233,Jun!$J:$J,31)</f>
        <v>0</v>
      </c>
      <c r="H29" s="59">
        <f>COUNTIFS(Jul!$B:$B,2233,Jul!$J:$J,31)</f>
        <v>0</v>
      </c>
      <c r="I29" s="59">
        <f>COUNTIFS(Aug!$B:$B,2233,Aug!$J:$J,31)</f>
        <v>0</v>
      </c>
      <c r="J29" s="59">
        <f>COUNTIFS(Sep!$B:$B,2233,Sep!$J:$J,31)</f>
        <v>0</v>
      </c>
      <c r="K29" s="59">
        <f>COUNTIFS(Oct!$B:$B,2233,Oct!$J:$J,31)</f>
        <v>0</v>
      </c>
      <c r="L29" s="59">
        <f>COUNTIFS(Nov!$B:$B,2233,Nov!$J:$J,31)</f>
        <v>0</v>
      </c>
      <c r="M29" s="59">
        <v>0</v>
      </c>
    </row>
    <row r="30" spans="1:17" s="8" customFormat="1" ht="11.25" customHeight="1">
      <c r="A30" s="9" t="s">
        <v>37</v>
      </c>
      <c r="B30" s="59">
        <f>COUNTIFS(Jan!$B:$B,2233,Jan!$J:$J,4400)</f>
        <v>0</v>
      </c>
      <c r="C30" s="59">
        <f>COUNTIFS(Feb!$B:$B,2233,Feb!$J:$J,4400)</f>
        <v>0</v>
      </c>
      <c r="D30" s="59">
        <f>COUNTIFS(Mar!$B:$B,2233,Mar!$J:$J,4400)</f>
        <v>0</v>
      </c>
      <c r="E30" s="59">
        <f>COUNTIFS(Apr!$B:$B,2233,Apr!$J:$J,4400)</f>
        <v>0</v>
      </c>
      <c r="F30" s="59">
        <f>COUNTIFS(May!$B:$B,2233,May!$J:$J,4400)</f>
        <v>0</v>
      </c>
      <c r="G30" s="59">
        <f>COUNTIFS(Jun!$B:$B,2233,Jun!$J:$J,4400)</f>
        <v>0</v>
      </c>
      <c r="H30" s="59">
        <f>COUNTIFS(Jul!$B:$B,2233,Jul!$J:$J,4400)</f>
        <v>0</v>
      </c>
      <c r="I30" s="59">
        <f>COUNTIFS(Aug!$B:$B,2233,Aug!$J:$J,4400)</f>
        <v>0</v>
      </c>
      <c r="J30" s="59">
        <f>COUNTIFS(Sep!$B:$B,2233,Sep!$J:$J,4400)</f>
        <v>0</v>
      </c>
      <c r="K30" s="59">
        <f>COUNTIFS(Oct!$B:$B,2233,Oct!$J:$J,4400)</f>
        <v>0</v>
      </c>
      <c r="L30" s="59">
        <f>COUNTIFS(Nov!$B:$B,2233,Nov!$J:$J,4400)</f>
        <v>0</v>
      </c>
      <c r="M30" s="59">
        <v>0</v>
      </c>
    </row>
    <row r="31" spans="1:17" s="8" customFormat="1" ht="11.25" customHeight="1">
      <c r="A31" s="10" t="s">
        <v>24</v>
      </c>
      <c r="B31" s="59">
        <f>COUNTIFS(Jan!$B:$B,2233,Jan!$J:$J,30)</f>
        <v>0</v>
      </c>
      <c r="C31" s="59">
        <f>COUNTIFS(Feb!$B:$B,2233,Feb!$J:$J,30)</f>
        <v>0</v>
      </c>
      <c r="D31" s="59">
        <f>COUNTIFS(Mar!$B:$B,2233,Mar!$J:$J,30)</f>
        <v>0</v>
      </c>
      <c r="E31" s="59">
        <f>COUNTIFS(Apr!$B:$B,2233,Apr!$J:$J,30)</f>
        <v>0</v>
      </c>
      <c r="F31" s="59">
        <f>COUNTIFS(May!$B:$B,2233,May!$J:$J,30)</f>
        <v>0</v>
      </c>
      <c r="G31" s="59">
        <f>COUNTIFS(Jun!$B:$B,2233,Jun!$J:$J,30)</f>
        <v>0</v>
      </c>
      <c r="H31" s="59">
        <f>COUNTIFS(Jul!$B:$B,2233,Jul!$J:$J,30)</f>
        <v>0</v>
      </c>
      <c r="I31" s="59">
        <f>COUNTIFS(Aug!$B:$B,2233,Aug!$J:$J,30)</f>
        <v>0</v>
      </c>
      <c r="J31" s="59">
        <f>COUNTIFS(Sep!$B:$B,2233,Sep!$J:$J,30)</f>
        <v>0</v>
      </c>
      <c r="K31" s="59">
        <f>COUNTIFS(Oct!$B:$B,2233,Oct!$J:$J,30)</f>
        <v>0</v>
      </c>
      <c r="L31" s="59">
        <f>COUNTIFS(Nov!$B:$B,2233,Nov!$J:$J,30)</f>
        <v>0</v>
      </c>
      <c r="M31" s="59">
        <v>0</v>
      </c>
    </row>
    <row r="32" spans="1:17" s="14" customFormat="1" ht="11.25" customHeight="1" thickBot="1">
      <c r="A32" s="2" t="s">
        <v>140</v>
      </c>
      <c r="B32" s="60">
        <f>SUM(B25:B31)</f>
        <v>0</v>
      </c>
      <c r="C32" s="60">
        <f t="shared" ref="C32:L32" si="10">SUM(C25:C31)</f>
        <v>0</v>
      </c>
      <c r="D32" s="60">
        <f>SUM(D25:D31)</f>
        <v>0</v>
      </c>
      <c r="E32" s="60">
        <f>SUM(E25:E31)</f>
        <v>0</v>
      </c>
      <c r="F32" s="60">
        <f>SUM(F25:F31)</f>
        <v>0</v>
      </c>
      <c r="G32" s="60">
        <f>SUM(G25:G31)</f>
        <v>0</v>
      </c>
      <c r="H32" s="60">
        <f t="shared" si="10"/>
        <v>0</v>
      </c>
      <c r="I32" s="60">
        <f t="shared" si="10"/>
        <v>0</v>
      </c>
      <c r="J32" s="60">
        <f t="shared" si="10"/>
        <v>0</v>
      </c>
      <c r="K32" s="60">
        <f t="shared" si="10"/>
        <v>0</v>
      </c>
      <c r="L32" s="159">
        <f t="shared" si="10"/>
        <v>0</v>
      </c>
      <c r="M32" s="170">
        <v>0</v>
      </c>
    </row>
    <row r="33" spans="1:13" ht="12" customHeight="1" thickBot="1">
      <c r="A33" s="55" t="s">
        <v>136</v>
      </c>
      <c r="B33" s="50">
        <v>41275</v>
      </c>
      <c r="C33" s="47">
        <v>41306</v>
      </c>
      <c r="D33" s="47">
        <v>41334</v>
      </c>
      <c r="E33" s="47">
        <v>41365</v>
      </c>
      <c r="F33" s="47">
        <v>41395</v>
      </c>
      <c r="G33" s="47">
        <v>41426</v>
      </c>
      <c r="H33" s="47">
        <v>41456</v>
      </c>
      <c r="I33" s="47">
        <v>41487</v>
      </c>
      <c r="J33" s="47">
        <v>41518</v>
      </c>
      <c r="K33" s="47">
        <v>41548</v>
      </c>
      <c r="L33" s="47">
        <v>41579</v>
      </c>
      <c r="M33" s="51">
        <v>41609</v>
      </c>
    </row>
    <row r="34" spans="1:13" s="8" customFormat="1" ht="11.25" customHeight="1">
      <c r="A34" s="46" t="s">
        <v>33</v>
      </c>
      <c r="B34" s="57">
        <f>COUNTIFS(Jan!$B:$B,2233,Jan!$J:$J,40)</f>
        <v>0</v>
      </c>
      <c r="C34" s="57">
        <f>COUNTIFS(Feb!$B:$B,2233,Feb!$J:$J,40)</f>
        <v>0</v>
      </c>
      <c r="D34" s="57">
        <f>COUNTIFS(Mar!$B:$B,2233,Mar!$J:$J,40)</f>
        <v>0</v>
      </c>
      <c r="E34" s="57">
        <f>COUNTIFS(Apr!$B:$B,2233,Apr!$J:$J,40)</f>
        <v>0</v>
      </c>
      <c r="F34" s="57">
        <f>COUNTIFS(May!$B:$B,2233,May!$J:$J,40)</f>
        <v>0</v>
      </c>
      <c r="G34" s="57">
        <f>COUNTIFS(Jun!$B:$B,2233,Jun!$J:$J,40)</f>
        <v>0</v>
      </c>
      <c r="H34" s="57">
        <f>COUNTIFS(Jul!$B:$B,2233,Jul!$J:$J,40)</f>
        <v>0</v>
      </c>
      <c r="I34" s="57">
        <f>COUNTIFS(Aug!$B:$B,2233,Aug!$J:$J,40)</f>
        <v>0</v>
      </c>
      <c r="J34" s="57">
        <f>COUNTIFS(Sep!$B:$B,2233,Sep!$J:$J,40)</f>
        <v>0</v>
      </c>
      <c r="K34" s="57">
        <f>COUNTIFS(Oct!$B:$B,2233,Oct!$J:$J,40)</f>
        <v>0</v>
      </c>
      <c r="L34" s="57">
        <f>COUNTIFS(Nov!$B:$B,2233,Nov!$J:$J,40)</f>
        <v>0</v>
      </c>
      <c r="M34" s="57">
        <v>0</v>
      </c>
    </row>
    <row r="35" spans="1:13" s="8" customFormat="1" ht="11.25" customHeight="1">
      <c r="A35" s="10" t="s">
        <v>4</v>
      </c>
      <c r="B35" s="59">
        <f>COUNTIFS(Jan!$B:$B,2233,Jan!$J:$J,15)</f>
        <v>0</v>
      </c>
      <c r="C35" s="59">
        <f>COUNTIFS(Feb!$B:$B,2233,Feb!$J:$J,15)</f>
        <v>0</v>
      </c>
      <c r="D35" s="59">
        <f>COUNTIFS(Mar!$B:$B,2233,Mar!$J:$J,15)</f>
        <v>0</v>
      </c>
      <c r="E35" s="59">
        <f>COUNTIFS(Apr!$B:$B,2233,Apr!$J:$J,15)</f>
        <v>0</v>
      </c>
      <c r="F35" s="59">
        <f>COUNTIFS(May!$B:$B,2233,May!$J:$J,15)</f>
        <v>0</v>
      </c>
      <c r="G35" s="59">
        <f>COUNTIFS(Jun!$B:$B,2233,Jun!$J:$J,15)</f>
        <v>0</v>
      </c>
      <c r="H35" s="59">
        <f>COUNTIFS(Jul!$B:$B,2233,Jul!$J:$J,15)</f>
        <v>0</v>
      </c>
      <c r="I35" s="59">
        <f>COUNTIFS(Aug!$B:$B,2233,Aug!$J:$J,15)</f>
        <v>0</v>
      </c>
      <c r="J35" s="59">
        <f>COUNTIFS(Sep!$B:$B,2233,Sep!$J:$J,15)</f>
        <v>0</v>
      </c>
      <c r="K35" s="59">
        <f>COUNTIFS(Oct!$B:$B,2233,Oct!$J:$J,15)</f>
        <v>0</v>
      </c>
      <c r="L35" s="59">
        <f>COUNTIFS(Nov!$B:$B,2233,Nov!$J:$J,15)</f>
        <v>0</v>
      </c>
      <c r="M35" s="59">
        <v>0</v>
      </c>
    </row>
    <row r="36" spans="1:13" s="8" customFormat="1" ht="11.25" customHeight="1">
      <c r="A36" s="10" t="s">
        <v>39</v>
      </c>
      <c r="B36" s="59">
        <f>COUNTIFS(Jan!$B:$B,2233,Jan!$J:$J,29)</f>
        <v>0</v>
      </c>
      <c r="C36" s="59">
        <f>COUNTIFS(Feb!$B:$B,2233,Feb!$J:$J,29)</f>
        <v>0</v>
      </c>
      <c r="D36" s="59">
        <f>COUNTIFS(Mar!$B:$B,2233,Mar!$J:$J,29)</f>
        <v>0</v>
      </c>
      <c r="E36" s="59">
        <f>COUNTIFS(Apr!$B:$B,2233,Apr!$J:$J,29)</f>
        <v>0</v>
      </c>
      <c r="F36" s="59">
        <f>COUNTIFS(May!$B:$B,2233,May!$J:$J,29)</f>
        <v>0</v>
      </c>
      <c r="G36" s="59">
        <f>COUNTIFS(Jun!$B:$B,2233,Jun!$J:$J,29)</f>
        <v>0</v>
      </c>
      <c r="H36" s="59">
        <f>COUNTIFS(Jul!$B:$B,2233,Jul!$J:$J,29)</f>
        <v>0</v>
      </c>
      <c r="I36" s="59">
        <f>COUNTIFS(Aug!$B:$B,2233,Aug!$J:$J,29)</f>
        <v>0</v>
      </c>
      <c r="J36" s="59">
        <f>COUNTIFS(Sep!$B:$B,2233,Sep!$J:$J,29)</f>
        <v>0</v>
      </c>
      <c r="K36" s="59">
        <f>COUNTIFS(Oct!$B:$B,2233,Oct!$J:$J,29)</f>
        <v>0</v>
      </c>
      <c r="L36" s="59">
        <f>COUNTIFS(Nov!$B:$B,2233,Nov!$J:$J,29)</f>
        <v>0</v>
      </c>
      <c r="M36" s="59">
        <v>0</v>
      </c>
    </row>
    <row r="37" spans="1:13" s="8" customFormat="1" ht="11.25" customHeight="1">
      <c r="A37" s="10" t="s">
        <v>3</v>
      </c>
      <c r="B37" s="59">
        <f>COUNTIFS(Jan!$B:$B,2233,Jan!$J:$J,13)</f>
        <v>0</v>
      </c>
      <c r="C37" s="59">
        <f>COUNTIFS(Feb!$B:$B,2233,Feb!$J:$J,13)</f>
        <v>0</v>
      </c>
      <c r="D37" s="59">
        <f>COUNTIFS(Mar!$B:$B,2233,Mar!$J:$J,13)</f>
        <v>0</v>
      </c>
      <c r="E37" s="59">
        <f>COUNTIFS(Apr!$B:$B,2233,Apr!$J:$J,13)</f>
        <v>0</v>
      </c>
      <c r="F37" s="59">
        <f>COUNTIFS(May!$B:$B,2233,May!$J:$J,13)</f>
        <v>0</v>
      </c>
      <c r="G37" s="59">
        <f>COUNTIFS(Jun!$B:$B,2233,Jun!$J:$J,13)</f>
        <v>0</v>
      </c>
      <c r="H37" s="59">
        <f>COUNTIFS(Jul!$B:$B,2233,Jul!$J:$J,13)</f>
        <v>0</v>
      </c>
      <c r="I37" s="59">
        <f>COUNTIFS(Aug!$B:$B,2233,Aug!$J:$J,13)</f>
        <v>0</v>
      </c>
      <c r="J37" s="59">
        <f>COUNTIFS(Sep!$B:$B,2233,Sep!$J:$J,13)</f>
        <v>0</v>
      </c>
      <c r="K37" s="59">
        <f>COUNTIFS(Oct!$B:$B,2233,Oct!$J:$J,13)</f>
        <v>0</v>
      </c>
      <c r="L37" s="59">
        <f>COUNTIFS(Nov!$B:$B,2233,Nov!$J:$J,13)</f>
        <v>0</v>
      </c>
      <c r="M37" s="59">
        <v>0</v>
      </c>
    </row>
    <row r="38" spans="1:13" s="8" customFormat="1" ht="11.25" customHeight="1">
      <c r="A38" s="9" t="s">
        <v>218</v>
      </c>
      <c r="B38" s="59">
        <f>COUNTIFS(Jan!$B:$B,2233,Jan!$J:$J,43)</f>
        <v>0</v>
      </c>
      <c r="C38" s="59">
        <f>COUNTIFS(Feb!$B:$B,2233,Feb!$J:$J,43)</f>
        <v>0</v>
      </c>
      <c r="D38" s="59">
        <f>COUNTIFS(Mar!$B:$B,2233,Mar!$J:$J,43)</f>
        <v>0</v>
      </c>
      <c r="E38" s="59">
        <f>COUNTIFS(Apr!$B:$B,2233,Apr!$J:$J,43)</f>
        <v>0</v>
      </c>
      <c r="F38" s="59">
        <f>COUNTIFS(May!$B:$B,2233,May!$J:$J,43)</f>
        <v>0</v>
      </c>
      <c r="G38" s="59">
        <f>COUNTIFS(Jun!$B:$B,2233,Jun!$J:$J,43)</f>
        <v>0</v>
      </c>
      <c r="H38" s="59">
        <f>COUNTIFS(Jul!$B:$B,2233,Jul!$J:$J,43)</f>
        <v>0</v>
      </c>
      <c r="I38" s="59">
        <f>COUNTIFS(Aug!$B:$B,2233,Aug!$J:$J,43)</f>
        <v>0</v>
      </c>
      <c r="J38" s="59">
        <f>COUNTIFS(Sep!$B:$B,2233,Sep!$J:$J,43)</f>
        <v>0</v>
      </c>
      <c r="K38" s="59">
        <f>COUNTIFS(Oct!$B:$B,2233,Oct!$J:$J,43)</f>
        <v>0</v>
      </c>
      <c r="L38" s="59">
        <f>COUNTIFS(Nov!$B:$B,2233,Nov!$J:$J,43)</f>
        <v>0</v>
      </c>
      <c r="M38" s="59">
        <v>0</v>
      </c>
    </row>
    <row r="39" spans="1:13" s="8" customFormat="1" ht="11.25" customHeight="1">
      <c r="A39" s="10" t="s">
        <v>25</v>
      </c>
      <c r="B39" s="59">
        <f>COUNTIFS(Jan!$B:$B,2233,Jan!$J:$J,24)</f>
        <v>0</v>
      </c>
      <c r="C39" s="59">
        <f>COUNTIFS(Feb!$B:$B,2233,Feb!$J:$J,24)</f>
        <v>0</v>
      </c>
      <c r="D39" s="59">
        <f>COUNTIFS(Mar!$B:$B,2233,Mar!$J:$J,24)</f>
        <v>0</v>
      </c>
      <c r="E39" s="59">
        <f>COUNTIFS(Apr!$B:$B,2233,Apr!$J:$J,24)</f>
        <v>0</v>
      </c>
      <c r="F39" s="59">
        <f>COUNTIFS(May!$B:$B,2233,May!$J:$J,24)</f>
        <v>0</v>
      </c>
      <c r="G39" s="59">
        <f>COUNTIFS(Jun!$B:$B,2233,Jun!$J:$J,24)</f>
        <v>0</v>
      </c>
      <c r="H39" s="59">
        <f>COUNTIFS(Jul!$B:$B,2233,Jul!$J:$J,24)</f>
        <v>0</v>
      </c>
      <c r="I39" s="59">
        <f>COUNTIFS(Aug!$B:$B,2233,Aug!$J:$J,24)</f>
        <v>0</v>
      </c>
      <c r="J39" s="59">
        <f>COUNTIFS(Sep!$B:$B,2233,Sep!$J:$J,24)</f>
        <v>0</v>
      </c>
      <c r="K39" s="59">
        <f>COUNTIFS(Oct!$B:$B,2233,Oct!$J:$J,24)</f>
        <v>0</v>
      </c>
      <c r="L39" s="59">
        <f>COUNTIFS(Nov!$B:$B,2233,Nov!$J:$J,24)</f>
        <v>0</v>
      </c>
      <c r="M39" s="59">
        <v>0</v>
      </c>
    </row>
    <row r="40" spans="1:13" s="8" customFormat="1" ht="11.25" customHeight="1">
      <c r="A40" s="10" t="s">
        <v>34</v>
      </c>
      <c r="B40" s="59">
        <f>COUNTIFS(Jan!$B:$B,2233,Jan!$J:$J,9)</f>
        <v>0</v>
      </c>
      <c r="C40" s="59">
        <f>COUNTIFS(Feb!$B:$B,2233,Feb!$J:$J,9)</f>
        <v>0</v>
      </c>
      <c r="D40" s="59">
        <f>COUNTIFS(Mar!$B:$B,2233,Mar!$J:$J,9)</f>
        <v>0</v>
      </c>
      <c r="E40" s="59">
        <f>COUNTIFS(Apr!$B:$B,2233,Apr!$J:$J,9)</f>
        <v>0</v>
      </c>
      <c r="F40" s="59">
        <f>COUNTIFS(May!$B:$B,2233,May!$J:$J,9)</f>
        <v>0</v>
      </c>
      <c r="G40" s="59">
        <f>COUNTIFS(Jun!$B:$B,2233,Jun!$J:$J,9)</f>
        <v>0</v>
      </c>
      <c r="H40" s="59">
        <f>COUNTIFS(Jul!$B:$B,2233,Jul!$J:$J,9)</f>
        <v>0</v>
      </c>
      <c r="I40" s="59">
        <f>COUNTIFS(Aug!$B:$B,2233,Aug!$J:$J,9)</f>
        <v>0</v>
      </c>
      <c r="J40" s="59">
        <f>COUNTIFS(Sep!$B:$B,2233,Sep!$J:$J,9)</f>
        <v>0</v>
      </c>
      <c r="K40" s="59">
        <f>COUNTIFS(Oct!$B:$B,2233,Oct!$J:$J,9)</f>
        <v>0</v>
      </c>
      <c r="L40" s="59">
        <f>COUNTIFS(Nov!$B:$B,2233,Nov!$J:$J,9)</f>
        <v>0</v>
      </c>
      <c r="M40" s="59">
        <v>0</v>
      </c>
    </row>
    <row r="41" spans="1:13" s="8" customFormat="1" ht="11.25" customHeight="1">
      <c r="A41" s="10" t="s">
        <v>31</v>
      </c>
      <c r="B41" s="59">
        <f>COUNTIFS(Jan!$B:$B,2233,Jan!$J:$J,10)</f>
        <v>0</v>
      </c>
      <c r="C41" s="59">
        <f>COUNTIFS(Feb!$B:$B,2233,Feb!$J:$J,10)</f>
        <v>0</v>
      </c>
      <c r="D41" s="59">
        <f>COUNTIFS(Mar!$B:$B,2233,Mar!$J:$J,10)</f>
        <v>0</v>
      </c>
      <c r="E41" s="59">
        <f>COUNTIFS(Apr!$B:$B,2233,Apr!$J:$J,10)</f>
        <v>0</v>
      </c>
      <c r="F41" s="59">
        <f>COUNTIFS(May!$B:$B,2233,May!$J:$J,10)</f>
        <v>0</v>
      </c>
      <c r="G41" s="59">
        <f>COUNTIFS(Jun!$B:$B,2233,Jun!$J:$J,10)</f>
        <v>0</v>
      </c>
      <c r="H41" s="59">
        <f>COUNTIFS(Jul!$B:$B,2233,Jul!$J:$J,10)</f>
        <v>0</v>
      </c>
      <c r="I41" s="59">
        <f>COUNTIFS(Aug!$B:$B,2233,Aug!$J:$J,10)</f>
        <v>0</v>
      </c>
      <c r="J41" s="59">
        <f>COUNTIFS(Sep!$B:$B,2233,Sep!$J:$J,10)</f>
        <v>0</v>
      </c>
      <c r="K41" s="59">
        <f>COUNTIFS(Oct!$B:$B,2233,Oct!$J:$J,10)</f>
        <v>0</v>
      </c>
      <c r="L41" s="59">
        <f>COUNTIFS(Nov!$B:$B,2233,Nov!$J:$J,10)</f>
        <v>0</v>
      </c>
      <c r="M41" s="59">
        <v>0</v>
      </c>
    </row>
    <row r="42" spans="1:13" s="8" customFormat="1" ht="11.25" customHeight="1">
      <c r="A42" s="10" t="s">
        <v>144</v>
      </c>
      <c r="B42" s="59">
        <f>COUNTIFS(Jan!$B:$B,2233,Jan!$F:$F,462)</f>
        <v>0</v>
      </c>
      <c r="C42" s="59">
        <f>COUNTIFS(Feb!$B:$B,2233,Feb!$F:$F,462)</f>
        <v>0</v>
      </c>
      <c r="D42" s="59">
        <f>COUNTIFS(Mar!$B:$B,2233,Mar!$F:$F,462)</f>
        <v>0</v>
      </c>
      <c r="E42" s="59">
        <f>COUNTIFS(Apr!$B:$B,2233,Apr!$F:$F,462)</f>
        <v>0</v>
      </c>
      <c r="F42" s="59">
        <f>COUNTIFS(May!$B:$B,2233,May!$F:$F,462)</f>
        <v>0</v>
      </c>
      <c r="G42" s="59">
        <f>COUNTIFS(Jun!$B:$B,2233,Jun!$F:$F,462)</f>
        <v>0</v>
      </c>
      <c r="H42" s="59">
        <f>COUNTIFS(Jul!$B:$B,2233,Jul!$F:$F,462)</f>
        <v>0</v>
      </c>
      <c r="I42" s="59">
        <f>COUNTIFS(Aug!$B:$B,2233,Aug!$F:$F,462)</f>
        <v>0</v>
      </c>
      <c r="J42" s="59">
        <f>COUNTIFS(Sep!$B:$B,2233,Sep!$F:$F,462)</f>
        <v>0</v>
      </c>
      <c r="K42" s="59">
        <f>COUNTIFS(Oct!$B:$B,2233,Oct!$F:$F,462)</f>
        <v>0</v>
      </c>
      <c r="L42" s="59">
        <f>COUNTIFS(Nov!$B:$B,2233,Nov!$F:$F,462)</f>
        <v>0</v>
      </c>
      <c r="M42" s="59">
        <v>0</v>
      </c>
    </row>
    <row r="43" spans="1:13" s="8" customFormat="1" ht="11.25" customHeight="1">
      <c r="A43" s="10" t="s">
        <v>1</v>
      </c>
      <c r="B43" s="59">
        <f>COUNTIFS(Jan!$B:$B,2233,Jan!$J:$J,11)</f>
        <v>0</v>
      </c>
      <c r="C43" s="59">
        <f>COUNTIFS(Feb!$B:$B,2233,Feb!$J:$J,11)</f>
        <v>0</v>
      </c>
      <c r="D43" s="59">
        <f>COUNTIFS(Mar!$B:$B,2233,Mar!$J:$J,11)</f>
        <v>0</v>
      </c>
      <c r="E43" s="59">
        <f>COUNTIFS(Apr!$B:$B,2233,Apr!$J:$J,11)</f>
        <v>0</v>
      </c>
      <c r="F43" s="59">
        <f>COUNTIFS(May!$B:$B,2233,May!$J:$J,11)</f>
        <v>0</v>
      </c>
      <c r="G43" s="59">
        <f>COUNTIFS(Jun!$B:$B,2233,Jun!$J:$J,11)</f>
        <v>0</v>
      </c>
      <c r="H43" s="59">
        <f>COUNTIFS(Jul!$B:$B,2233,Jul!$J:$J,11)</f>
        <v>0</v>
      </c>
      <c r="I43" s="59">
        <f>COUNTIFS(Aug!$B:$B,2233,Aug!$J:$J,11)</f>
        <v>0</v>
      </c>
      <c r="J43" s="59">
        <f>COUNTIFS(Sep!$B:$B,2233,Sep!$J:$J,11)</f>
        <v>0</v>
      </c>
      <c r="K43" s="59">
        <f>COUNTIFS(Oct!$B:$B,2233,Oct!$J:$J,11)</f>
        <v>0</v>
      </c>
      <c r="L43" s="59">
        <f>COUNTIFS(Nov!$B:$B,2233,Nov!$J:$J,11)</f>
        <v>0</v>
      </c>
      <c r="M43" s="59">
        <v>0</v>
      </c>
    </row>
    <row r="44" spans="1:13" s="8" customFormat="1" ht="11.25" customHeight="1">
      <c r="A44" s="10" t="s">
        <v>26</v>
      </c>
      <c r="B44" s="59">
        <f>COUNTIFS(Jan!$B:$B,2233,Jan!$J:$J,20)</f>
        <v>0</v>
      </c>
      <c r="C44" s="59">
        <f>COUNTIFS(Feb!$B:$B,2233,Feb!$J:$J,20)</f>
        <v>0</v>
      </c>
      <c r="D44" s="59">
        <f>COUNTIFS(Mar!$B:$B,2233,Mar!$J:$J,20)</f>
        <v>0</v>
      </c>
      <c r="E44" s="59">
        <f>COUNTIFS(Apr!$B:$B,2233,Apr!$J:$J,20)</f>
        <v>0</v>
      </c>
      <c r="F44" s="59">
        <f>COUNTIFS(May!$B:$B,2233,May!$J:$J,20)</f>
        <v>0</v>
      </c>
      <c r="G44" s="59">
        <f>COUNTIFS(Jun!$B:$B,2233,Jun!$J:$J,20)</f>
        <v>0</v>
      </c>
      <c r="H44" s="59">
        <f>COUNTIFS(Jul!$B:$B,2233,Jul!$J:$J,20)</f>
        <v>0</v>
      </c>
      <c r="I44" s="59">
        <f>COUNTIFS(Aug!$B:$B,2233,Aug!$J:$J,20)</f>
        <v>0</v>
      </c>
      <c r="J44" s="59">
        <f>COUNTIFS(Sep!$B:$B,2233,Sep!$J:$J,20)</f>
        <v>0</v>
      </c>
      <c r="K44" s="59">
        <f>COUNTIFS(Oct!$B:$B,2233,Oct!$J:$J,20)</f>
        <v>0</v>
      </c>
      <c r="L44" s="59">
        <f>COUNTIFS(Nov!$B:$B,2233,Nov!$J:$J,20)</f>
        <v>0</v>
      </c>
      <c r="M44" s="59">
        <v>0</v>
      </c>
    </row>
    <row r="45" spans="1:13" s="8" customFormat="1" ht="11.25" customHeight="1">
      <c r="A45" s="10" t="s">
        <v>32</v>
      </c>
      <c r="B45" s="59">
        <f>COUNTIFS(Jan!$B:$B,2233,Jan!$J:$J,2)</f>
        <v>0</v>
      </c>
      <c r="C45" s="59">
        <f>COUNTIFS(Feb!$B:$B,2233,Feb!$J:$J,2)</f>
        <v>0</v>
      </c>
      <c r="D45" s="59">
        <f>COUNTIFS(Mar!$B:$B,2233,Mar!$J:$J,2)</f>
        <v>0</v>
      </c>
      <c r="E45" s="59">
        <f>COUNTIFS(Apr!$B:$B,2233,Apr!$J:$J,2)</f>
        <v>0</v>
      </c>
      <c r="F45" s="59">
        <f>COUNTIFS(May!$B:$B,2233,May!$J:$J,2)</f>
        <v>0</v>
      </c>
      <c r="G45" s="59">
        <f>COUNTIFS(Jun!$B:$B,2233,Jun!$J:$J,2)</f>
        <v>0</v>
      </c>
      <c r="H45" s="59">
        <f>COUNTIFS(Jul!$B:$B,2233,Jul!$J:$J,2)</f>
        <v>0</v>
      </c>
      <c r="I45" s="59">
        <f>COUNTIFS(Aug!$B:$B,2233,Aug!$J:$J,2)</f>
        <v>0</v>
      </c>
      <c r="J45" s="59">
        <f>COUNTIFS(Sep!$B:$B,2233,Sep!$J:$J,2)</f>
        <v>0</v>
      </c>
      <c r="K45" s="59">
        <f>COUNTIFS(Oct!$B:$B,2233,Oct!$J:$J,2)</f>
        <v>0</v>
      </c>
      <c r="L45" s="59">
        <f>COUNTIFS(Nov!$B:$B,2233,Nov!$J:$J,2)</f>
        <v>0</v>
      </c>
      <c r="M45" s="59">
        <v>0</v>
      </c>
    </row>
    <row r="46" spans="1:13" s="8" customFormat="1" ht="11.25" customHeight="1">
      <c r="A46" s="10" t="s">
        <v>28</v>
      </c>
      <c r="B46" s="59">
        <f>COUNTIFS(Jan!$B:$B,2233,Jan!$J:$J,1700)+COUNTIFS(Jan!$B:$B,2233,Jan!$F:$F,1700)+COUNTIFS(Jan!$B:$B,2233,Jan!$J:$J,19)</f>
        <v>0</v>
      </c>
      <c r="C46" s="59">
        <f>COUNTIFS(Feb!$B:$B,2233,Feb!$J:$J,1700)+COUNTIFS(Feb!$B:$B,2233,Feb!$F:$F,1700)+COUNTIFS(Feb!$B:$B,2233,Feb!$J:$J,19)</f>
        <v>0</v>
      </c>
      <c r="D46" s="59">
        <f>COUNTIFS(Mar!$B:$B,2233,Mar!$J:$J,1700)+COUNTIFS(Mar!$B:$B,2233,Mar!$F:$F,1700)+COUNTIFS(Mar!$B:$B,2233,Mar!$J:$J,19)</f>
        <v>0</v>
      </c>
      <c r="E46" s="59">
        <f>COUNTIFS(Apr!$B:$B,2233,Apr!$J:$J,1700)+COUNTIFS(Apr!$B:$B,2233,Apr!$F:$F,1700)+COUNTIFS(Apr!$B:$B,2233,Apr!$J:$J,19)</f>
        <v>0</v>
      </c>
      <c r="F46" s="59">
        <f>COUNTIFS(May!$B:$B,2233,May!$J:$J,1700)+COUNTIFS(May!$B:$B,2233,May!$F:$F,1700)+COUNTIFS(May!$B:$B,2233,May!$J:$J,19)</f>
        <v>0</v>
      </c>
      <c r="G46" s="59">
        <f>COUNTIFS(Jun!$B:$B,2233,Jun!$J:$J,1700)+COUNTIFS(Jun!$B:$B,2233,Jun!$F:$F,1700)+COUNTIFS(Jun!$B:$B,2233,Jun!$J:$J,19)</f>
        <v>0</v>
      </c>
      <c r="H46" s="59">
        <f>COUNTIFS(Jul!$B:$B,2233,Jul!$J:$J,1700)+COUNTIFS(Jul!$B:$B,2233,Jul!$F:$F,1700)+COUNTIFS(Jul!$B:$B,2233,Jul!$J:$J,19)</f>
        <v>0</v>
      </c>
      <c r="I46" s="59">
        <f>COUNTIFS(Aug!$B:$B,2233,Aug!$J:$J,1700)+COUNTIFS(Aug!$B:$B,2233,Aug!$F:$F,1700)+COUNTIFS(Aug!$B:$B,2233,Aug!$J:$J,19)</f>
        <v>0</v>
      </c>
      <c r="J46" s="59">
        <f>COUNTIFS(Sep!$B:$B,2233,Sep!$J:$J,1700)+COUNTIFS(Sep!$B:$B,2233,Sep!$F:$F,1700)+COUNTIFS(Sep!$B:$B,2233,Sep!$J:$J,19)</f>
        <v>0</v>
      </c>
      <c r="K46" s="59">
        <f>COUNTIFS(Oct!$B:$B,2233,Oct!$J:$J,1700)+COUNTIFS(Oct!$B:$B,2233,Oct!$F:$F,1700)+COUNTIFS(Oct!$B:$B,2233,Oct!$J:$J,19)</f>
        <v>0</v>
      </c>
      <c r="L46" s="59">
        <f>COUNTIFS(Nov!$B:$B,2233,Nov!$J:$J,1700)+COUNTIFS(Nov!$B:$B,2233,Nov!$F:$F,1700)+COUNTIFS(Nov!$B:$B,2233,Nov!$J:$J,19)</f>
        <v>0</v>
      </c>
      <c r="M46" s="59">
        <v>0</v>
      </c>
    </row>
    <row r="47" spans="1:13" s="8" customFormat="1" ht="11.25" customHeight="1">
      <c r="A47" s="10" t="s">
        <v>0</v>
      </c>
      <c r="B47" s="59">
        <f>COUNTIFS(Jan!$B:$B,2233,Jan!$J:$J,3)</f>
        <v>0</v>
      </c>
      <c r="C47" s="59">
        <f>COUNTIFS(Feb!$B:$B,2233,Feb!$J:$J,3)</f>
        <v>0</v>
      </c>
      <c r="D47" s="59">
        <f>COUNTIFS(Mar!$B:$B,2233,Mar!$J:$J,3)</f>
        <v>0</v>
      </c>
      <c r="E47" s="59">
        <f>COUNTIFS(Apr!$B:$B,2233,Apr!$J:$J,3)</f>
        <v>0</v>
      </c>
      <c r="F47" s="59">
        <f>COUNTIFS(May!$B:$B,2233,May!$J:$J,3)</f>
        <v>0</v>
      </c>
      <c r="G47" s="59">
        <f>COUNTIFS(Jun!$B:$B,2233,Jun!$J:$J,3)</f>
        <v>0</v>
      </c>
      <c r="H47" s="59">
        <f>COUNTIFS(Jul!$B:$B,2233,Jul!$J:$J,3)</f>
        <v>0</v>
      </c>
      <c r="I47" s="59">
        <f>COUNTIFS(Aug!$B:$B,2233,Aug!$J:$J,3)</f>
        <v>0</v>
      </c>
      <c r="J47" s="59">
        <f>COUNTIFS(Sep!$B:$B,2233,Sep!$J:$J,3)</f>
        <v>0</v>
      </c>
      <c r="K47" s="59">
        <f>COUNTIFS(Oct!$B:$B,2233,Oct!$J:$J,3)</f>
        <v>0</v>
      </c>
      <c r="L47" s="59">
        <f>COUNTIFS(Nov!$B:$B,2233,Nov!$J:$J,3)</f>
        <v>0</v>
      </c>
      <c r="M47" s="59">
        <v>0</v>
      </c>
    </row>
    <row r="48" spans="1:13" s="8" customFormat="1" ht="11.25" customHeight="1">
      <c r="A48" s="10" t="s">
        <v>35</v>
      </c>
      <c r="B48" s="59">
        <f>COUNTIFS(Jan!$B:$B,2233,Jan!$J:$J,7400)</f>
        <v>0</v>
      </c>
      <c r="C48" s="59">
        <f>COUNTIFS(Feb!$B:$B,2233,Feb!$J:$J,7400)</f>
        <v>0</v>
      </c>
      <c r="D48" s="59">
        <f>COUNTIFS(Mar!$B:$B,2233,Mar!$J:$J,7400)</f>
        <v>0</v>
      </c>
      <c r="E48" s="59">
        <f>COUNTIFS(Apr!$B:$B,2233,Apr!$J:$J,7400)</f>
        <v>0</v>
      </c>
      <c r="F48" s="59">
        <f>COUNTIFS(May!$B:$B,2233,May!$J:$J,7400)</f>
        <v>0</v>
      </c>
      <c r="G48" s="59">
        <f>COUNTIFS(Jun!$B:$B,2233,Jun!$J:$J,7400)</f>
        <v>0</v>
      </c>
      <c r="H48" s="59">
        <f>COUNTIFS(Jul!$B:$B,2233,Jul!$J:$J,7400)</f>
        <v>0</v>
      </c>
      <c r="I48" s="59">
        <f>COUNTIFS(Aug!$B:$B,2233,Aug!$J:$J,7400)</f>
        <v>0</v>
      </c>
      <c r="J48" s="59">
        <f>COUNTIFS(Sep!$B:$B,2233,Sep!$J:$J,7400)</f>
        <v>0</v>
      </c>
      <c r="K48" s="59">
        <f>COUNTIFS(Oct!$B:$B,2233,Oct!$J:$J,7400)</f>
        <v>0</v>
      </c>
      <c r="L48" s="59">
        <f>COUNTIFS(Nov!$B:$B,2233,Nov!$J:$J,7400)</f>
        <v>0</v>
      </c>
      <c r="M48" s="59">
        <v>0</v>
      </c>
    </row>
    <row r="49" spans="1:13" s="8" customFormat="1" ht="11.25" customHeight="1">
      <c r="A49" s="10" t="s">
        <v>2</v>
      </c>
      <c r="B49" s="59">
        <f>COUNTIFS(Jan!$B:$B,2233,Jan!$J:$J,14)</f>
        <v>0</v>
      </c>
      <c r="C49" s="59">
        <f>COUNTIFS(Feb!$B:$B,2233,Feb!$J:$J,14)</f>
        <v>0</v>
      </c>
      <c r="D49" s="59">
        <f>COUNTIFS(Mar!$B:$B,2233,Mar!$J:$J,14)</f>
        <v>0</v>
      </c>
      <c r="E49" s="59">
        <f>COUNTIFS(Apr!$B:$B,2233,Apr!$J:$J,14)</f>
        <v>0</v>
      </c>
      <c r="F49" s="59">
        <f>COUNTIFS(May!$B:$B,2233,May!$J:$J,14)</f>
        <v>0</v>
      </c>
      <c r="G49" s="59">
        <f>COUNTIFS(Jun!$B:$B,2233,Jun!$J:$J,14)</f>
        <v>0</v>
      </c>
      <c r="H49" s="59">
        <f>COUNTIFS(Jul!$B:$B,2233,Jul!$J:$J,14)</f>
        <v>0</v>
      </c>
      <c r="I49" s="59">
        <f>COUNTIFS(Aug!$B:$B,2233,Aug!$J:$J,14)</f>
        <v>0</v>
      </c>
      <c r="J49" s="59">
        <f>COUNTIFS(Sep!$B:$B,2233,Sep!$J:$J,14)</f>
        <v>0</v>
      </c>
      <c r="K49" s="59">
        <f>COUNTIFS(Oct!$B:$B,2233,Oct!$J:$J,14)</f>
        <v>0</v>
      </c>
      <c r="L49" s="59">
        <f>COUNTIFS(Nov!$B:$B,2233,Nov!$J:$J,14)</f>
        <v>0</v>
      </c>
      <c r="M49" s="59">
        <v>0</v>
      </c>
    </row>
    <row r="50" spans="1:13" s="8" customFormat="1" ht="11.25" customHeight="1">
      <c r="A50" s="10" t="s">
        <v>142</v>
      </c>
      <c r="B50" s="59">
        <f>COUNTIFS(Jan!$B:$B,2233,Jan!$F:$F,466)</f>
        <v>0</v>
      </c>
      <c r="C50" s="59">
        <f>COUNTIFS(Feb!$B:$B,2233,Feb!$F:$F,466)</f>
        <v>0</v>
      </c>
      <c r="D50" s="59">
        <f>COUNTIFS(Mar!$B:$B,2233,Mar!$F:$F,466)</f>
        <v>0</v>
      </c>
      <c r="E50" s="59">
        <f>COUNTIFS(Apr!$B:$B,2233,Apr!$F:$F,466)</f>
        <v>0</v>
      </c>
      <c r="F50" s="59">
        <f>COUNTIFS(May!$B:$B,2233,May!$F:$F,466)</f>
        <v>0</v>
      </c>
      <c r="G50" s="59">
        <f>COUNTIFS(Jun!$B:$B,2233,Jun!$F:$F,466)</f>
        <v>0</v>
      </c>
      <c r="H50" s="59">
        <f>COUNTIFS(Jul!$B:$B,2233,Jul!$F:$F,466)</f>
        <v>0</v>
      </c>
      <c r="I50" s="59">
        <f>COUNTIFS(Aug!$B:$B,2233,Aug!$F:$F,466)</f>
        <v>0</v>
      </c>
      <c r="J50" s="59">
        <f>COUNTIFS(Sep!$B:$B,2233,Sep!$F:$F,466)</f>
        <v>0</v>
      </c>
      <c r="K50" s="59">
        <f>COUNTIFS(Oct!$B:$B,2233,Oct!$F:$F,466)</f>
        <v>0</v>
      </c>
      <c r="L50" s="59">
        <f>COUNTIFS(Nov!$B:$B,2233,Nov!$F:$F,466)</f>
        <v>0</v>
      </c>
      <c r="M50" s="59">
        <v>0</v>
      </c>
    </row>
    <row r="51" spans="1:13" s="8" customFormat="1" ht="11.25" customHeight="1">
      <c r="A51" s="10" t="s">
        <v>27</v>
      </c>
      <c r="B51" s="59">
        <f>COUNTIFS(Jan!$B:$B,2233,Jan!$J:$J,25)</f>
        <v>0</v>
      </c>
      <c r="C51" s="59">
        <f>COUNTIFS(Feb!$B:$B,2233,Feb!$J:$J,25)</f>
        <v>0</v>
      </c>
      <c r="D51" s="59">
        <f>COUNTIFS(Mar!$B:$B,2233,Mar!$J:$J,25)</f>
        <v>0</v>
      </c>
      <c r="E51" s="59">
        <f>COUNTIFS(Apr!$B:$B,2233,Apr!$J:$J,25)</f>
        <v>0</v>
      </c>
      <c r="F51" s="59">
        <f>COUNTIFS(May!$B:$B,2233,May!$J:$J,25)</f>
        <v>0</v>
      </c>
      <c r="G51" s="59">
        <f>COUNTIFS(Jun!$B:$B,2233,Jun!$J:$J,25)</f>
        <v>0</v>
      </c>
      <c r="H51" s="59">
        <f>COUNTIFS(Jul!$B:$B,2233,Jul!$J:$J,25)</f>
        <v>0</v>
      </c>
      <c r="I51" s="59">
        <f>COUNTIFS(Aug!$B:$B,2233,Aug!$J:$J,25)</f>
        <v>0</v>
      </c>
      <c r="J51" s="59">
        <f>COUNTIFS(Sep!$B:$B,2233,Sep!$J:$J,25)</f>
        <v>0</v>
      </c>
      <c r="K51" s="59">
        <f>COUNTIFS(Oct!$B:$B,2233,Oct!$J:$J,25)</f>
        <v>0</v>
      </c>
      <c r="L51" s="59">
        <f>COUNTIFS(Nov!$B:$B,2233,Nov!$J:$J,25)</f>
        <v>0</v>
      </c>
      <c r="M51" s="59">
        <v>0</v>
      </c>
    </row>
    <row r="52" spans="1:13" s="8" customFormat="1" ht="11.25" customHeight="1" thickBot="1">
      <c r="A52" s="11" t="s">
        <v>16</v>
      </c>
      <c r="B52" s="60">
        <f>SUM(B34:B51)</f>
        <v>0</v>
      </c>
      <c r="C52" s="60">
        <f t="shared" ref="C52:M52" si="11">SUM(C34:C51)</f>
        <v>0</v>
      </c>
      <c r="D52" s="60">
        <f>SUM(D34:D51)</f>
        <v>0</v>
      </c>
      <c r="E52" s="60">
        <f>SUM(E34:E51)</f>
        <v>0</v>
      </c>
      <c r="F52" s="60">
        <f>SUM(F34:F51)</f>
        <v>0</v>
      </c>
      <c r="G52" s="60">
        <f>SUM(G34:G51)</f>
        <v>0</v>
      </c>
      <c r="H52" s="60">
        <f t="shared" si="11"/>
        <v>0</v>
      </c>
      <c r="I52" s="60">
        <f t="shared" si="11"/>
        <v>0</v>
      </c>
      <c r="J52" s="60">
        <f t="shared" si="11"/>
        <v>0</v>
      </c>
      <c r="K52" s="60">
        <f t="shared" si="11"/>
        <v>0</v>
      </c>
      <c r="L52" s="159">
        <f t="shared" si="11"/>
        <v>0</v>
      </c>
      <c r="M52" s="170">
        <f t="shared" si="11"/>
        <v>0</v>
      </c>
    </row>
    <row r="53" spans="1:13" ht="12" customHeight="1" thickBot="1">
      <c r="A53" s="55" t="s">
        <v>137</v>
      </c>
      <c r="B53" s="50">
        <v>41275</v>
      </c>
      <c r="C53" s="47">
        <v>41306</v>
      </c>
      <c r="D53" s="47">
        <v>41334</v>
      </c>
      <c r="E53" s="47">
        <v>41365</v>
      </c>
      <c r="F53" s="47">
        <v>41395</v>
      </c>
      <c r="G53" s="47">
        <v>41426</v>
      </c>
      <c r="H53" s="47">
        <v>41456</v>
      </c>
      <c r="I53" s="47">
        <v>41487</v>
      </c>
      <c r="J53" s="47">
        <v>41518</v>
      </c>
      <c r="K53" s="47">
        <v>41548</v>
      </c>
      <c r="L53" s="47">
        <v>41579</v>
      </c>
      <c r="M53" s="51">
        <v>41609</v>
      </c>
    </row>
    <row r="54" spans="1:13" s="8" customFormat="1" ht="11.25" customHeight="1">
      <c r="A54" s="10" t="s">
        <v>30</v>
      </c>
      <c r="B54" s="57">
        <f>COUNTIFS(Jan!$B:$B,2233,Jan!$J:$J,7)</f>
        <v>0</v>
      </c>
      <c r="C54" s="57">
        <f>COUNTIFS(Feb!$B:$B,2233,Feb!$J:$J,7)</f>
        <v>0</v>
      </c>
      <c r="D54" s="57">
        <f>COUNTIFS(Mar!$B:$B,2233,Mar!$J:$J,7)</f>
        <v>0</v>
      </c>
      <c r="E54" s="57">
        <f>COUNTIFS(Apr!$B:$B,2233,Apr!$J:$J,7)</f>
        <v>0</v>
      </c>
      <c r="F54" s="57">
        <f>COUNTIFS(May!$B:$B,2233,May!$J:$J,7)</f>
        <v>0</v>
      </c>
      <c r="G54" s="57">
        <f>COUNTIFS(Jun!$B:$B,2233,Jun!$J:$J,7)</f>
        <v>0</v>
      </c>
      <c r="H54" s="57">
        <f>COUNTIFS(Jul!$B:$B,2233,Jul!$J:$J,7)</f>
        <v>0</v>
      </c>
      <c r="I54" s="57">
        <f>COUNTIFS(Aug!$B:$B,2233,Aug!$J:$J,7)</f>
        <v>0</v>
      </c>
      <c r="J54" s="57">
        <f>COUNTIFS(Sep!$B:$B,2233,Sep!$J:$J,7)</f>
        <v>0</v>
      </c>
      <c r="K54" s="57">
        <f>COUNTIFS(Oct!$B:$B,2233,Oct!$J:$J,7)</f>
        <v>0</v>
      </c>
      <c r="L54" s="57">
        <f>COUNTIFS(Nov!$B:$B,2233,Nov!$J:$J,7)</f>
        <v>0</v>
      </c>
      <c r="M54" s="57">
        <v>0</v>
      </c>
    </row>
    <row r="55" spans="1:13" s="8" customFormat="1" ht="11.25" customHeight="1">
      <c r="A55" s="10" t="s">
        <v>29</v>
      </c>
      <c r="B55" s="59">
        <f>COUNTIFS(Jan!$B:$B,2233,Jan!$J:$J,8)</f>
        <v>0</v>
      </c>
      <c r="C55" s="59">
        <f>COUNTIFS(Feb!$B:$B,2233,Feb!$J:$J,8)</f>
        <v>0</v>
      </c>
      <c r="D55" s="59">
        <f>COUNTIFS(Mar!$B:$B,2233,Mar!$J:$J,8)</f>
        <v>0</v>
      </c>
      <c r="E55" s="59">
        <f>COUNTIFS(Apr!$B:$B,2233,Apr!$J:$J,8)</f>
        <v>0</v>
      </c>
      <c r="F55" s="59">
        <f>COUNTIFS(May!$B:$B,2233,May!$J:$J,8)</f>
        <v>0</v>
      </c>
      <c r="G55" s="59">
        <f>COUNTIFS(Jun!$B:$B,2233,Jun!$J:$J,8)</f>
        <v>0</v>
      </c>
      <c r="H55" s="59">
        <f>COUNTIFS(Jul!$B:$B,2233,Jul!$J:$J,8)</f>
        <v>0</v>
      </c>
      <c r="I55" s="59">
        <f>COUNTIFS(Aug!$B:$B,2233,Aug!$J:$J,8)</f>
        <v>0</v>
      </c>
      <c r="J55" s="59">
        <f>COUNTIFS(Sep!$B:$B,2233,Sep!$J:$J,8)</f>
        <v>0</v>
      </c>
      <c r="K55" s="59">
        <f>COUNTIFS(Oct!$B:$B,2233,Oct!$J:$J,8)</f>
        <v>0</v>
      </c>
      <c r="L55" s="59">
        <f>COUNTIFS(Nov!$B:$B,2233,Nov!$J:$J,8)</f>
        <v>0</v>
      </c>
      <c r="M55" s="59">
        <v>0</v>
      </c>
    </row>
    <row r="56" spans="1:13" s="8" customFormat="1" ht="11.25" customHeight="1">
      <c r="A56" s="10" t="s">
        <v>7</v>
      </c>
      <c r="B56" s="59">
        <f>COUNTIFS(Jan!$B:$B,2233,Jan!$J:$J,12)</f>
        <v>0</v>
      </c>
      <c r="C56" s="59">
        <f>COUNTIFS(Feb!$B:$B,2233,Feb!$J:$J,12)</f>
        <v>0</v>
      </c>
      <c r="D56" s="59">
        <f>COUNTIFS(Mar!$B:$B,2233,Mar!$J:$J,12)</f>
        <v>0</v>
      </c>
      <c r="E56" s="59">
        <f>COUNTIFS(Apr!$B:$B,2233,Apr!$J:$J,12)</f>
        <v>0</v>
      </c>
      <c r="F56" s="59">
        <f>COUNTIFS(May!$B:$B,2233,May!$J:$J,12)</f>
        <v>0</v>
      </c>
      <c r="G56" s="59">
        <f>COUNTIFS(Jun!$B:$B,2233,Jun!$J:$J,12)</f>
        <v>0</v>
      </c>
      <c r="H56" s="59">
        <f>COUNTIFS(Jul!$B:$B,2233,Jul!$J:$J,12)</f>
        <v>0</v>
      </c>
      <c r="I56" s="59">
        <f>COUNTIFS(Aug!$B:$B,2233,Aug!$J:$J,12)</f>
        <v>0</v>
      </c>
      <c r="J56" s="59">
        <f>COUNTIFS(Sep!$B:$B,2233,Sep!$J:$J,12)</f>
        <v>0</v>
      </c>
      <c r="K56" s="59">
        <f>COUNTIFS(Oct!$B:$B,2233,Oct!$J:$J,12)</f>
        <v>0</v>
      </c>
      <c r="L56" s="59">
        <f>COUNTIFS(Nov!$B:$B,2233,Nov!$J:$J,12)</f>
        <v>0</v>
      </c>
      <c r="M56" s="59">
        <v>0</v>
      </c>
    </row>
    <row r="57" spans="1:13" s="8" customFormat="1" ht="11.25" customHeight="1">
      <c r="A57" s="10" t="s">
        <v>10</v>
      </c>
      <c r="B57" s="59">
        <f>COUNTIFS(Jan!$B:$B,2233,Jan!$J:$J,5100)</f>
        <v>0</v>
      </c>
      <c r="C57" s="59">
        <f>COUNTIFS(Feb!$B:$B,2233,Feb!$J:$J,5100)</f>
        <v>0</v>
      </c>
      <c r="D57" s="59">
        <f>COUNTIFS(Mar!$B:$B,2233,Mar!$J:$J,5100)</f>
        <v>0</v>
      </c>
      <c r="E57" s="59">
        <f>COUNTIFS(Apr!$B:$B,2233,Apr!$J:$J,5100)</f>
        <v>0</v>
      </c>
      <c r="F57" s="59">
        <f>COUNTIFS(May!$B:$B,2233,May!$J:$J,5100)</f>
        <v>0</v>
      </c>
      <c r="G57" s="59">
        <f>COUNTIFS(Jun!$B:$B,2233,Jun!$J:$J,5100)</f>
        <v>0</v>
      </c>
      <c r="H57" s="59">
        <f>COUNTIFS(Jul!$B:$B,2233,Jul!$J:$J,5100)</f>
        <v>0</v>
      </c>
      <c r="I57" s="59">
        <f>COUNTIFS(Aug!$B:$B,2233,Aug!$J:$J,5100)</f>
        <v>0</v>
      </c>
      <c r="J57" s="59">
        <f>COUNTIFS(Sep!$B:$B,2233,Sep!$J:$J,5100)</f>
        <v>0</v>
      </c>
      <c r="K57" s="59">
        <f>COUNTIFS(Oct!$B:$B,2233,Oct!$J:$J,5100)</f>
        <v>0</v>
      </c>
      <c r="L57" s="59">
        <f>COUNTIFS(Nov!$B:$B,2233,Nov!$J:$J,5100)</f>
        <v>0</v>
      </c>
      <c r="M57" s="59">
        <v>0</v>
      </c>
    </row>
    <row r="58" spans="1:13" s="8" customFormat="1" ht="11.25" customHeight="1">
      <c r="A58" s="10" t="s">
        <v>36</v>
      </c>
      <c r="B58" s="59">
        <f>COUNTIFS(Jan!$B:$B,2233,Jan!$J:$J,6200)</f>
        <v>0</v>
      </c>
      <c r="C58" s="59">
        <f>COUNTIFS(Feb!$B:$B,2233,Feb!$J:$J,6200)</f>
        <v>0</v>
      </c>
      <c r="D58" s="59">
        <f>COUNTIFS(Mar!$B:$B,2233,Mar!$J:$J,6200)</f>
        <v>0</v>
      </c>
      <c r="E58" s="59">
        <f>COUNTIFS(Apr!$B:$B,2233,Apr!$J:$J,6200)</f>
        <v>0</v>
      </c>
      <c r="F58" s="59">
        <f>COUNTIFS(May!$B:$B,2233,May!$J:$J,6200)</f>
        <v>0</v>
      </c>
      <c r="G58" s="59">
        <f>COUNTIFS(Jun!$B:$B,2233,Jun!$J:$J,6200)</f>
        <v>0</v>
      </c>
      <c r="H58" s="59">
        <f>COUNTIFS(Jul!$B:$B,2233,Jul!$J:$J,6200)</f>
        <v>0</v>
      </c>
      <c r="I58" s="59">
        <f>COUNTIFS(Aug!$B:$B,2233,Aug!$J:$J,6200)</f>
        <v>0</v>
      </c>
      <c r="J58" s="59">
        <f>COUNTIFS(Sep!$B:$B,2233,Sep!$J:$J,6200)</f>
        <v>0</v>
      </c>
      <c r="K58" s="59">
        <f>COUNTIFS(Oct!$B:$B,2233,Oct!$J:$J,6200)</f>
        <v>0</v>
      </c>
      <c r="L58" s="59">
        <f>COUNTIFS(Nov!$B:$B,2233,Nov!$J:$J,6200)</f>
        <v>0</v>
      </c>
      <c r="M58" s="59">
        <v>0</v>
      </c>
    </row>
    <row r="59" spans="1:13" s="8" customFormat="1" ht="11.25" customHeight="1">
      <c r="A59" s="10" t="s">
        <v>145</v>
      </c>
      <c r="B59" s="59">
        <f>COUNTIFS(Jan!$B:$B,2233,Jan!$J:$J,28)</f>
        <v>0</v>
      </c>
      <c r="C59" s="59">
        <f>COUNTIFS(Feb!$B:$B,2233,Feb!$J:$J,28)</f>
        <v>0</v>
      </c>
      <c r="D59" s="59">
        <f>COUNTIFS(Mar!$B:$B,2233,Mar!$J:$J,28)</f>
        <v>0</v>
      </c>
      <c r="E59" s="59">
        <f>COUNTIFS(Apr!$B:$B,2233,Apr!$J:$J,28)</f>
        <v>0</v>
      </c>
      <c r="F59" s="59">
        <f>COUNTIFS(May!$B:$B,2233,May!$J:$J,28)</f>
        <v>0</v>
      </c>
      <c r="G59" s="59">
        <f>COUNTIFS(Jun!$B:$B,2233,Jun!$J:$J,28)</f>
        <v>0</v>
      </c>
      <c r="H59" s="59">
        <f>COUNTIFS(Jul!$B:$B,2233,Jul!$J:$J,28)</f>
        <v>0</v>
      </c>
      <c r="I59" s="59">
        <f>COUNTIFS(Aug!$B:$B,2233,Aug!$J:$J,28)</f>
        <v>0</v>
      </c>
      <c r="J59" s="59">
        <f>COUNTIFS(Sep!$B:$B,2233,Sep!$J:$J,28)</f>
        <v>0</v>
      </c>
      <c r="K59" s="59">
        <f>COUNTIFS(Oct!$B:$B,2233,Oct!$J:$J,28)</f>
        <v>0</v>
      </c>
      <c r="L59" s="59">
        <f>COUNTIFS(Nov!$B:$B,2233,Nov!$J:$J,28)</f>
        <v>0</v>
      </c>
      <c r="M59" s="59">
        <v>0</v>
      </c>
    </row>
    <row r="60" spans="1:13" s="8" customFormat="1" ht="11.25" customHeight="1">
      <c r="A60" s="10" t="s">
        <v>38</v>
      </c>
      <c r="B60" s="59">
        <f>COUNTIFS(Jan!$B:$B,2233,Jan!$J:$J,6100)</f>
        <v>0</v>
      </c>
      <c r="C60" s="59">
        <f>COUNTIFS(Feb!$B:$B,2233,Feb!$J:$J,6100)</f>
        <v>0</v>
      </c>
      <c r="D60" s="59">
        <f>COUNTIFS(Mar!$B:$B,2233,Mar!$J:$J,6100)</f>
        <v>0</v>
      </c>
      <c r="E60" s="59">
        <f>COUNTIFS(Apr!$B:$B,2233,Apr!$J:$J,6100)</f>
        <v>0</v>
      </c>
      <c r="F60" s="59">
        <f>COUNTIFS(May!$B:$B,2233,May!$J:$J,6100)</f>
        <v>0</v>
      </c>
      <c r="G60" s="59">
        <f>COUNTIFS(Jun!$B:$B,2233,Jun!$J:$J,6100)</f>
        <v>0</v>
      </c>
      <c r="H60" s="59">
        <f>COUNTIFS(Jul!$B:$B,2233,Jul!$J:$J,6100)</f>
        <v>0</v>
      </c>
      <c r="I60" s="59">
        <f>COUNTIFS(Aug!$B:$B,2233,Aug!$J:$J,6100)</f>
        <v>0</v>
      </c>
      <c r="J60" s="59">
        <f>COUNTIFS(Sep!$B:$B,2233,Sep!$J:$J,6100)</f>
        <v>0</v>
      </c>
      <c r="K60" s="59">
        <f>COUNTIFS(Oct!$B:$B,2233,Oct!$J:$J,6100)</f>
        <v>0</v>
      </c>
      <c r="L60" s="59">
        <f>COUNTIFS(Nov!$B:$B,2233,Nov!$J:$J,6100)</f>
        <v>0</v>
      </c>
      <c r="M60" s="59">
        <v>0</v>
      </c>
    </row>
    <row r="61" spans="1:13" s="8" customFormat="1" ht="11.25" customHeight="1">
      <c r="A61" s="10" t="s">
        <v>9</v>
      </c>
      <c r="B61" s="59">
        <f>COUNTIFS(Jan!$B:$B,2233,Jan!$J:$J,6)</f>
        <v>0</v>
      </c>
      <c r="C61" s="59">
        <f>COUNTIFS(Feb!$B:$B,2233,Feb!$J:$J,6)</f>
        <v>0</v>
      </c>
      <c r="D61" s="59">
        <f>COUNTIFS(Mar!$B:$B,2233,Mar!$J:$J,6)</f>
        <v>0</v>
      </c>
      <c r="E61" s="59">
        <f>COUNTIFS(Apr!$B:$B,2233,Apr!$J:$J,6)</f>
        <v>0</v>
      </c>
      <c r="F61" s="59">
        <f>COUNTIFS(May!$B:$B,2233,May!$J:$J,6)</f>
        <v>0</v>
      </c>
      <c r="G61" s="59">
        <f>COUNTIFS(Jun!$B:$B,2233,Jun!$J:$J,6)</f>
        <v>0</v>
      </c>
      <c r="H61" s="59">
        <f>COUNTIFS(Jul!$B:$B,2233,Jul!$J:$J,6)</f>
        <v>0</v>
      </c>
      <c r="I61" s="59">
        <f>COUNTIFS(Aug!$B:$B,2233,Aug!$J:$J,6)</f>
        <v>0</v>
      </c>
      <c r="J61" s="59">
        <f>COUNTIFS(Sep!$B:$B,2233,Sep!$J:$J,6)</f>
        <v>0</v>
      </c>
      <c r="K61" s="59">
        <f>COUNTIFS(Oct!$B:$B,2233,Oct!$J:$J,6)</f>
        <v>0</v>
      </c>
      <c r="L61" s="59">
        <f>COUNTIFS(Nov!$B:$B,2233,Nov!$J:$J,6)</f>
        <v>0</v>
      </c>
      <c r="M61" s="59">
        <v>0</v>
      </c>
    </row>
    <row r="62" spans="1:13" s="8" customFormat="1" ht="11.25" customHeight="1">
      <c r="A62" s="10" t="s">
        <v>8</v>
      </c>
      <c r="B62" s="59">
        <f>COUNTIFS(Jan!$B:$B,2233,Jan!$J:$J,4)</f>
        <v>0</v>
      </c>
      <c r="C62" s="59">
        <f>COUNTIFS(Feb!$B:$B,2233,Feb!$J:$J,4)</f>
        <v>0</v>
      </c>
      <c r="D62" s="59">
        <f>COUNTIFS(Mar!$B:$B,2233,Mar!$J:$J,4)</f>
        <v>0</v>
      </c>
      <c r="E62" s="59">
        <f>COUNTIFS(Apr!$B:$B,2233,Apr!$J:$J,4)</f>
        <v>0</v>
      </c>
      <c r="F62" s="59">
        <f>COUNTIFS(May!$B:$B,2233,May!$J:$J,4)</f>
        <v>0</v>
      </c>
      <c r="G62" s="59">
        <f>COUNTIFS(Jun!$B:$B,2233,Jun!$J:$J,4)</f>
        <v>0</v>
      </c>
      <c r="H62" s="59">
        <f>COUNTIFS(Jul!$B:$B,2233,Jul!$J:$J,4)</f>
        <v>0</v>
      </c>
      <c r="I62" s="59">
        <f>COUNTIFS(Aug!$B:$B,2233,Aug!$J:$J,4)</f>
        <v>0</v>
      </c>
      <c r="J62" s="59">
        <f>COUNTIFS(Sep!$B:$B,2233,Sep!$J:$J,4)</f>
        <v>0</v>
      </c>
      <c r="K62" s="59">
        <f>COUNTIFS(Oct!$B:$B,2233,Oct!$J:$J,4)</f>
        <v>0</v>
      </c>
      <c r="L62" s="59">
        <f>COUNTIFS(Nov!$B:$B,2233,Nov!$J:$J,4)</f>
        <v>0</v>
      </c>
      <c r="M62" s="59">
        <v>0</v>
      </c>
    </row>
    <row r="63" spans="1:13" s="8" customFormat="1" ht="11.25" customHeight="1">
      <c r="A63" s="10" t="s">
        <v>6</v>
      </c>
      <c r="B63" s="59">
        <f>COUNTIFS(Jan!$B:$B,2233,Jan!$J:$J,5)</f>
        <v>0</v>
      </c>
      <c r="C63" s="59">
        <f>COUNTIFS(Feb!$B:$B,2233,Feb!$J:$J,5)</f>
        <v>0</v>
      </c>
      <c r="D63" s="59">
        <f>COUNTIFS(Mar!$B:$B,2233,Mar!$J:$J,5)</f>
        <v>0</v>
      </c>
      <c r="E63" s="59">
        <f>COUNTIFS(Apr!$B:$B,2233,Apr!$J:$J,5)</f>
        <v>0</v>
      </c>
      <c r="F63" s="59">
        <f>COUNTIFS(May!$B:$B,2233,May!$J:$J,5)</f>
        <v>0</v>
      </c>
      <c r="G63" s="59">
        <f>COUNTIFS(Jun!$B:$B,2233,Jun!$J:$J,5)</f>
        <v>0</v>
      </c>
      <c r="H63" s="59">
        <f>COUNTIFS(Jul!$B:$B,2233,Jul!$J:$J,5)</f>
        <v>0</v>
      </c>
      <c r="I63" s="59">
        <f>COUNTIFS(Aug!$B:$B,2233,Aug!$J:$J,5)</f>
        <v>0</v>
      </c>
      <c r="J63" s="59">
        <f>COUNTIFS(Sep!$B:$B,2233,Sep!$J:$J,5)</f>
        <v>0</v>
      </c>
      <c r="K63" s="59">
        <f>COUNTIFS(Oct!$B:$B,2233,Oct!$J:$J,5)</f>
        <v>0</v>
      </c>
      <c r="L63" s="59">
        <f>COUNTIFS(Nov!$B:$B,2233,Nov!$J:$J,5)</f>
        <v>0</v>
      </c>
      <c r="M63" s="59">
        <v>0</v>
      </c>
    </row>
    <row r="64" spans="1:13" s="8" customFormat="1" ht="11.25" customHeight="1">
      <c r="A64" s="52" t="s">
        <v>141</v>
      </c>
      <c r="B64" s="69">
        <f>COUNTIFS(Jan!$B:$B,2233,Jan!$F:$F,456)</f>
        <v>0</v>
      </c>
      <c r="C64" s="69">
        <f>COUNTIFS(Feb!$B:$B,2233,Feb!$F:$F,456)</f>
        <v>0</v>
      </c>
      <c r="D64" s="69">
        <f>COUNTIFS(Mar!$B:$B,2233,Mar!$F:$F,456)</f>
        <v>0</v>
      </c>
      <c r="E64" s="69">
        <f>COUNTIFS(Apr!$B:$B,2233,Apr!$F:$F,456)</f>
        <v>0</v>
      </c>
      <c r="F64" s="69">
        <f>COUNTIFS(May!$B:$B,2233,May!$F:$F,456)</f>
        <v>0</v>
      </c>
      <c r="G64" s="69">
        <f>COUNTIFS(Jun!$B:$B,2233,Jun!$F:$F,456)</f>
        <v>0</v>
      </c>
      <c r="H64" s="69">
        <f>COUNTIFS(Jul!$B:$B,2233,Jul!$F:$F,456)</f>
        <v>0</v>
      </c>
      <c r="I64" s="69">
        <f>COUNTIFS(Aug!$B:$B,2233,Aug!$F:$F,456)</f>
        <v>0</v>
      </c>
      <c r="J64" s="69">
        <f>COUNTIFS(Sep!$B:$B,2233,Sep!$F:$F,456)</f>
        <v>0</v>
      </c>
      <c r="K64" s="69">
        <f>COUNTIFS(Oct!$B:$B,2233,Oct!$F:$F,456)</f>
        <v>0</v>
      </c>
      <c r="L64" s="69">
        <f>COUNTIFS(Nov!$B:$B,2233,Nov!$F:$F,456)</f>
        <v>0</v>
      </c>
      <c r="M64" s="69">
        <v>0</v>
      </c>
    </row>
    <row r="65" spans="1:13" s="8" customFormat="1" ht="11.25" customHeight="1" thickBot="1">
      <c r="A65" s="12" t="s">
        <v>16</v>
      </c>
      <c r="B65" s="70">
        <f>SUM(B54:B64)</f>
        <v>0</v>
      </c>
      <c r="C65" s="70">
        <f t="shared" ref="C65:M65" si="12">SUM(C54:C64)</f>
        <v>0</v>
      </c>
      <c r="D65" s="70">
        <f t="shared" si="12"/>
        <v>0</v>
      </c>
      <c r="E65" s="70">
        <f t="shared" si="12"/>
        <v>0</v>
      </c>
      <c r="F65" s="70">
        <f t="shared" si="12"/>
        <v>0</v>
      </c>
      <c r="G65" s="70">
        <f t="shared" si="12"/>
        <v>0</v>
      </c>
      <c r="H65" s="70">
        <f t="shared" si="12"/>
        <v>0</v>
      </c>
      <c r="I65" s="70">
        <f t="shared" si="12"/>
        <v>0</v>
      </c>
      <c r="J65" s="70">
        <f t="shared" si="12"/>
        <v>0</v>
      </c>
      <c r="K65" s="70">
        <f t="shared" si="12"/>
        <v>0</v>
      </c>
      <c r="L65" s="165">
        <f t="shared" si="12"/>
        <v>0</v>
      </c>
      <c r="M65" s="170">
        <f t="shared" si="12"/>
        <v>0</v>
      </c>
    </row>
    <row r="66" spans="1:13" s="8" customFormat="1" ht="15.75" customHeight="1">
      <c r="A66" s="6"/>
      <c r="B66" s="7"/>
      <c r="C66" s="7"/>
      <c r="D66" s="7"/>
      <c r="E66" s="7"/>
      <c r="F66" s="7"/>
      <c r="G66" s="7"/>
      <c r="H66" s="7"/>
      <c r="I66" s="7"/>
      <c r="J66" s="7"/>
      <c r="K66" s="7"/>
      <c r="L66" s="7"/>
      <c r="M66" s="7"/>
    </row>
    <row r="67" spans="1:13" ht="12" customHeight="1">
      <c r="A67" s="6"/>
      <c r="B67" s="7"/>
      <c r="C67" s="7"/>
      <c r="D67" s="7"/>
      <c r="E67" s="7"/>
      <c r="F67" s="7"/>
      <c r="G67" s="7"/>
      <c r="H67" s="7"/>
      <c r="I67" s="7"/>
      <c r="J67" s="7"/>
      <c r="K67" s="7"/>
      <c r="L67" s="7"/>
      <c r="M67" s="7"/>
    </row>
  </sheetData>
  <phoneticPr fontId="0" type="noConversion"/>
  <printOptions horizontalCentered="1" verticalCentered="1"/>
  <pageMargins left="0.14000000000000001" right="0.16" top="0.25" bottom="0.5" header="0.5" footer="0.25"/>
  <pageSetup scale="95" firstPageNumber="3" orientation="portrait" useFirstPageNumber="1" r:id="rId1"/>
  <headerFooter alignWithMargins="0">
    <oddFooter>&amp;R40 of 51</oddFooter>
  </headerFooter>
  <ignoredErrors>
    <ignoredError sqref="M52 M65" formulaRange="1"/>
  </ignoredErrors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67"/>
  <sheetViews>
    <sheetView view="pageBreakPreview" zoomScale="90" zoomScaleNormal="100" zoomScaleSheetLayoutView="90" workbookViewId="0">
      <selection activeCell="M65" sqref="M65"/>
    </sheetView>
  </sheetViews>
  <sheetFormatPr defaultRowHeight="12.75"/>
  <cols>
    <col min="1" max="1" width="22.85546875" style="1" customWidth="1"/>
    <col min="2" max="13" width="7.140625" style="1" customWidth="1"/>
    <col min="14" max="14" width="4.42578125" style="1" customWidth="1"/>
    <col min="15" max="16384" width="9.140625" style="1"/>
  </cols>
  <sheetData>
    <row r="1" spans="1:21" ht="18" customHeight="1">
      <c r="A1" s="130"/>
      <c r="B1" s="131"/>
      <c r="C1" s="131"/>
      <c r="D1" s="131"/>
      <c r="E1" s="131"/>
      <c r="F1" s="131"/>
      <c r="G1" s="130"/>
      <c r="H1" s="130"/>
      <c r="I1" s="131"/>
      <c r="J1" s="131"/>
      <c r="K1" s="131"/>
      <c r="L1" s="130"/>
      <c r="M1" s="143" t="s">
        <v>22</v>
      </c>
    </row>
    <row r="2" spans="1:21" ht="18" customHeight="1">
      <c r="A2" s="130"/>
      <c r="B2" s="135"/>
      <c r="C2" s="135"/>
      <c r="D2" s="135"/>
      <c r="E2" s="135"/>
      <c r="F2" s="135"/>
      <c r="G2" s="130"/>
      <c r="H2" s="130"/>
      <c r="I2" s="135"/>
      <c r="J2" s="135"/>
      <c r="K2" s="135"/>
      <c r="L2" s="130"/>
      <c r="M2" s="155" t="s">
        <v>13</v>
      </c>
    </row>
    <row r="3" spans="1:21" s="5" customFormat="1" ht="18" customHeight="1">
      <c r="A3" s="133"/>
      <c r="B3" s="133"/>
      <c r="C3" s="133"/>
      <c r="D3" s="133"/>
      <c r="E3" s="133"/>
      <c r="F3" s="133"/>
      <c r="G3" s="133"/>
      <c r="H3" s="133"/>
      <c r="I3" s="133"/>
      <c r="J3" s="136"/>
      <c r="K3" s="136"/>
      <c r="L3" s="133"/>
      <c r="M3" s="155" t="s">
        <v>81</v>
      </c>
      <c r="N3" s="134"/>
      <c r="O3" s="134"/>
      <c r="P3" s="134"/>
      <c r="Q3" s="134"/>
      <c r="R3" s="134"/>
      <c r="S3" s="134"/>
      <c r="T3" s="134"/>
      <c r="U3" s="134"/>
    </row>
    <row r="4" spans="1:21" s="8" customFormat="1" ht="6.75" customHeight="1" thickBot="1">
      <c r="A4" s="38"/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</row>
    <row r="5" spans="1:21" s="8" customFormat="1" ht="11.25" customHeight="1" thickBot="1">
      <c r="A5" s="53" t="s">
        <v>19</v>
      </c>
      <c r="B5" s="50">
        <v>41275</v>
      </c>
      <c r="C5" s="47">
        <v>41306</v>
      </c>
      <c r="D5" s="47">
        <v>41334</v>
      </c>
      <c r="E5" s="47">
        <v>41365</v>
      </c>
      <c r="F5" s="47">
        <v>41395</v>
      </c>
      <c r="G5" s="47">
        <v>41426</v>
      </c>
      <c r="H5" s="47">
        <v>41456</v>
      </c>
      <c r="I5" s="47">
        <v>41487</v>
      </c>
      <c r="J5" s="47">
        <v>41518</v>
      </c>
      <c r="K5" s="47">
        <v>41548</v>
      </c>
      <c r="L5" s="47">
        <v>41579</v>
      </c>
      <c r="M5" s="51">
        <v>41609</v>
      </c>
    </row>
    <row r="6" spans="1:21" s="8" customFormat="1" ht="11.25" customHeight="1">
      <c r="A6" s="41" t="s">
        <v>129</v>
      </c>
      <c r="B6" s="57">
        <f t="shared" ref="B6:M6" si="0">B32</f>
        <v>14</v>
      </c>
      <c r="C6" s="57">
        <f t="shared" si="0"/>
        <v>25</v>
      </c>
      <c r="D6" s="57">
        <f t="shared" si="0"/>
        <v>17</v>
      </c>
      <c r="E6" s="57">
        <f t="shared" si="0"/>
        <v>21</v>
      </c>
      <c r="F6" s="57">
        <f t="shared" si="0"/>
        <v>8</v>
      </c>
      <c r="G6" s="57">
        <f t="shared" si="0"/>
        <v>5</v>
      </c>
      <c r="H6" s="57">
        <f t="shared" si="0"/>
        <v>16</v>
      </c>
      <c r="I6" s="57">
        <f t="shared" si="0"/>
        <v>6</v>
      </c>
      <c r="J6" s="57">
        <f t="shared" si="0"/>
        <v>6</v>
      </c>
      <c r="K6" s="57">
        <f t="shared" si="0"/>
        <v>2</v>
      </c>
      <c r="L6" s="156">
        <f t="shared" si="0"/>
        <v>7</v>
      </c>
      <c r="M6" s="168">
        <f t="shared" si="0"/>
        <v>7</v>
      </c>
    </row>
    <row r="7" spans="1:21" s="8" customFormat="1" ht="11.25" customHeight="1">
      <c r="A7" s="42" t="s">
        <v>18</v>
      </c>
      <c r="B7" s="57">
        <f t="shared" ref="B7:M7" si="1">SUM(B10:B12)</f>
        <v>22</v>
      </c>
      <c r="C7" s="57">
        <f t="shared" si="1"/>
        <v>34</v>
      </c>
      <c r="D7" s="57">
        <f t="shared" si="1"/>
        <v>26</v>
      </c>
      <c r="E7" s="57">
        <f t="shared" si="1"/>
        <v>25</v>
      </c>
      <c r="F7" s="57">
        <f t="shared" si="1"/>
        <v>22</v>
      </c>
      <c r="G7" s="57">
        <f t="shared" si="1"/>
        <v>35</v>
      </c>
      <c r="H7" s="57">
        <f t="shared" si="1"/>
        <v>25</v>
      </c>
      <c r="I7" s="57">
        <f t="shared" si="1"/>
        <v>31</v>
      </c>
      <c r="J7" s="57">
        <f t="shared" si="1"/>
        <v>31</v>
      </c>
      <c r="K7" s="57">
        <f t="shared" si="1"/>
        <v>22</v>
      </c>
      <c r="L7" s="156">
        <f t="shared" si="1"/>
        <v>28</v>
      </c>
      <c r="M7" s="171">
        <f t="shared" si="1"/>
        <v>25</v>
      </c>
    </row>
    <row r="8" spans="1:21" s="8" customFormat="1" ht="11.25" customHeight="1" thickBot="1">
      <c r="A8" s="43" t="s">
        <v>14</v>
      </c>
      <c r="B8" s="58">
        <f t="shared" ref="B8:M8" si="2">SUM(B6:B7)</f>
        <v>36</v>
      </c>
      <c r="C8" s="58">
        <f t="shared" si="2"/>
        <v>59</v>
      </c>
      <c r="D8" s="58">
        <f t="shared" si="2"/>
        <v>43</v>
      </c>
      <c r="E8" s="58">
        <f t="shared" si="2"/>
        <v>46</v>
      </c>
      <c r="F8" s="58">
        <f t="shared" si="2"/>
        <v>30</v>
      </c>
      <c r="G8" s="58">
        <f t="shared" si="2"/>
        <v>40</v>
      </c>
      <c r="H8" s="58">
        <f t="shared" si="2"/>
        <v>41</v>
      </c>
      <c r="I8" s="58">
        <f t="shared" si="2"/>
        <v>37</v>
      </c>
      <c r="J8" s="58">
        <f t="shared" si="2"/>
        <v>37</v>
      </c>
      <c r="K8" s="58">
        <f t="shared" si="2"/>
        <v>24</v>
      </c>
      <c r="L8" s="157">
        <f t="shared" si="2"/>
        <v>35</v>
      </c>
      <c r="M8" s="172">
        <f t="shared" si="2"/>
        <v>32</v>
      </c>
    </row>
    <row r="9" spans="1:21" s="8" customFormat="1" ht="11.25" customHeight="1" thickBot="1">
      <c r="A9" s="54" t="s">
        <v>18</v>
      </c>
      <c r="B9" s="50">
        <v>41275</v>
      </c>
      <c r="C9" s="47">
        <v>41306</v>
      </c>
      <c r="D9" s="47">
        <v>41334</v>
      </c>
      <c r="E9" s="47">
        <v>41365</v>
      </c>
      <c r="F9" s="47">
        <v>41395</v>
      </c>
      <c r="G9" s="47">
        <v>41426</v>
      </c>
      <c r="H9" s="47">
        <v>41456</v>
      </c>
      <c r="I9" s="47">
        <v>41487</v>
      </c>
      <c r="J9" s="47">
        <v>41518</v>
      </c>
      <c r="K9" s="47">
        <v>41548</v>
      </c>
      <c r="L9" s="47">
        <v>41579</v>
      </c>
      <c r="M9" s="51">
        <v>41609</v>
      </c>
    </row>
    <row r="10" spans="1:21" s="8" customFormat="1" ht="11.25" customHeight="1">
      <c r="A10" s="9" t="s">
        <v>128</v>
      </c>
      <c r="B10" s="57">
        <f t="shared" ref="B10:M10" si="3">B52</f>
        <v>12</v>
      </c>
      <c r="C10" s="57">
        <f t="shared" si="3"/>
        <v>26</v>
      </c>
      <c r="D10" s="57">
        <f t="shared" si="3"/>
        <v>17</v>
      </c>
      <c r="E10" s="57">
        <f t="shared" si="3"/>
        <v>20</v>
      </c>
      <c r="F10" s="57">
        <f t="shared" si="3"/>
        <v>13</v>
      </c>
      <c r="G10" s="59">
        <f t="shared" si="3"/>
        <v>22</v>
      </c>
      <c r="H10" s="59">
        <f t="shared" si="3"/>
        <v>16</v>
      </c>
      <c r="I10" s="59">
        <f t="shared" si="3"/>
        <v>23</v>
      </c>
      <c r="J10" s="59">
        <f t="shared" si="3"/>
        <v>22</v>
      </c>
      <c r="K10" s="59">
        <f t="shared" si="3"/>
        <v>12</v>
      </c>
      <c r="L10" s="158">
        <f t="shared" si="3"/>
        <v>15</v>
      </c>
      <c r="M10" s="168">
        <f t="shared" si="3"/>
        <v>18</v>
      </c>
    </row>
    <row r="11" spans="1:21" s="8" customFormat="1" ht="11.25" customHeight="1">
      <c r="A11" s="9" t="s">
        <v>127</v>
      </c>
      <c r="B11" s="59">
        <f t="shared" ref="B11:M11" si="4">B65</f>
        <v>1</v>
      </c>
      <c r="C11" s="59">
        <f t="shared" si="4"/>
        <v>0</v>
      </c>
      <c r="D11" s="59">
        <f t="shared" si="4"/>
        <v>2</v>
      </c>
      <c r="E11" s="59">
        <f t="shared" si="4"/>
        <v>2</v>
      </c>
      <c r="F11" s="59">
        <f t="shared" si="4"/>
        <v>1</v>
      </c>
      <c r="G11" s="59">
        <f t="shared" si="4"/>
        <v>0</v>
      </c>
      <c r="H11" s="59">
        <f t="shared" si="4"/>
        <v>5</v>
      </c>
      <c r="I11" s="59">
        <f t="shared" si="4"/>
        <v>0</v>
      </c>
      <c r="J11" s="59">
        <f t="shared" si="4"/>
        <v>2</v>
      </c>
      <c r="K11" s="59">
        <f t="shared" si="4"/>
        <v>2</v>
      </c>
      <c r="L11" s="158">
        <f t="shared" si="4"/>
        <v>5</v>
      </c>
      <c r="M11" s="169">
        <f t="shared" si="4"/>
        <v>0</v>
      </c>
    </row>
    <row r="12" spans="1:21" s="8" customFormat="1" ht="11.25" customHeight="1" thickBot="1">
      <c r="A12" s="2" t="s">
        <v>12</v>
      </c>
      <c r="B12" s="60">
        <f>COUNTIFS(Jan!$B:$B,2234,Jan!$F:$F,800)</f>
        <v>9</v>
      </c>
      <c r="C12" s="60">
        <v>8</v>
      </c>
      <c r="D12" s="60">
        <v>7</v>
      </c>
      <c r="E12" s="60">
        <v>3</v>
      </c>
      <c r="F12" s="60">
        <v>8</v>
      </c>
      <c r="G12" s="60">
        <v>13</v>
      </c>
      <c r="H12" s="60">
        <v>4</v>
      </c>
      <c r="I12" s="60">
        <v>8</v>
      </c>
      <c r="J12" s="60">
        <v>7</v>
      </c>
      <c r="K12" s="60">
        <v>8</v>
      </c>
      <c r="L12" s="60">
        <v>8</v>
      </c>
      <c r="M12" s="60">
        <v>7</v>
      </c>
    </row>
    <row r="13" spans="1:21" s="8" customFormat="1" ht="5.0999999999999996" customHeight="1" thickBot="1">
      <c r="A13" s="3"/>
      <c r="B13" s="17"/>
      <c r="C13" s="17"/>
      <c r="D13" s="17"/>
      <c r="E13" s="17"/>
      <c r="F13" s="17"/>
      <c r="G13" s="17"/>
      <c r="H13" s="17"/>
      <c r="I13" s="17"/>
      <c r="J13" s="17"/>
      <c r="K13" s="17"/>
      <c r="L13" s="17"/>
      <c r="M13" s="147"/>
    </row>
    <row r="14" spans="1:21" s="16" customFormat="1" ht="11.25" customHeight="1">
      <c r="A14" s="44" t="s">
        <v>131</v>
      </c>
      <c r="B14" s="120">
        <v>8245</v>
      </c>
      <c r="C14" s="120">
        <v>11659</v>
      </c>
      <c r="D14" s="120">
        <v>10470</v>
      </c>
      <c r="E14" s="120">
        <v>9873</v>
      </c>
      <c r="F14" s="120">
        <v>7659</v>
      </c>
      <c r="G14" s="120">
        <v>12383</v>
      </c>
      <c r="H14" s="119">
        <v>15313</v>
      </c>
      <c r="I14" s="61">
        <v>10467</v>
      </c>
      <c r="J14" s="61">
        <v>12715</v>
      </c>
      <c r="K14" s="118">
        <v>12462</v>
      </c>
      <c r="L14" s="160">
        <v>10117</v>
      </c>
      <c r="M14" s="173">
        <v>9600</v>
      </c>
      <c r="O14" s="22"/>
      <c r="P14" s="22"/>
      <c r="Q14" s="22"/>
    </row>
    <row r="15" spans="1:21" s="8" customFormat="1" ht="11.25" customHeight="1">
      <c r="A15" s="45" t="s">
        <v>132</v>
      </c>
      <c r="B15" s="62">
        <f>IFERROR((SUMIFS(Jan!$N:$N,Jan!$J:$J,1,Jan!$B:$B,2234)+SUMIFS(Jan!$N:$N,Jan!$D:$D,"&gt;1",Jan!$B:$B,2234))/(COUNTIFS(Jan!$J:$J,1,Jan!$B:$B,2234)+COUNTIFS(Jan!$D:$D,"&gt;1",Jan!$B:$B,2234)),"")</f>
        <v>36</v>
      </c>
      <c r="C15" s="62">
        <v>31.21</v>
      </c>
      <c r="D15" s="62">
        <v>27.94</v>
      </c>
      <c r="E15" s="62">
        <v>30.42</v>
      </c>
      <c r="F15" s="62">
        <v>29.22</v>
      </c>
      <c r="G15" s="62">
        <v>33.26</v>
      </c>
      <c r="H15" s="62">
        <v>31.84</v>
      </c>
      <c r="I15" s="62">
        <v>28.77</v>
      </c>
      <c r="J15" s="62">
        <v>29.59</v>
      </c>
      <c r="K15" s="62">
        <v>31.33</v>
      </c>
      <c r="L15" s="62">
        <v>31.09</v>
      </c>
      <c r="M15" s="62">
        <v>29.27</v>
      </c>
      <c r="N15" s="15"/>
      <c r="O15" s="1"/>
      <c r="P15" s="1"/>
      <c r="Q15" s="1"/>
    </row>
    <row r="16" spans="1:21" s="8" customFormat="1" ht="11.25" customHeight="1">
      <c r="A16" s="45" t="s">
        <v>133</v>
      </c>
      <c r="B16" s="62">
        <f>IFERROR(AVERAGEIFS(Jan!$N:$N,Jan!$F:$F,800,Jan!$B:$B,2234),"")</f>
        <v>36.666666666666664</v>
      </c>
      <c r="C16" s="62">
        <v>36.75</v>
      </c>
      <c r="D16" s="62">
        <v>35.5</v>
      </c>
      <c r="E16" s="62">
        <v>32.67</v>
      </c>
      <c r="F16" s="62">
        <v>33.25</v>
      </c>
      <c r="G16" s="62">
        <v>36.57</v>
      </c>
      <c r="H16" s="62">
        <v>42</v>
      </c>
      <c r="I16" s="62">
        <v>30.75</v>
      </c>
      <c r="J16" s="62">
        <v>29.71</v>
      </c>
      <c r="K16" s="62">
        <v>33</v>
      </c>
      <c r="L16" s="62">
        <v>31.56</v>
      </c>
      <c r="M16" s="62">
        <v>34.57</v>
      </c>
      <c r="O16" s="1"/>
      <c r="P16" s="1"/>
      <c r="Q16" s="1"/>
    </row>
    <row r="17" spans="1:17" s="8" customFormat="1" ht="11.25" customHeight="1">
      <c r="A17" s="45" t="s">
        <v>134</v>
      </c>
      <c r="B17" s="63">
        <f>IFERROR((SUMIFS(Jan!$M:$M,Jan!$J:$J,1,Jan!$B:$B,2234)+SUMIFS(Jan!$M:$M,Jan!$D:$D,"&gt;1",Jan!$B:$B,2234))/(COUNTIFS(Jan!$J:$J,1,Jan!$B:$B,2234)+COUNTIFS(Jan!$D:$D,"&gt;1",Jan!$B:$B,2234)),"")</f>
        <v>0.67</v>
      </c>
      <c r="C17" s="63">
        <v>3.88</v>
      </c>
      <c r="D17" s="63">
        <v>2.94</v>
      </c>
      <c r="E17" s="63">
        <v>6.83</v>
      </c>
      <c r="F17" s="63">
        <v>1.59</v>
      </c>
      <c r="G17" s="63">
        <v>2.14</v>
      </c>
      <c r="H17" s="63">
        <v>2.29</v>
      </c>
      <c r="I17" s="63">
        <v>2.6</v>
      </c>
      <c r="J17" s="63">
        <v>1.99</v>
      </c>
      <c r="K17" s="63">
        <v>3.21</v>
      </c>
      <c r="L17" s="63">
        <v>1.96</v>
      </c>
      <c r="M17" s="63">
        <v>2.9</v>
      </c>
      <c r="O17" s="1"/>
      <c r="P17" s="1"/>
      <c r="Q17" s="1"/>
    </row>
    <row r="18" spans="1:17" s="8" customFormat="1" ht="11.25" customHeight="1" thickBot="1">
      <c r="A18" s="43" t="s">
        <v>135</v>
      </c>
      <c r="B18" s="64">
        <f>IFERROR(AVERAGEIFS(Jan!$M:$M,Jan!$F:$F,800,Jan!$B:$B,2234),"")</f>
        <v>0.68888888888888888</v>
      </c>
      <c r="C18" s="64">
        <v>2.11</v>
      </c>
      <c r="D18" s="64">
        <v>0.48</v>
      </c>
      <c r="E18" s="64">
        <v>16.329999999999998</v>
      </c>
      <c r="F18" s="64">
        <v>0.73</v>
      </c>
      <c r="G18" s="64">
        <v>0.66</v>
      </c>
      <c r="H18" s="64">
        <v>0.55000000000000004</v>
      </c>
      <c r="I18" s="64">
        <v>0.69</v>
      </c>
      <c r="J18" s="64">
        <v>1.89</v>
      </c>
      <c r="K18" s="64">
        <v>0.65</v>
      </c>
      <c r="L18" s="64">
        <v>2.56</v>
      </c>
      <c r="M18" s="64">
        <v>0.5</v>
      </c>
    </row>
    <row r="19" spans="1:17" s="8" customFormat="1" ht="5.0999999999999996" customHeight="1" thickBot="1">
      <c r="A19" s="3"/>
      <c r="B19" s="17"/>
      <c r="C19" s="17"/>
      <c r="D19" s="17"/>
      <c r="E19" s="17"/>
      <c r="F19" s="17"/>
      <c r="G19" s="17"/>
      <c r="H19" s="17"/>
      <c r="I19" s="17"/>
      <c r="J19" s="17"/>
      <c r="K19" s="17"/>
      <c r="L19" s="17"/>
      <c r="M19" s="147"/>
    </row>
    <row r="20" spans="1:17" s="8" customFormat="1" ht="11.25" customHeight="1">
      <c r="A20" s="42" t="s">
        <v>52</v>
      </c>
      <c r="B20" s="65">
        <v>31</v>
      </c>
      <c r="C20" s="65">
        <v>28</v>
      </c>
      <c r="D20" s="65">
        <v>31</v>
      </c>
      <c r="E20" s="65">
        <v>30</v>
      </c>
      <c r="F20" s="65">
        <v>31</v>
      </c>
      <c r="G20" s="65">
        <v>30</v>
      </c>
      <c r="H20" s="65">
        <v>31</v>
      </c>
      <c r="I20" s="65">
        <v>31</v>
      </c>
      <c r="J20" s="65">
        <v>30</v>
      </c>
      <c r="K20" s="65">
        <v>31</v>
      </c>
      <c r="L20" s="161">
        <v>30</v>
      </c>
      <c r="M20" s="174">
        <v>31</v>
      </c>
    </row>
    <row r="21" spans="1:17" s="8" customFormat="1" ht="11.25" customHeight="1">
      <c r="A21" s="9" t="s">
        <v>15</v>
      </c>
      <c r="B21" s="66">
        <f>B12/B20</f>
        <v>0.29032258064516131</v>
      </c>
      <c r="C21" s="66">
        <f t="shared" ref="C21:M21" si="5">C12/C20</f>
        <v>0.2857142857142857</v>
      </c>
      <c r="D21" s="66">
        <f>D12/D20</f>
        <v>0.22580645161290322</v>
      </c>
      <c r="E21" s="66">
        <f>E12/E20</f>
        <v>0.1</v>
      </c>
      <c r="F21" s="66">
        <f>F12/F20</f>
        <v>0.25806451612903225</v>
      </c>
      <c r="G21" s="66">
        <f>G12/G20</f>
        <v>0.43333333333333335</v>
      </c>
      <c r="H21" s="66">
        <f t="shared" si="5"/>
        <v>0.12903225806451613</v>
      </c>
      <c r="I21" s="66">
        <f t="shared" si="5"/>
        <v>0.25806451612903225</v>
      </c>
      <c r="J21" s="66">
        <f t="shared" si="5"/>
        <v>0.23333333333333334</v>
      </c>
      <c r="K21" s="66">
        <f t="shared" si="5"/>
        <v>0.25806451612903225</v>
      </c>
      <c r="L21" s="162">
        <f t="shared" si="5"/>
        <v>0.26666666666666666</v>
      </c>
      <c r="M21" s="175">
        <f t="shared" si="5"/>
        <v>0.22580645161290322</v>
      </c>
    </row>
    <row r="22" spans="1:17" s="8" customFormat="1" ht="11.25" customHeight="1">
      <c r="A22" s="9" t="s">
        <v>130</v>
      </c>
      <c r="B22" s="67">
        <f t="shared" ref="B22:G22" si="6">IFERROR(B12/B7,0)</f>
        <v>0.40909090909090912</v>
      </c>
      <c r="C22" s="67">
        <f t="shared" si="6"/>
        <v>0.23529411764705882</v>
      </c>
      <c r="D22" s="67">
        <f t="shared" si="6"/>
        <v>0.26923076923076922</v>
      </c>
      <c r="E22" s="67">
        <f t="shared" si="6"/>
        <v>0.12</v>
      </c>
      <c r="F22" s="67">
        <f t="shared" si="6"/>
        <v>0.36363636363636365</v>
      </c>
      <c r="G22" s="67">
        <f t="shared" si="6"/>
        <v>0.37142857142857144</v>
      </c>
      <c r="H22" s="67">
        <f t="shared" ref="H22:M22" si="7">IFERROR(H12/H7,0)</f>
        <v>0.16</v>
      </c>
      <c r="I22" s="67">
        <f t="shared" si="7"/>
        <v>0.25806451612903225</v>
      </c>
      <c r="J22" s="67">
        <f t="shared" si="7"/>
        <v>0.22580645161290322</v>
      </c>
      <c r="K22" s="116">
        <f t="shared" si="7"/>
        <v>0.36363636363636365</v>
      </c>
      <c r="L22" s="67">
        <f t="shared" si="7"/>
        <v>0.2857142857142857</v>
      </c>
      <c r="M22" s="176">
        <f t="shared" si="7"/>
        <v>0.28000000000000003</v>
      </c>
      <c r="N22" s="1"/>
    </row>
    <row r="23" spans="1:17" s="8" customFormat="1" ht="11.25" customHeight="1" thickBot="1">
      <c r="A23" s="9" t="s">
        <v>53</v>
      </c>
      <c r="B23" s="67">
        <f t="shared" ref="B23:G23" si="8">IFERROR(B12/(B11+B12),0)</f>
        <v>0.9</v>
      </c>
      <c r="C23" s="67">
        <f t="shared" si="8"/>
        <v>1</v>
      </c>
      <c r="D23" s="67">
        <f t="shared" si="8"/>
        <v>0.77777777777777779</v>
      </c>
      <c r="E23" s="67">
        <f t="shared" si="8"/>
        <v>0.6</v>
      </c>
      <c r="F23" s="67">
        <f t="shared" si="8"/>
        <v>0.88888888888888884</v>
      </c>
      <c r="G23" s="67">
        <f t="shared" si="8"/>
        <v>1</v>
      </c>
      <c r="H23" s="67">
        <f t="shared" ref="H23:M23" si="9">IFERROR(H12/(H11+H12),0)</f>
        <v>0.44444444444444442</v>
      </c>
      <c r="I23" s="67">
        <f t="shared" si="9"/>
        <v>1</v>
      </c>
      <c r="J23" s="67">
        <f t="shared" si="9"/>
        <v>0.77777777777777779</v>
      </c>
      <c r="K23" s="117">
        <f t="shared" si="9"/>
        <v>0.8</v>
      </c>
      <c r="L23" s="163">
        <f t="shared" si="9"/>
        <v>0.61538461538461542</v>
      </c>
      <c r="M23" s="177">
        <f t="shared" si="9"/>
        <v>1</v>
      </c>
      <c r="N23" s="4"/>
    </row>
    <row r="24" spans="1:17" s="8" customFormat="1" ht="11.25" customHeight="1" thickBot="1">
      <c r="A24" s="56" t="s">
        <v>21</v>
      </c>
      <c r="B24" s="50">
        <v>41275</v>
      </c>
      <c r="C24" s="47">
        <v>41306</v>
      </c>
      <c r="D24" s="47">
        <v>41334</v>
      </c>
      <c r="E24" s="47">
        <v>41365</v>
      </c>
      <c r="F24" s="47">
        <v>41395</v>
      </c>
      <c r="G24" s="47">
        <v>41426</v>
      </c>
      <c r="H24" s="47">
        <v>41456</v>
      </c>
      <c r="I24" s="47">
        <v>41487</v>
      </c>
      <c r="J24" s="47">
        <v>41518</v>
      </c>
      <c r="K24" s="47">
        <v>41548</v>
      </c>
      <c r="L24" s="47">
        <v>41579</v>
      </c>
      <c r="M24" s="51">
        <v>41609</v>
      </c>
    </row>
    <row r="25" spans="1:17" s="8" customFormat="1" ht="11.25" customHeight="1">
      <c r="A25" s="18" t="s">
        <v>5</v>
      </c>
      <c r="B25" s="68">
        <f>COUNTIFS(Jan!$B:$B,2234,Jan!$J:$J,18)</f>
        <v>11</v>
      </c>
      <c r="C25" s="68">
        <v>8</v>
      </c>
      <c r="D25" s="68">
        <v>9</v>
      </c>
      <c r="E25" s="68">
        <v>1</v>
      </c>
      <c r="F25" s="68">
        <v>5</v>
      </c>
      <c r="G25" s="68">
        <v>3</v>
      </c>
      <c r="H25" s="68">
        <v>6</v>
      </c>
      <c r="I25" s="68">
        <v>5</v>
      </c>
      <c r="J25" s="68">
        <v>4</v>
      </c>
      <c r="K25" s="68">
        <v>2</v>
      </c>
      <c r="L25" s="68">
        <v>4</v>
      </c>
      <c r="M25" s="68">
        <v>5</v>
      </c>
    </row>
    <row r="26" spans="1:17" s="8" customFormat="1" ht="11.25" customHeight="1">
      <c r="A26" s="46" t="s">
        <v>40</v>
      </c>
      <c r="B26" s="57">
        <f>COUNTIFS(Jan!$B:$B,2234,Jan!$J:$J,41)</f>
        <v>0</v>
      </c>
      <c r="C26" s="57">
        <f>COUNTIFS(Feb!$B:$B,2234,Feb!$J:$J,41)</f>
        <v>0</v>
      </c>
      <c r="D26" s="57">
        <f>COUNTIFS(Mar!$B:$B,2234,Mar!$J:$J,41)</f>
        <v>0</v>
      </c>
      <c r="E26" s="57">
        <f>COUNTIFS(Apr!$B:$B,2234,Apr!$J:$J,41)</f>
        <v>0</v>
      </c>
      <c r="F26" s="57">
        <f>COUNTIFS(May!$B:$B,2234,May!$J:$J,41)</f>
        <v>0</v>
      </c>
      <c r="G26" s="57">
        <f>COUNTIFS(Jun!$B:$B,2234,Jun!$J:$J,41)</f>
        <v>0</v>
      </c>
      <c r="H26" s="57">
        <f>COUNTIFS(Jul!$B:$B,2234,Jul!$J:$J,41)</f>
        <v>0</v>
      </c>
      <c r="I26" s="57">
        <f>COUNTIFS(Aug!$B:$B,2234,Aug!$J:$J,41)</f>
        <v>0</v>
      </c>
      <c r="J26" s="57">
        <f>COUNTIFS(Sep!$B:$B,2234,Sep!$J:$J,41)</f>
        <v>0</v>
      </c>
      <c r="K26" s="57">
        <f>COUNTIFS(Oct!$B:$B,2234,Oct!$J:$J,41)</f>
        <v>0</v>
      </c>
      <c r="L26" s="57">
        <f>COUNTIFS(Nov!$B:$B,2234,Nov!$J:$J,41)</f>
        <v>0</v>
      </c>
      <c r="M26" s="57">
        <v>0</v>
      </c>
    </row>
    <row r="27" spans="1:17" s="8" customFormat="1" ht="11.25" customHeight="1">
      <c r="A27" s="9" t="s">
        <v>11</v>
      </c>
      <c r="B27" s="179">
        <f>COUNTIFS(Jan!$B:$B,2234,Jan!$J:$J,17)</f>
        <v>3</v>
      </c>
      <c r="C27" s="206">
        <v>17</v>
      </c>
      <c r="D27" s="206">
        <v>8</v>
      </c>
      <c r="E27" s="206">
        <v>20</v>
      </c>
      <c r="F27" s="206">
        <v>3</v>
      </c>
      <c r="G27" s="206">
        <v>2</v>
      </c>
      <c r="H27" s="206">
        <v>9</v>
      </c>
      <c r="I27" s="206">
        <v>1</v>
      </c>
      <c r="J27" s="206">
        <v>2</v>
      </c>
      <c r="K27" s="179">
        <f>COUNTIFS(Oct!$B:$B,2234,Oct!$J:$J,17)</f>
        <v>0</v>
      </c>
      <c r="L27" s="206">
        <v>3</v>
      </c>
      <c r="M27" s="206">
        <v>2</v>
      </c>
    </row>
    <row r="28" spans="1:17" s="8" customFormat="1" ht="11.25" customHeight="1">
      <c r="A28" s="9" t="s">
        <v>143</v>
      </c>
      <c r="B28" s="59">
        <f>COUNTIFS(Jan!$B:$B,2234,Jan!$F:$F,455)</f>
        <v>0</v>
      </c>
      <c r="C28" s="59">
        <f>COUNTIFS(Feb!$B:$B,2234,Feb!$F:$F,455)</f>
        <v>0</v>
      </c>
      <c r="D28" s="59">
        <f>COUNTIFS(Mar!$B:$B,2234,Mar!$F:$F,455)</f>
        <v>0</v>
      </c>
      <c r="E28" s="59">
        <f>COUNTIFS(Apr!$B:$B,2234,Apr!$F:$F,455)</f>
        <v>0</v>
      </c>
      <c r="F28" s="59">
        <f>COUNTIFS(May!$B:$B,2234,May!$F:$F,455)</f>
        <v>0</v>
      </c>
      <c r="G28" s="59">
        <f>COUNTIFS(Jun!$B:$B,2234,Jun!$F:$F,455)</f>
        <v>0</v>
      </c>
      <c r="H28" s="59">
        <f>COUNTIFS(Jul!$B:$B,2234,Jul!$F:$F,455)</f>
        <v>0</v>
      </c>
      <c r="I28" s="59">
        <f>COUNTIFS(Aug!$B:$B,2234,Aug!$F:$F,455)</f>
        <v>0</v>
      </c>
      <c r="J28" s="59">
        <f>COUNTIFS(Sep!$B:$B,2234,Sep!$F:$F,455)</f>
        <v>0</v>
      </c>
      <c r="K28" s="59">
        <f>COUNTIFS(Oct!$B:$B,2234,Oct!$F:$F,455)</f>
        <v>0</v>
      </c>
      <c r="L28" s="59">
        <f>COUNTIFS(Nov!$B:$B,2234,Nov!$F:$F,455)</f>
        <v>0</v>
      </c>
      <c r="M28" s="59">
        <v>0</v>
      </c>
    </row>
    <row r="29" spans="1:17" s="8" customFormat="1" ht="11.25" customHeight="1">
      <c r="A29" s="9" t="s">
        <v>23</v>
      </c>
      <c r="B29" s="59">
        <f>COUNTIFS(Jan!$B:$B,2234,Jan!$J:$J,31)</f>
        <v>0</v>
      </c>
      <c r="C29" s="59">
        <f>COUNTIFS(Feb!$B:$B,2234,Feb!$J:$J,31)</f>
        <v>0</v>
      </c>
      <c r="D29" s="59">
        <f>COUNTIFS(Mar!$B:$B,2234,Mar!$J:$J,31)</f>
        <v>0</v>
      </c>
      <c r="E29" s="59">
        <f>COUNTIFS(Apr!$B:$B,2234,Apr!$J:$J,31)</f>
        <v>0</v>
      </c>
      <c r="F29" s="59">
        <f>COUNTIFS(May!$B:$B,2234,May!$J:$J,31)</f>
        <v>0</v>
      </c>
      <c r="G29" s="59">
        <f>COUNTIFS(Jun!$B:$B,2234,Jun!$J:$J,31)</f>
        <v>0</v>
      </c>
      <c r="H29" s="59">
        <f>COUNTIFS(Jul!$B:$B,2234,Jul!$J:$J,31)</f>
        <v>0</v>
      </c>
      <c r="I29" s="59">
        <f>COUNTIFS(Aug!$B:$B,2234,Aug!$J:$J,31)</f>
        <v>0</v>
      </c>
      <c r="J29" s="59">
        <f>COUNTIFS(Sep!$B:$B,2234,Sep!$J:$J,31)</f>
        <v>0</v>
      </c>
      <c r="K29" s="59">
        <f>COUNTIFS(Oct!$B:$B,2234,Oct!$J:$J,31)</f>
        <v>0</v>
      </c>
      <c r="L29" s="59">
        <f>COUNTIFS(Nov!$B:$B,2234,Nov!$J:$J,31)</f>
        <v>0</v>
      </c>
      <c r="M29" s="59">
        <v>0</v>
      </c>
    </row>
    <row r="30" spans="1:17" s="8" customFormat="1" ht="11.25" customHeight="1">
      <c r="A30" s="9" t="s">
        <v>37</v>
      </c>
      <c r="B30" s="59">
        <f>COUNTIFS(Jan!$B:$B,2234,Jan!$J:$J,4400)</f>
        <v>0</v>
      </c>
      <c r="C30" s="59">
        <f>COUNTIFS(Feb!$B:$B,2234,Feb!$J:$J,4400)</f>
        <v>0</v>
      </c>
      <c r="D30" s="59">
        <f>COUNTIFS(Mar!$B:$B,2234,Mar!$J:$J,4400)</f>
        <v>0</v>
      </c>
      <c r="E30" s="59">
        <f>COUNTIFS(Apr!$B:$B,2234,Apr!$J:$J,4400)</f>
        <v>0</v>
      </c>
      <c r="F30" s="59">
        <f>COUNTIFS(May!$B:$B,2234,May!$J:$J,4400)</f>
        <v>0</v>
      </c>
      <c r="G30" s="59">
        <f>COUNTIFS(Jun!$B:$B,2234,Jun!$J:$J,4400)</f>
        <v>0</v>
      </c>
      <c r="H30" s="59">
        <v>1</v>
      </c>
      <c r="I30" s="59">
        <f>COUNTIFS(Aug!$B:$B,2234,Aug!$J:$J,4400)</f>
        <v>0</v>
      </c>
      <c r="J30" s="59">
        <f>COUNTIFS(Sep!$B:$B,2234,Sep!$J:$J,4400)</f>
        <v>0</v>
      </c>
      <c r="K30" s="59">
        <f>COUNTIFS(Oct!$B:$B,2234,Oct!$J:$J,4400)</f>
        <v>0</v>
      </c>
      <c r="L30" s="59">
        <f>COUNTIFS(Nov!$B:$B,2234,Nov!$J:$J,4400)</f>
        <v>0</v>
      </c>
      <c r="M30" s="59">
        <v>0</v>
      </c>
    </row>
    <row r="31" spans="1:17" s="8" customFormat="1" ht="11.25" customHeight="1">
      <c r="A31" s="10" t="s">
        <v>24</v>
      </c>
      <c r="B31" s="59">
        <f>COUNTIFS(Jan!$B:$B,2234,Jan!$J:$J,30)</f>
        <v>0</v>
      </c>
      <c r="C31" s="59">
        <f>COUNTIFS(Feb!$B:$B,2234,Feb!$J:$J,30)</f>
        <v>0</v>
      </c>
      <c r="D31" s="59">
        <f>COUNTIFS(Mar!$B:$B,2234,Mar!$J:$J,30)</f>
        <v>0</v>
      </c>
      <c r="E31" s="59">
        <f>COUNTIFS(Apr!$B:$B,2234,Apr!$J:$J,30)</f>
        <v>0</v>
      </c>
      <c r="F31" s="59">
        <f>COUNTIFS(May!$B:$B,2234,May!$J:$J,30)</f>
        <v>0</v>
      </c>
      <c r="G31" s="59">
        <f>COUNTIFS(Jun!$B:$B,2234,Jun!$J:$J,30)</f>
        <v>0</v>
      </c>
      <c r="H31" s="59">
        <f>COUNTIFS(Jul!$B:$B,2234,Jul!$J:$J,30)</f>
        <v>0</v>
      </c>
      <c r="I31" s="59">
        <f>COUNTIFS(Aug!$B:$B,2234,Aug!$J:$J,30)</f>
        <v>0</v>
      </c>
      <c r="J31" s="59">
        <f>COUNTIFS(Sep!$B:$B,2234,Sep!$J:$J,30)</f>
        <v>0</v>
      </c>
      <c r="K31" s="59">
        <f>COUNTIFS(Oct!$B:$B,2234,Oct!$J:$J,30)</f>
        <v>0</v>
      </c>
      <c r="L31" s="59">
        <f>COUNTIFS(Nov!$B:$B,2234,Nov!$J:$J,30)</f>
        <v>0</v>
      </c>
      <c r="M31" s="59">
        <v>0</v>
      </c>
    </row>
    <row r="32" spans="1:17" s="14" customFormat="1" ht="11.25" customHeight="1" thickBot="1">
      <c r="A32" s="2" t="s">
        <v>140</v>
      </c>
      <c r="B32" s="60">
        <f>SUM(B25:B31)</f>
        <v>14</v>
      </c>
      <c r="C32" s="60">
        <f t="shared" ref="C32:M32" si="10">SUM(C25:C31)</f>
        <v>25</v>
      </c>
      <c r="D32" s="60">
        <f>SUM(D25:D31)</f>
        <v>17</v>
      </c>
      <c r="E32" s="60">
        <f>SUM(E25:E31)</f>
        <v>21</v>
      </c>
      <c r="F32" s="60">
        <f>SUM(F25:F31)</f>
        <v>8</v>
      </c>
      <c r="G32" s="60">
        <f>SUM(G25:G31)</f>
        <v>5</v>
      </c>
      <c r="H32" s="60">
        <f t="shared" si="10"/>
        <v>16</v>
      </c>
      <c r="I32" s="60">
        <f t="shared" si="10"/>
        <v>6</v>
      </c>
      <c r="J32" s="60">
        <f t="shared" si="10"/>
        <v>6</v>
      </c>
      <c r="K32" s="60">
        <f t="shared" si="10"/>
        <v>2</v>
      </c>
      <c r="L32" s="159">
        <f t="shared" si="10"/>
        <v>7</v>
      </c>
      <c r="M32" s="170">
        <f t="shared" si="10"/>
        <v>7</v>
      </c>
    </row>
    <row r="33" spans="1:13" ht="12" customHeight="1" thickBot="1">
      <c r="A33" s="55" t="s">
        <v>136</v>
      </c>
      <c r="B33" s="50">
        <v>41275</v>
      </c>
      <c r="C33" s="47">
        <v>41306</v>
      </c>
      <c r="D33" s="47">
        <v>41334</v>
      </c>
      <c r="E33" s="47">
        <v>41365</v>
      </c>
      <c r="F33" s="47">
        <v>41395</v>
      </c>
      <c r="G33" s="47">
        <v>41426</v>
      </c>
      <c r="H33" s="47">
        <v>41456</v>
      </c>
      <c r="I33" s="47">
        <v>41487</v>
      </c>
      <c r="J33" s="47">
        <v>41518</v>
      </c>
      <c r="K33" s="47">
        <v>41548</v>
      </c>
      <c r="L33" s="47">
        <v>41579</v>
      </c>
      <c r="M33" s="51">
        <v>41609</v>
      </c>
    </row>
    <row r="34" spans="1:13" s="8" customFormat="1" ht="11.25" customHeight="1">
      <c r="A34" s="46" t="s">
        <v>33</v>
      </c>
      <c r="B34" s="57">
        <f>COUNTIFS(Jan!$B:$B,2234,Jan!$J:$J,40)</f>
        <v>0</v>
      </c>
      <c r="C34" s="57">
        <f>COUNTIFS(Feb!$B:$B,2234,Feb!$J:$J,40)</f>
        <v>0</v>
      </c>
      <c r="D34" s="57">
        <f>COUNTIFS(Mar!$B:$B,2234,Mar!$J:$J,40)</f>
        <v>0</v>
      </c>
      <c r="E34" s="57">
        <f>COUNTIFS(Apr!$B:$B,2234,Apr!$J:$J,40)</f>
        <v>0</v>
      </c>
      <c r="F34" s="57">
        <f>COUNTIFS(May!$B:$B,2234,May!$J:$J,40)</f>
        <v>0</v>
      </c>
      <c r="G34" s="57">
        <f>COUNTIFS(Jun!$B:$B,2234,Jun!$J:$J,40)</f>
        <v>0</v>
      </c>
      <c r="H34" s="57">
        <f>COUNTIFS(Jul!$B:$B,2234,Jul!$J:$J,40)</f>
        <v>0</v>
      </c>
      <c r="I34" s="57">
        <f>COUNTIFS(Aug!$B:$B,2234,Aug!$J:$J,40)</f>
        <v>0</v>
      </c>
      <c r="J34" s="57">
        <f>COUNTIFS(Sep!$B:$B,2234,Sep!$J:$J,40)</f>
        <v>0</v>
      </c>
      <c r="K34" s="57">
        <f>COUNTIFS(Oct!$B:$B,2234,Oct!$J:$J,40)</f>
        <v>0</v>
      </c>
      <c r="L34" s="57">
        <f>COUNTIFS(Nov!$B:$B,2234,Nov!$J:$J,40)</f>
        <v>0</v>
      </c>
      <c r="M34" s="57">
        <v>0</v>
      </c>
    </row>
    <row r="35" spans="1:13" s="8" customFormat="1" ht="11.25" customHeight="1">
      <c r="A35" s="10" t="s">
        <v>4</v>
      </c>
      <c r="B35" s="59">
        <f>COUNTIFS(Jan!$B:$B,2234,Jan!$J:$J,15)</f>
        <v>2</v>
      </c>
      <c r="C35" s="59">
        <v>8</v>
      </c>
      <c r="D35" s="59">
        <v>9</v>
      </c>
      <c r="E35" s="59">
        <v>6</v>
      </c>
      <c r="F35" s="59">
        <v>5</v>
      </c>
      <c r="G35" s="59">
        <v>8</v>
      </c>
      <c r="H35" s="59">
        <v>5</v>
      </c>
      <c r="I35" s="59">
        <v>5</v>
      </c>
      <c r="J35" s="59">
        <v>5</v>
      </c>
      <c r="K35" s="59">
        <v>5</v>
      </c>
      <c r="L35" s="59">
        <v>4</v>
      </c>
      <c r="M35" s="59">
        <v>7</v>
      </c>
    </row>
    <row r="36" spans="1:13" s="8" customFormat="1" ht="11.25" customHeight="1">
      <c r="A36" s="10" t="s">
        <v>39</v>
      </c>
      <c r="B36" s="59">
        <f>COUNTIFS(Jan!$B:$B,2234,Jan!$J:$J,29)</f>
        <v>1</v>
      </c>
      <c r="C36" s="59">
        <v>1</v>
      </c>
      <c r="D36" s="59">
        <f>COUNTIFS(Mar!$B:$B,2234,Mar!$J:$J,29)</f>
        <v>0</v>
      </c>
      <c r="E36" s="59">
        <v>2</v>
      </c>
      <c r="F36" s="59">
        <f>COUNTIFS(May!$B:$B,2234,May!$J:$J,29)</f>
        <v>0</v>
      </c>
      <c r="G36" s="59">
        <v>2</v>
      </c>
      <c r="H36" s="59">
        <f>COUNTIFS(Jul!$B:$B,2234,Jul!$J:$J,29)</f>
        <v>0</v>
      </c>
      <c r="I36" s="59">
        <v>1</v>
      </c>
      <c r="J36" s="59">
        <f>COUNTIFS(Sep!$B:$B,2234,Sep!$J:$J,29)</f>
        <v>0</v>
      </c>
      <c r="K36" s="59">
        <f>COUNTIFS(Oct!$B:$B,2234,Oct!$J:$J,29)</f>
        <v>0</v>
      </c>
      <c r="L36" s="59">
        <v>1</v>
      </c>
      <c r="M36" s="59">
        <v>0</v>
      </c>
    </row>
    <row r="37" spans="1:13" s="8" customFormat="1" ht="11.25" customHeight="1">
      <c r="A37" s="10" t="s">
        <v>3</v>
      </c>
      <c r="B37" s="59">
        <f>COUNTIFS(Jan!$B:$B,2234,Jan!$J:$J,13)</f>
        <v>0</v>
      </c>
      <c r="C37" s="59">
        <f>COUNTIFS(Feb!$B:$B,2234,Feb!$J:$J,13)</f>
        <v>0</v>
      </c>
      <c r="D37" s="59">
        <v>1</v>
      </c>
      <c r="E37" s="59">
        <f>COUNTIFS(Apr!$B:$B,2234,Apr!$J:$J,13)</f>
        <v>0</v>
      </c>
      <c r="F37" s="59">
        <f>COUNTIFS(May!$B:$B,2234,May!$J:$J,13)</f>
        <v>0</v>
      </c>
      <c r="G37" s="59">
        <f>COUNTIFS(Jun!$B:$B,2234,Jun!$J:$J,13)</f>
        <v>0</v>
      </c>
      <c r="H37" s="59">
        <f>COUNTIFS(Jul!$B:$B,2234,Jul!$J:$J,13)</f>
        <v>0</v>
      </c>
      <c r="I37" s="59">
        <f>COUNTIFS(Aug!$B:$B,2234,Aug!$J:$J,13)</f>
        <v>0</v>
      </c>
      <c r="J37" s="59">
        <f>COUNTIFS(Sep!$B:$B,2234,Sep!$J:$J,13)</f>
        <v>0</v>
      </c>
      <c r="K37" s="59">
        <f>COUNTIFS(Oct!$B:$B,2234,Oct!$J:$J,13)</f>
        <v>0</v>
      </c>
      <c r="L37" s="59">
        <f>COUNTIFS(Nov!$B:$B,2234,Nov!$J:$J,13)</f>
        <v>0</v>
      </c>
      <c r="M37" s="59">
        <v>1</v>
      </c>
    </row>
    <row r="38" spans="1:13" s="8" customFormat="1" ht="11.25" customHeight="1">
      <c r="A38" s="9" t="s">
        <v>218</v>
      </c>
      <c r="B38" s="59">
        <f>COUNTIFS(Jan!$B:$B,2234,Jan!$J:$J,43)</f>
        <v>1</v>
      </c>
      <c r="C38" s="59">
        <f>COUNTIFS(Feb!$B:$B,2234,Feb!$J:$J,43)</f>
        <v>0</v>
      </c>
      <c r="D38" s="59">
        <v>2</v>
      </c>
      <c r="E38" s="59">
        <v>1</v>
      </c>
      <c r="F38" s="59">
        <f>COUNTIFS(May!$B:$B,2234,May!$J:$J,43)</f>
        <v>0</v>
      </c>
      <c r="G38" s="59">
        <v>1</v>
      </c>
      <c r="H38" s="59">
        <f>COUNTIFS(Jul!$B:$B,2234,Jul!$J:$J,43)</f>
        <v>0</v>
      </c>
      <c r="I38" s="59">
        <v>3</v>
      </c>
      <c r="J38" s="59">
        <v>1</v>
      </c>
      <c r="K38" s="59">
        <f>COUNTIFS(Oct!$B:$B,2234,Oct!$J:$J,43)</f>
        <v>0</v>
      </c>
      <c r="L38" s="59">
        <f>COUNTIFS(Nov!$B:$B,2234,Nov!$J:$J,43)</f>
        <v>0</v>
      </c>
      <c r="M38" s="59">
        <v>1</v>
      </c>
    </row>
    <row r="39" spans="1:13" s="8" customFormat="1" ht="11.25" customHeight="1">
      <c r="A39" s="10" t="s">
        <v>25</v>
      </c>
      <c r="B39" s="59">
        <f>COUNTIFS(Jan!$B:$B,2234,Jan!$J:$J,24)</f>
        <v>1</v>
      </c>
      <c r="C39" s="59">
        <v>2</v>
      </c>
      <c r="D39" s="59">
        <f>COUNTIFS(Mar!$B:$B,2234,Mar!$J:$J,24)</f>
        <v>0</v>
      </c>
      <c r="E39" s="59">
        <v>3</v>
      </c>
      <c r="F39" s="59">
        <v>2</v>
      </c>
      <c r="G39" s="59">
        <v>1</v>
      </c>
      <c r="H39" s="59">
        <v>1</v>
      </c>
      <c r="I39" s="59">
        <f>COUNTIFS(Aug!$B:$B,2234,Aug!$J:$J,24)</f>
        <v>0</v>
      </c>
      <c r="J39" s="59">
        <v>1</v>
      </c>
      <c r="K39" s="59">
        <v>2</v>
      </c>
      <c r="L39" s="59">
        <v>5</v>
      </c>
      <c r="M39" s="59">
        <v>1</v>
      </c>
    </row>
    <row r="40" spans="1:13" s="8" customFormat="1" ht="11.25" customHeight="1">
      <c r="A40" s="10" t="s">
        <v>34</v>
      </c>
      <c r="B40" s="59">
        <f>COUNTIFS(Jan!$B:$B,2234,Jan!$J:$J,9)</f>
        <v>0</v>
      </c>
      <c r="C40" s="59">
        <f>COUNTIFS(Feb!$B:$B,2234,Feb!$J:$J,9)</f>
        <v>0</v>
      </c>
      <c r="D40" s="59">
        <f>COUNTIFS(Mar!$B:$B,2234,Mar!$J:$J,9)</f>
        <v>0</v>
      </c>
      <c r="E40" s="59">
        <f>COUNTIFS(Apr!$B:$B,2234,Apr!$J:$J,9)</f>
        <v>0</v>
      </c>
      <c r="F40" s="59">
        <f>COUNTIFS(May!$B:$B,2234,May!$J:$J,9)</f>
        <v>0</v>
      </c>
      <c r="G40" s="59">
        <f>COUNTIFS(Jun!$B:$B,2234,Jun!$J:$J,9)</f>
        <v>0</v>
      </c>
      <c r="H40" s="59">
        <f>COUNTIFS(Jul!$B:$B,2234,Jul!$J:$J,9)</f>
        <v>0</v>
      </c>
      <c r="I40" s="59">
        <f>COUNTIFS(Aug!$B:$B,2234,Aug!$J:$J,9)</f>
        <v>0</v>
      </c>
      <c r="J40" s="59">
        <f>COUNTIFS(Sep!$B:$B,2234,Sep!$J:$J,9)</f>
        <v>0</v>
      </c>
      <c r="K40" s="59">
        <f>COUNTIFS(Oct!$B:$B,2234,Oct!$J:$J,9)</f>
        <v>0</v>
      </c>
      <c r="L40" s="59">
        <f>COUNTIFS(Nov!$B:$B,2234,Nov!$J:$J,9)</f>
        <v>0</v>
      </c>
      <c r="M40" s="59">
        <v>0</v>
      </c>
    </row>
    <row r="41" spans="1:13" s="8" customFormat="1" ht="11.25" customHeight="1">
      <c r="A41" s="10" t="s">
        <v>31</v>
      </c>
      <c r="B41" s="59">
        <f>COUNTIFS(Jan!$B:$B,2234,Jan!$J:$J,10)</f>
        <v>0</v>
      </c>
      <c r="C41" s="59">
        <v>1</v>
      </c>
      <c r="D41" s="59">
        <f>COUNTIFS(Mar!$B:$B,2234,Mar!$J:$J,10)</f>
        <v>0</v>
      </c>
      <c r="E41" s="59">
        <f>COUNTIFS(Apr!$B:$B,2234,Apr!$J:$J,10)</f>
        <v>0</v>
      </c>
      <c r="F41" s="59">
        <v>2</v>
      </c>
      <c r="G41" s="59">
        <v>1</v>
      </c>
      <c r="H41" s="59">
        <f>COUNTIFS(Jul!$B:$B,2234,Jul!$J:$J,10)</f>
        <v>0</v>
      </c>
      <c r="I41" s="59">
        <v>3</v>
      </c>
      <c r="J41" s="59">
        <v>1</v>
      </c>
      <c r="K41" s="59">
        <f>COUNTIFS(Oct!$B:$B,2234,Oct!$J:$J,10)</f>
        <v>0</v>
      </c>
      <c r="L41" s="59">
        <f>COUNTIFS(Nov!$B:$B,2234,Nov!$J:$J,10)</f>
        <v>0</v>
      </c>
      <c r="M41" s="59">
        <v>0</v>
      </c>
    </row>
    <row r="42" spans="1:13" s="8" customFormat="1" ht="11.25" customHeight="1">
      <c r="A42" s="10" t="s">
        <v>144</v>
      </c>
      <c r="B42" s="59">
        <f>COUNTIFS(Jan!$B:$B,2234,Jan!$F:$F,462)</f>
        <v>0</v>
      </c>
      <c r="C42" s="59">
        <f>COUNTIFS(Feb!$B:$B,2234,Feb!$F:$F,462)</f>
        <v>0</v>
      </c>
      <c r="D42" s="59">
        <f>COUNTIFS(Mar!$B:$B,2234,Mar!$F:$F,462)</f>
        <v>0</v>
      </c>
      <c r="E42" s="59">
        <f>COUNTIFS(Apr!$B:$B,2234,Apr!$F:$F,462)</f>
        <v>0</v>
      </c>
      <c r="F42" s="59">
        <f>COUNTIFS(May!$B:$B,2234,May!$F:$F,462)</f>
        <v>0</v>
      </c>
      <c r="G42" s="59">
        <f>COUNTIFS(Jun!$B:$B,2234,Jun!$F:$F,462)</f>
        <v>0</v>
      </c>
      <c r="H42" s="59">
        <f>COUNTIFS(Jul!$B:$B,2234,Jul!$F:$F,462)</f>
        <v>0</v>
      </c>
      <c r="I42" s="59">
        <f>COUNTIFS(Aug!$B:$B,2234,Aug!$F:$F,462)</f>
        <v>0</v>
      </c>
      <c r="J42" s="59">
        <f>COUNTIFS(Sep!$B:$B,2234,Sep!$F:$F,462)</f>
        <v>0</v>
      </c>
      <c r="K42" s="59">
        <f>COUNTIFS(Oct!$B:$B,2234,Oct!$F:$F,462)</f>
        <v>0</v>
      </c>
      <c r="L42" s="59">
        <f>COUNTIFS(Nov!$B:$B,2234,Nov!$F:$F,462)</f>
        <v>0</v>
      </c>
      <c r="M42" s="59">
        <v>0</v>
      </c>
    </row>
    <row r="43" spans="1:13" s="8" customFormat="1" ht="11.25" customHeight="1">
      <c r="A43" s="10" t="s">
        <v>1</v>
      </c>
      <c r="B43" s="59">
        <f>COUNTIFS(Jan!$B:$B,2234,Jan!$J:$J,11)</f>
        <v>6</v>
      </c>
      <c r="C43" s="59">
        <v>10</v>
      </c>
      <c r="D43" s="59">
        <v>1</v>
      </c>
      <c r="E43" s="59">
        <v>2</v>
      </c>
      <c r="F43" s="59">
        <v>1</v>
      </c>
      <c r="G43" s="59">
        <v>6</v>
      </c>
      <c r="H43" s="59">
        <v>7</v>
      </c>
      <c r="I43" s="59">
        <v>4</v>
      </c>
      <c r="J43" s="59">
        <v>7</v>
      </c>
      <c r="K43" s="59">
        <v>3</v>
      </c>
      <c r="L43" s="59">
        <v>1</v>
      </c>
      <c r="M43" s="59">
        <v>5</v>
      </c>
    </row>
    <row r="44" spans="1:13" s="8" customFormat="1" ht="11.25" customHeight="1">
      <c r="A44" s="10" t="s">
        <v>26</v>
      </c>
      <c r="B44" s="59">
        <f>COUNTIFS(Jan!$B:$B,2234,Jan!$J:$J,20)</f>
        <v>0</v>
      </c>
      <c r="C44" s="59">
        <f>COUNTIFS(Feb!$B:$B,2234,Feb!$J:$J,20)</f>
        <v>0</v>
      </c>
      <c r="D44" s="59">
        <f>COUNTIFS(Mar!$B:$B,2234,Mar!$J:$J,20)</f>
        <v>0</v>
      </c>
      <c r="E44" s="59">
        <f>COUNTIFS(Apr!$B:$B,2234,Apr!$J:$J,20)</f>
        <v>0</v>
      </c>
      <c r="F44" s="59">
        <f>COUNTIFS(May!$B:$B,2234,May!$J:$J,20)</f>
        <v>0</v>
      </c>
      <c r="G44" s="59">
        <f>COUNTIFS(Jun!$B:$B,2234,Jun!$J:$J,20)</f>
        <v>0</v>
      </c>
      <c r="H44" s="59">
        <f>COUNTIFS(Jul!$B:$B,2234,Jul!$J:$J,20)</f>
        <v>0</v>
      </c>
      <c r="I44" s="59">
        <f>COUNTIFS(Aug!$B:$B,2234,Aug!$J:$J,20)</f>
        <v>0</v>
      </c>
      <c r="J44" s="59">
        <f>COUNTIFS(Sep!$B:$B,2234,Sep!$J:$J,20)</f>
        <v>0</v>
      </c>
      <c r="K44" s="59">
        <f>COUNTIFS(Oct!$B:$B,2234,Oct!$J:$J,20)</f>
        <v>0</v>
      </c>
      <c r="L44" s="59">
        <f>COUNTIFS(Nov!$B:$B,2234,Nov!$J:$J,20)</f>
        <v>0</v>
      </c>
      <c r="M44" s="59">
        <v>0</v>
      </c>
    </row>
    <row r="45" spans="1:13" s="8" customFormat="1" ht="11.25" customHeight="1">
      <c r="A45" s="10" t="s">
        <v>32</v>
      </c>
      <c r="B45" s="59">
        <f>COUNTIFS(Jan!$B:$B,2234,Jan!$J:$J,2)</f>
        <v>1</v>
      </c>
      <c r="C45" s="59">
        <v>1</v>
      </c>
      <c r="D45" s="59">
        <v>2</v>
      </c>
      <c r="E45" s="59">
        <v>4</v>
      </c>
      <c r="F45" s="59">
        <v>1</v>
      </c>
      <c r="G45" s="59">
        <v>2</v>
      </c>
      <c r="H45" s="59">
        <v>3</v>
      </c>
      <c r="I45" s="59">
        <v>4</v>
      </c>
      <c r="J45" s="59">
        <v>5</v>
      </c>
      <c r="K45" s="59">
        <v>2</v>
      </c>
      <c r="L45" s="59">
        <v>3</v>
      </c>
      <c r="M45" s="59">
        <v>1</v>
      </c>
    </row>
    <row r="46" spans="1:13" s="8" customFormat="1" ht="11.25" customHeight="1">
      <c r="A46" s="10" t="s">
        <v>28</v>
      </c>
      <c r="B46" s="59">
        <f>COUNTIFS(Jan!$B:$B,2234,Jan!$J:$J,1700)+COUNTIFS(Jan!$B:$B,2234,Jan!$F:$F,1700)+COUNTIFS(Jan!$B:$B,2234,Jan!$J:$J,19)</f>
        <v>0</v>
      </c>
      <c r="C46" s="59">
        <f>COUNTIFS(Feb!$B:$B,2234,Feb!$J:$J,1700)+COUNTIFS(Feb!$B:$B,2234,Feb!$F:$F,1700)+COUNTIFS(Feb!$B:$B,2234,Feb!$J:$J,19)</f>
        <v>0</v>
      </c>
      <c r="D46" s="59">
        <f>COUNTIFS(Mar!$B:$B,2234,Mar!$J:$J,1700)+COUNTIFS(Mar!$B:$B,2234,Mar!$F:$F,1700)+COUNTIFS(Mar!$B:$B,2234,Mar!$J:$J,19)</f>
        <v>0</v>
      </c>
      <c r="E46" s="59">
        <f>COUNTIFS(Apr!$B:$B,2234,Apr!$J:$J,1700)+COUNTIFS(Apr!$B:$B,2234,Apr!$F:$F,1700)+COUNTIFS(Apr!$B:$B,2234,Apr!$J:$J,19)</f>
        <v>0</v>
      </c>
      <c r="F46" s="59">
        <f>COUNTIFS(May!$B:$B,2234,May!$J:$J,1700)+COUNTIFS(May!$B:$B,2234,May!$F:$F,1700)+COUNTIFS(May!$B:$B,2234,May!$J:$J,19)</f>
        <v>0</v>
      </c>
      <c r="G46" s="59">
        <f>COUNTIFS(Jun!$B:$B,2234,Jun!$J:$J,1700)+COUNTIFS(Jun!$B:$B,2234,Jun!$F:$F,1700)+COUNTIFS(Jun!$B:$B,2234,Jun!$J:$J,19)</f>
        <v>0</v>
      </c>
      <c r="H46" s="59">
        <f>COUNTIFS(Jul!$B:$B,2234,Jul!$J:$J,1700)+COUNTIFS(Jul!$B:$B,2234,Jul!$F:$F,1700)+COUNTIFS(Jul!$B:$B,2234,Jul!$J:$J,19)</f>
        <v>0</v>
      </c>
      <c r="I46" s="59">
        <v>1</v>
      </c>
      <c r="J46" s="59">
        <f>COUNTIFS(Sep!$B:$B,2234,Sep!$J:$J,1700)+COUNTIFS(Sep!$B:$B,2234,Sep!$F:$F,1700)+COUNTIFS(Sep!$B:$B,2234,Sep!$J:$J,19)</f>
        <v>0</v>
      </c>
      <c r="K46" s="59">
        <f>COUNTIFS(Oct!$B:$B,2234,Oct!$J:$J,1700)+COUNTIFS(Oct!$B:$B,2234,Oct!$F:$F,1700)+COUNTIFS(Oct!$B:$B,2234,Oct!$J:$J,19)</f>
        <v>0</v>
      </c>
      <c r="L46" s="59">
        <f>COUNTIFS(Nov!$B:$B,2234,Nov!$J:$J,1700)+COUNTIFS(Nov!$B:$B,2234,Nov!$F:$F,1700)+COUNTIFS(Nov!$B:$B,2234,Nov!$J:$J,19)</f>
        <v>0</v>
      </c>
      <c r="M46" s="59">
        <v>0</v>
      </c>
    </row>
    <row r="47" spans="1:13" s="8" customFormat="1" ht="11.25" customHeight="1">
      <c r="A47" s="10" t="s">
        <v>0</v>
      </c>
      <c r="B47" s="59">
        <f>COUNTIFS(Jan!$B:$B,2234,Jan!$J:$J,3)</f>
        <v>0</v>
      </c>
      <c r="C47" s="59">
        <v>3</v>
      </c>
      <c r="D47" s="59">
        <v>2</v>
      </c>
      <c r="E47" s="59">
        <v>1</v>
      </c>
      <c r="F47" s="59">
        <v>1</v>
      </c>
      <c r="G47" s="59">
        <v>1</v>
      </c>
      <c r="H47" s="59">
        <f>COUNTIFS(Jul!$B:$B,2234,Jul!$J:$J,3)</f>
        <v>0</v>
      </c>
      <c r="I47" s="59">
        <v>1</v>
      </c>
      <c r="J47" s="59">
        <v>2</v>
      </c>
      <c r="K47" s="59">
        <f>COUNTIFS(Oct!$B:$B,2234,Oct!$J:$J,3)</f>
        <v>0</v>
      </c>
      <c r="L47" s="59">
        <f>COUNTIFS(Nov!$B:$B,2234,Nov!$J:$J,3)</f>
        <v>0</v>
      </c>
      <c r="M47" s="59">
        <v>1</v>
      </c>
    </row>
    <row r="48" spans="1:13" s="8" customFormat="1" ht="11.25" customHeight="1">
      <c r="A48" s="10" t="s">
        <v>35</v>
      </c>
      <c r="B48" s="59">
        <f>COUNTIFS(Jan!$B:$B,2234,Jan!$J:$J,7400)</f>
        <v>0</v>
      </c>
      <c r="C48" s="59">
        <f>COUNTIFS(Feb!$B:$B,2234,Feb!$J:$J,7400)</f>
        <v>0</v>
      </c>
      <c r="D48" s="59">
        <f>COUNTIFS(Mar!$B:$B,2234,Mar!$J:$J,7400)</f>
        <v>0</v>
      </c>
      <c r="E48" s="59">
        <f>COUNTIFS(Apr!$B:$B,2234,Apr!$J:$J,7400)</f>
        <v>0</v>
      </c>
      <c r="F48" s="59">
        <v>1</v>
      </c>
      <c r="G48" s="59">
        <f>COUNTIFS(Jun!$B:$B,2234,Jun!$J:$J,7400)</f>
        <v>0</v>
      </c>
      <c r="H48" s="59">
        <f>COUNTIFS(Jul!$B:$B,2234,Jul!$J:$J,7400)</f>
        <v>0</v>
      </c>
      <c r="I48" s="59">
        <f>COUNTIFS(Aug!$B:$B,2234,Aug!$J:$J,7400)</f>
        <v>0</v>
      </c>
      <c r="J48" s="59">
        <f>COUNTIFS(Sep!$B:$B,2234,Sep!$J:$J,7400)</f>
        <v>0</v>
      </c>
      <c r="K48" s="59">
        <f>COUNTIFS(Oct!$B:$B,2234,Oct!$J:$J,7400)</f>
        <v>0</v>
      </c>
      <c r="L48" s="59">
        <f>COUNTIFS(Nov!$B:$B,2234,Nov!$J:$J,7400)</f>
        <v>0</v>
      </c>
      <c r="M48" s="59">
        <v>0</v>
      </c>
    </row>
    <row r="49" spans="1:13" s="8" customFormat="1" ht="11.25" customHeight="1">
      <c r="A49" s="10" t="s">
        <v>2</v>
      </c>
      <c r="B49" s="59">
        <f>COUNTIFS(Jan!$B:$B,2234,Jan!$J:$J,14)</f>
        <v>0</v>
      </c>
      <c r="C49" s="59">
        <f>COUNTIFS(Feb!$B:$B,2234,Feb!$J:$J,14)</f>
        <v>0</v>
      </c>
      <c r="D49" s="59">
        <f>COUNTIFS(Mar!$B:$B,2234,Mar!$J:$J,14)</f>
        <v>0</v>
      </c>
      <c r="E49" s="59">
        <v>1</v>
      </c>
      <c r="F49" s="59">
        <f>COUNTIFS(May!$B:$B,2234,May!$J:$J,14)</f>
        <v>0</v>
      </c>
      <c r="G49" s="59">
        <f>COUNTIFS(Jun!$B:$B,2234,Jun!$J:$J,14)</f>
        <v>0</v>
      </c>
      <c r="H49" s="59">
        <f>COUNTIFS(Jul!$B:$B,2234,Jul!$J:$J,14)</f>
        <v>0</v>
      </c>
      <c r="I49" s="59">
        <v>1</v>
      </c>
      <c r="J49" s="59">
        <f>COUNTIFS(Sep!$B:$B,2234,Sep!$J:$J,14)</f>
        <v>0</v>
      </c>
      <c r="K49" s="59">
        <f>COUNTIFS(Oct!$B:$B,2234,Oct!$J:$J,14)</f>
        <v>0</v>
      </c>
      <c r="L49" s="59">
        <f>COUNTIFS(Nov!$B:$B,2234,Nov!$J:$J,14)</f>
        <v>0</v>
      </c>
      <c r="M49" s="59">
        <v>1</v>
      </c>
    </row>
    <row r="50" spans="1:13" s="8" customFormat="1" ht="11.25" customHeight="1">
      <c r="A50" s="10" t="s">
        <v>142</v>
      </c>
      <c r="B50" s="59">
        <f>COUNTIFS(Jan!$B:$B,2234,Jan!$F:$F,466)</f>
        <v>0</v>
      </c>
      <c r="C50" s="59">
        <f>COUNTIFS(Feb!$B:$B,2234,Feb!$F:$F,466)</f>
        <v>0</v>
      </c>
      <c r="D50" s="59">
        <f>COUNTIFS(Mar!$B:$B,2234,Mar!$F:$F,466)</f>
        <v>0</v>
      </c>
      <c r="E50" s="59">
        <f>COUNTIFS(Apr!$B:$B,2234,Apr!$F:$F,466)</f>
        <v>0</v>
      </c>
      <c r="F50" s="59">
        <f>COUNTIFS(May!$B:$B,2234,May!$F:$F,466)</f>
        <v>0</v>
      </c>
      <c r="G50" s="59">
        <f>COUNTIFS(Jun!$B:$B,2234,Jun!$F:$F,466)</f>
        <v>0</v>
      </c>
      <c r="H50" s="59">
        <f>COUNTIFS(Jul!$B:$B,2234,Jul!$F:$F,466)</f>
        <v>0</v>
      </c>
      <c r="I50" s="59">
        <f>COUNTIFS(Aug!$B:$B,2234,Aug!$F:$F,466)</f>
        <v>0</v>
      </c>
      <c r="J50" s="59">
        <f>COUNTIFS(Sep!$B:$B,2234,Sep!$F:$F,466)</f>
        <v>0</v>
      </c>
      <c r="K50" s="59">
        <f>COUNTIFS(Oct!$B:$B,2234,Oct!$F:$F,466)</f>
        <v>0</v>
      </c>
      <c r="L50" s="59">
        <v>1</v>
      </c>
      <c r="M50" s="59">
        <v>0</v>
      </c>
    </row>
    <row r="51" spans="1:13" s="8" customFormat="1" ht="11.25" customHeight="1">
      <c r="A51" s="10" t="s">
        <v>27</v>
      </c>
      <c r="B51" s="59">
        <f>COUNTIFS(Jan!$B:$B,2234,Jan!$J:$J,25)</f>
        <v>0</v>
      </c>
      <c r="C51" s="59">
        <f>COUNTIFS(Feb!$B:$B,2234,Feb!$J:$J,25)</f>
        <v>0</v>
      </c>
      <c r="D51" s="59">
        <f>COUNTIFS(Mar!$B:$B,2234,Mar!$J:$J,25)</f>
        <v>0</v>
      </c>
      <c r="E51" s="59">
        <f>COUNTIFS(Apr!$B:$B,2234,Apr!$J:$J,25)</f>
        <v>0</v>
      </c>
      <c r="F51" s="59">
        <f>COUNTIFS(May!$B:$B,2234,May!$J:$J,25)</f>
        <v>0</v>
      </c>
      <c r="G51" s="59">
        <f>COUNTIFS(Jun!$B:$B,2234,Jun!$J:$J,25)</f>
        <v>0</v>
      </c>
      <c r="H51" s="59">
        <f>COUNTIFS(Jul!$B:$B,2234,Jul!$J:$J,25)</f>
        <v>0</v>
      </c>
      <c r="I51" s="59">
        <f>COUNTIFS(Aug!$B:$B,2234,Aug!$J:$J,25)</f>
        <v>0</v>
      </c>
      <c r="J51" s="59">
        <f>COUNTIFS(Sep!$B:$B,2234,Sep!$J:$J,25)</f>
        <v>0</v>
      </c>
      <c r="K51" s="59">
        <f>COUNTIFS(Oct!$B:$B,2234,Oct!$J:$J,25)</f>
        <v>0</v>
      </c>
      <c r="L51" s="59">
        <f>COUNTIFS(Nov!$B:$B,2234,Nov!$J:$J,25)</f>
        <v>0</v>
      </c>
      <c r="M51" s="59">
        <v>0</v>
      </c>
    </row>
    <row r="52" spans="1:13" s="8" customFormat="1" ht="11.25" customHeight="1" thickBot="1">
      <c r="A52" s="11" t="s">
        <v>16</v>
      </c>
      <c r="B52" s="60">
        <f>SUM(B34:B51)</f>
        <v>12</v>
      </c>
      <c r="C52" s="60">
        <f t="shared" ref="C52:M52" si="11">SUM(C34:C51)</f>
        <v>26</v>
      </c>
      <c r="D52" s="60">
        <f>SUM(D34:D51)</f>
        <v>17</v>
      </c>
      <c r="E52" s="60">
        <f>SUM(E34:E51)</f>
        <v>20</v>
      </c>
      <c r="F52" s="60">
        <f>SUM(F34:F51)</f>
        <v>13</v>
      </c>
      <c r="G52" s="60">
        <f>SUM(G34:G51)</f>
        <v>22</v>
      </c>
      <c r="H52" s="60">
        <f t="shared" si="11"/>
        <v>16</v>
      </c>
      <c r="I52" s="60">
        <f t="shared" si="11"/>
        <v>23</v>
      </c>
      <c r="J52" s="60">
        <f t="shared" si="11"/>
        <v>22</v>
      </c>
      <c r="K52" s="60">
        <f t="shared" si="11"/>
        <v>12</v>
      </c>
      <c r="L52" s="159">
        <f t="shared" si="11"/>
        <v>15</v>
      </c>
      <c r="M52" s="170">
        <f t="shared" si="11"/>
        <v>18</v>
      </c>
    </row>
    <row r="53" spans="1:13" ht="12" customHeight="1" thickBot="1">
      <c r="A53" s="55" t="s">
        <v>137</v>
      </c>
      <c r="B53" s="50">
        <v>41275</v>
      </c>
      <c r="C53" s="47">
        <v>41306</v>
      </c>
      <c r="D53" s="47">
        <v>41334</v>
      </c>
      <c r="E53" s="47">
        <v>41365</v>
      </c>
      <c r="F53" s="47">
        <v>41395</v>
      </c>
      <c r="G53" s="47">
        <v>41426</v>
      </c>
      <c r="H53" s="47">
        <v>41456</v>
      </c>
      <c r="I53" s="47">
        <v>41487</v>
      </c>
      <c r="J53" s="47">
        <v>41518</v>
      </c>
      <c r="K53" s="47">
        <v>41548</v>
      </c>
      <c r="L53" s="47">
        <v>41579</v>
      </c>
      <c r="M53" s="51">
        <v>41609</v>
      </c>
    </row>
    <row r="54" spans="1:13" s="8" customFormat="1" ht="11.25" customHeight="1">
      <c r="A54" s="10" t="s">
        <v>30</v>
      </c>
      <c r="B54" s="57">
        <f>COUNTIFS(Jan!$B:$B,2234,Jan!$J:$J,7)</f>
        <v>0</v>
      </c>
      <c r="C54" s="57">
        <f>COUNTIFS(Feb!$B:$B,2234,Feb!$J:$J,7)</f>
        <v>0</v>
      </c>
      <c r="D54" s="57">
        <v>1</v>
      </c>
      <c r="E54" s="57">
        <v>1</v>
      </c>
      <c r="F54" s="57">
        <f>COUNTIFS(May!$B:$B,2234,May!$J:$J,7)</f>
        <v>0</v>
      </c>
      <c r="G54" s="57">
        <f>COUNTIFS(Jun!$B:$B,2234,Jun!$J:$J,7)</f>
        <v>0</v>
      </c>
      <c r="H54" s="57">
        <v>1</v>
      </c>
      <c r="I54" s="57">
        <f>COUNTIFS(Aug!$B:$B,2234,Aug!$J:$J,7)</f>
        <v>0</v>
      </c>
      <c r="J54" s="57">
        <v>1</v>
      </c>
      <c r="K54" s="57">
        <f>COUNTIFS(Oct!$B:$B,2234,Oct!$J:$J,7)</f>
        <v>0</v>
      </c>
      <c r="L54" s="57">
        <f>COUNTIFS(Nov!$B:$B,2234,Nov!$J:$J,7)</f>
        <v>0</v>
      </c>
      <c r="M54" s="57">
        <v>0</v>
      </c>
    </row>
    <row r="55" spans="1:13" s="8" customFormat="1" ht="11.25" customHeight="1">
      <c r="A55" s="10" t="s">
        <v>29</v>
      </c>
      <c r="B55" s="59">
        <f>COUNTIFS(Jan!$B:$B,2234,Jan!$J:$J,8)</f>
        <v>0</v>
      </c>
      <c r="C55" s="59">
        <f>COUNTIFS(Feb!$B:$B,2234,Feb!$J:$J,8)</f>
        <v>0</v>
      </c>
      <c r="D55" s="59">
        <f>COUNTIFS(Mar!$B:$B,2234,Mar!$J:$J,8)</f>
        <v>0</v>
      </c>
      <c r="E55" s="59">
        <f>COUNTIFS(Apr!$B:$B,2234,Apr!$J:$J,8)</f>
        <v>0</v>
      </c>
      <c r="F55" s="59">
        <f>COUNTIFS(May!$B:$B,2234,May!$J:$J,8)</f>
        <v>0</v>
      </c>
      <c r="G55" s="59">
        <f>COUNTIFS(Jun!$B:$B,2234,Jun!$J:$J,8)</f>
        <v>0</v>
      </c>
      <c r="H55" s="59">
        <f>COUNTIFS(Jul!$B:$B,2234,Jul!$J:$J,8)</f>
        <v>0</v>
      </c>
      <c r="I55" s="59">
        <f>COUNTIFS(Aug!$B:$B,2234,Aug!$J:$J,8)</f>
        <v>0</v>
      </c>
      <c r="J55" s="59">
        <f>COUNTIFS(Sep!$B:$B,2234,Sep!$J:$J,8)</f>
        <v>0</v>
      </c>
      <c r="K55" s="59">
        <f>COUNTIFS(Oct!$B:$B,2234,Oct!$J:$J,8)</f>
        <v>0</v>
      </c>
      <c r="L55" s="59">
        <f>COUNTIFS(Nov!$B:$B,2234,Nov!$J:$J,8)</f>
        <v>0</v>
      </c>
      <c r="M55" s="59">
        <v>0</v>
      </c>
    </row>
    <row r="56" spans="1:13" s="8" customFormat="1" ht="11.25" customHeight="1">
      <c r="A56" s="10" t="s">
        <v>7</v>
      </c>
      <c r="B56" s="59">
        <f>COUNTIFS(Jan!$B:$B,2234,Jan!$J:$J,12)</f>
        <v>0</v>
      </c>
      <c r="C56" s="59">
        <f>COUNTIFS(Feb!$B:$B,2234,Feb!$J:$J,12)</f>
        <v>0</v>
      </c>
      <c r="D56" s="59">
        <f>COUNTIFS(Mar!$B:$B,2234,Mar!$J:$J,12)</f>
        <v>0</v>
      </c>
      <c r="E56" s="59">
        <f>COUNTIFS(Apr!$B:$B,2234,Apr!$J:$J,12)</f>
        <v>0</v>
      </c>
      <c r="F56" s="59">
        <v>1</v>
      </c>
      <c r="G56" s="59">
        <f>COUNTIFS(Jun!$B:$B,2234,Jun!$J:$J,12)</f>
        <v>0</v>
      </c>
      <c r="H56" s="59">
        <f>COUNTIFS(Jul!$B:$B,2234,Jul!$J:$J,12)</f>
        <v>0</v>
      </c>
      <c r="I56" s="59">
        <f>COUNTIFS(Aug!$B:$B,2234,Aug!$J:$J,12)</f>
        <v>0</v>
      </c>
      <c r="J56" s="59">
        <f>COUNTIFS(Sep!$B:$B,2234,Sep!$J:$J,12)</f>
        <v>0</v>
      </c>
      <c r="K56" s="59">
        <f>COUNTIFS(Oct!$B:$B,2234,Oct!$J:$J,12)</f>
        <v>0</v>
      </c>
      <c r="L56" s="59">
        <f>COUNTIFS(Nov!$B:$B,2234,Nov!$J:$J,12)</f>
        <v>0</v>
      </c>
      <c r="M56" s="59">
        <v>0</v>
      </c>
    </row>
    <row r="57" spans="1:13" s="8" customFormat="1" ht="11.25" customHeight="1">
      <c r="A57" s="10" t="s">
        <v>10</v>
      </c>
      <c r="B57" s="59">
        <f>COUNTIFS(Jan!$B:$B,2234,Jan!$J:$J,5100)</f>
        <v>0</v>
      </c>
      <c r="C57" s="59">
        <f>COUNTIFS(Feb!$B:$B,2234,Feb!$J:$J,5100)</f>
        <v>0</v>
      </c>
      <c r="D57" s="59">
        <f>COUNTIFS(Mar!$B:$B,2234,Mar!$J:$J,5100)</f>
        <v>0</v>
      </c>
      <c r="E57" s="59">
        <f>COUNTIFS(Apr!$B:$B,2234,Apr!$J:$J,5100)</f>
        <v>0</v>
      </c>
      <c r="F57" s="59">
        <f>COUNTIFS(May!$B:$B,2234,May!$J:$J,5100)</f>
        <v>0</v>
      </c>
      <c r="G57" s="59">
        <f>COUNTIFS(Jun!$B:$B,2234,Jun!$J:$J,5100)</f>
        <v>0</v>
      </c>
      <c r="H57" s="59">
        <f>COUNTIFS(Jul!$B:$B,2234,Jul!$J:$J,5100)</f>
        <v>0</v>
      </c>
      <c r="I57" s="59">
        <f>COUNTIFS(Aug!$B:$B,2234,Aug!$J:$J,5100)</f>
        <v>0</v>
      </c>
      <c r="J57" s="59">
        <f>COUNTIFS(Sep!$B:$B,2234,Sep!$J:$J,5100)</f>
        <v>0</v>
      </c>
      <c r="K57" s="59">
        <f>COUNTIFS(Oct!$B:$B,2234,Oct!$J:$J,5100)</f>
        <v>0</v>
      </c>
      <c r="L57" s="59">
        <v>2</v>
      </c>
      <c r="M57" s="59">
        <v>0</v>
      </c>
    </row>
    <row r="58" spans="1:13" s="8" customFormat="1" ht="11.25" customHeight="1">
      <c r="A58" s="10" t="s">
        <v>36</v>
      </c>
      <c r="B58" s="59">
        <f>COUNTIFS(Jan!$B:$B,2234,Jan!$J:$J,6200)</f>
        <v>0</v>
      </c>
      <c r="C58" s="59">
        <f>COUNTIFS(Feb!$B:$B,2234,Feb!$J:$J,6200)</f>
        <v>0</v>
      </c>
      <c r="D58" s="59">
        <f>COUNTIFS(Mar!$B:$B,2234,Mar!$J:$J,6200)</f>
        <v>0</v>
      </c>
      <c r="E58" s="59">
        <f>COUNTIFS(Apr!$B:$B,2234,Apr!$J:$J,6200)</f>
        <v>0</v>
      </c>
      <c r="F58" s="59">
        <f>COUNTIFS(May!$B:$B,2234,May!$J:$J,6200)</f>
        <v>0</v>
      </c>
      <c r="G58" s="59">
        <f>COUNTIFS(Jun!$B:$B,2234,Jun!$J:$J,6200)</f>
        <v>0</v>
      </c>
      <c r="H58" s="59">
        <v>1</v>
      </c>
      <c r="I58" s="59">
        <f>COUNTIFS(Aug!$B:$B,2234,Aug!$J:$J,6200)</f>
        <v>0</v>
      </c>
      <c r="J58" s="59">
        <f>COUNTIFS(Sep!$B:$B,2234,Sep!$J:$J,6200)</f>
        <v>0</v>
      </c>
      <c r="K58" s="59">
        <f>COUNTIFS(Oct!$B:$B,2234,Oct!$J:$J,6200)</f>
        <v>0</v>
      </c>
      <c r="L58" s="59">
        <f>COUNTIFS(Nov!$B:$B,2234,Nov!$J:$J,6200)</f>
        <v>0</v>
      </c>
      <c r="M58" s="59">
        <v>0</v>
      </c>
    </row>
    <row r="59" spans="1:13" s="8" customFormat="1" ht="11.25" customHeight="1">
      <c r="A59" s="10" t="s">
        <v>145</v>
      </c>
      <c r="B59" s="59">
        <f>COUNTIFS(Jan!$B:$B,2234,Jan!$J:$J,28)</f>
        <v>0</v>
      </c>
      <c r="C59" s="59">
        <f>COUNTIFS(Feb!$B:$B,2234,Feb!$J:$J,28)</f>
        <v>0</v>
      </c>
      <c r="D59" s="59">
        <f>COUNTIFS(Mar!$B:$B,2234,Mar!$J:$J,28)</f>
        <v>0</v>
      </c>
      <c r="E59" s="59">
        <f>COUNTIFS(Apr!$B:$B,2234,Apr!$J:$J,28)</f>
        <v>0</v>
      </c>
      <c r="F59" s="59">
        <f>COUNTIFS(May!$B:$B,2234,May!$J:$J,28)</f>
        <v>0</v>
      </c>
      <c r="G59" s="59">
        <f>COUNTIFS(Jun!$B:$B,2234,Jun!$J:$J,28)</f>
        <v>0</v>
      </c>
      <c r="H59" s="59">
        <f>COUNTIFS(Jul!$B:$B,2234,Jul!$J:$J,28)</f>
        <v>0</v>
      </c>
      <c r="I59" s="59">
        <f>COUNTIFS(Aug!$B:$B,2234,Aug!$J:$J,28)</f>
        <v>0</v>
      </c>
      <c r="J59" s="59">
        <f>COUNTIFS(Sep!$B:$B,2234,Sep!$J:$J,28)</f>
        <v>0</v>
      </c>
      <c r="K59" s="59">
        <f>COUNTIFS(Oct!$B:$B,2234,Oct!$J:$J,28)</f>
        <v>0</v>
      </c>
      <c r="L59" s="59">
        <f>COUNTIFS(Nov!$B:$B,2234,Nov!$J:$J,28)</f>
        <v>0</v>
      </c>
      <c r="M59" s="59">
        <v>0</v>
      </c>
    </row>
    <row r="60" spans="1:13" s="8" customFormat="1" ht="11.25" customHeight="1">
      <c r="A60" s="10" t="s">
        <v>38</v>
      </c>
      <c r="B60" s="59">
        <f>COUNTIFS(Jan!$B:$B,2234,Jan!$J:$J,6100)</f>
        <v>0</v>
      </c>
      <c r="C60" s="59">
        <f>COUNTIFS(Feb!$B:$B,2234,Feb!$J:$J,6100)</f>
        <v>0</v>
      </c>
      <c r="D60" s="59">
        <f>COUNTIFS(Mar!$B:$B,2234,Mar!$J:$J,6100)</f>
        <v>0</v>
      </c>
      <c r="E60" s="59">
        <v>1</v>
      </c>
      <c r="F60" s="59">
        <f>COUNTIFS(May!$B:$B,2234,May!$J:$J,6100)</f>
        <v>0</v>
      </c>
      <c r="G60" s="59">
        <f>COUNTIFS(Jun!$B:$B,2234,Jun!$J:$J,6100)</f>
        <v>0</v>
      </c>
      <c r="H60" s="59">
        <v>3</v>
      </c>
      <c r="I60" s="59">
        <f>COUNTIFS(Aug!$B:$B,2234,Aug!$J:$J,6100)</f>
        <v>0</v>
      </c>
      <c r="J60" s="59">
        <v>1</v>
      </c>
      <c r="K60" s="59">
        <v>2</v>
      </c>
      <c r="L60" s="59">
        <v>3</v>
      </c>
      <c r="M60" s="59">
        <v>0</v>
      </c>
    </row>
    <row r="61" spans="1:13" s="8" customFormat="1" ht="11.25" customHeight="1">
      <c r="A61" s="10" t="s">
        <v>9</v>
      </c>
      <c r="B61" s="59">
        <f>COUNTIFS(Jan!$B:$B,2234,Jan!$J:$J,6)</f>
        <v>0</v>
      </c>
      <c r="C61" s="59">
        <f>COUNTIFS(Feb!$B:$B,2234,Feb!$J:$J,6)</f>
        <v>0</v>
      </c>
      <c r="D61" s="59">
        <f>COUNTIFS(Mar!$B:$B,2234,Mar!$J:$J,6)</f>
        <v>0</v>
      </c>
      <c r="E61" s="59">
        <f>COUNTIFS(Apr!$B:$B,2234,Apr!$J:$J,6)</f>
        <v>0</v>
      </c>
      <c r="F61" s="59">
        <f>COUNTIFS(May!$B:$B,2234,May!$J:$J,6)</f>
        <v>0</v>
      </c>
      <c r="G61" s="59">
        <f>COUNTIFS(Jun!$B:$B,2234,Jun!$J:$J,6)</f>
        <v>0</v>
      </c>
      <c r="H61" s="59">
        <f>COUNTIFS(Jul!$B:$B,2234,Jul!$J:$J,6)</f>
        <v>0</v>
      </c>
      <c r="I61" s="59">
        <f>COUNTIFS(Aug!$B:$B,2234,Aug!$J:$J,6)</f>
        <v>0</v>
      </c>
      <c r="J61" s="59">
        <f>COUNTIFS(Sep!$B:$B,2234,Sep!$J:$J,6)</f>
        <v>0</v>
      </c>
      <c r="K61" s="59">
        <f>COUNTIFS(Oct!$B:$B,2234,Oct!$J:$J,6)</f>
        <v>0</v>
      </c>
      <c r="L61" s="59">
        <f>COUNTIFS(Nov!$B:$B,2234,Nov!$J:$J,6)</f>
        <v>0</v>
      </c>
      <c r="M61" s="59">
        <v>0</v>
      </c>
    </row>
    <row r="62" spans="1:13" s="8" customFormat="1" ht="11.25" customHeight="1">
      <c r="A62" s="10" t="s">
        <v>8</v>
      </c>
      <c r="B62" s="59">
        <f>COUNTIFS(Jan!$B:$B,2234,Jan!$J:$J,4)</f>
        <v>0</v>
      </c>
      <c r="C62" s="59">
        <f>COUNTIFS(Feb!$B:$B,2234,Feb!$J:$J,4)</f>
        <v>0</v>
      </c>
      <c r="D62" s="59">
        <f>COUNTIFS(Mar!$B:$B,2234,Mar!$J:$J,4)</f>
        <v>0</v>
      </c>
      <c r="E62" s="59">
        <f>COUNTIFS(Apr!$B:$B,2234,Apr!$J:$J,4)</f>
        <v>0</v>
      </c>
      <c r="F62" s="59">
        <f>COUNTIFS(May!$B:$B,2234,May!$J:$J,4)</f>
        <v>0</v>
      </c>
      <c r="G62" s="59">
        <f>COUNTIFS(Jun!$B:$B,2234,Jun!$J:$J,4)</f>
        <v>0</v>
      </c>
      <c r="H62" s="59">
        <f>COUNTIFS(Jul!$B:$B,2234,Jul!$J:$J,4)</f>
        <v>0</v>
      </c>
      <c r="I62" s="59">
        <f>COUNTIFS(Aug!$B:$B,2234,Aug!$J:$J,4)</f>
        <v>0</v>
      </c>
      <c r="J62" s="59">
        <f>COUNTIFS(Sep!$B:$B,2234,Sep!$J:$J,4)</f>
        <v>0</v>
      </c>
      <c r="K62" s="59">
        <f>COUNTIFS(Oct!$B:$B,2234,Oct!$J:$J,4)</f>
        <v>0</v>
      </c>
      <c r="L62" s="59">
        <f>COUNTIFS(Nov!$B:$B,2234,Nov!$J:$J,4)</f>
        <v>0</v>
      </c>
      <c r="M62" s="59">
        <v>0</v>
      </c>
    </row>
    <row r="63" spans="1:13" s="8" customFormat="1" ht="11.25" customHeight="1">
      <c r="A63" s="10" t="s">
        <v>6</v>
      </c>
      <c r="B63" s="59">
        <f>COUNTIFS(Jan!$B:$B,2234,Jan!$J:$J,5)</f>
        <v>0</v>
      </c>
      <c r="C63" s="59">
        <f>COUNTIFS(Feb!$B:$B,2234,Feb!$J:$J,5)</f>
        <v>0</v>
      </c>
      <c r="D63" s="59">
        <f>COUNTIFS(Mar!$B:$B,2234,Mar!$J:$J,5)</f>
        <v>0</v>
      </c>
      <c r="E63" s="59">
        <f>COUNTIFS(Apr!$B:$B,2234,Apr!$J:$J,5)</f>
        <v>0</v>
      </c>
      <c r="F63" s="59">
        <f>COUNTIFS(May!$B:$B,2234,May!$J:$J,5)</f>
        <v>0</v>
      </c>
      <c r="G63" s="59">
        <f>COUNTIFS(Jun!$B:$B,2234,Jun!$J:$J,5)</f>
        <v>0</v>
      </c>
      <c r="H63" s="59">
        <f>COUNTIFS(Jul!$B:$B,2234,Jul!$J:$J,5)</f>
        <v>0</v>
      </c>
      <c r="I63" s="59">
        <f>COUNTIFS(Aug!$B:$B,2234,Aug!$J:$J,5)</f>
        <v>0</v>
      </c>
      <c r="J63" s="59">
        <f>COUNTIFS(Sep!$B:$B,2234,Sep!$J:$J,5)</f>
        <v>0</v>
      </c>
      <c r="K63" s="59">
        <f>COUNTIFS(Oct!$B:$B,2234,Oct!$J:$J,5)</f>
        <v>0</v>
      </c>
      <c r="L63" s="59">
        <f>COUNTIFS(Nov!$B:$B,2234,Nov!$J:$J,5)</f>
        <v>0</v>
      </c>
      <c r="M63" s="59">
        <v>0</v>
      </c>
    </row>
    <row r="64" spans="1:13" s="8" customFormat="1" ht="11.25" customHeight="1">
      <c r="A64" s="52" t="s">
        <v>141</v>
      </c>
      <c r="B64" s="69">
        <f>COUNTIFS(Jan!$B:$B,2234,Jan!$F:$F,456)</f>
        <v>1</v>
      </c>
      <c r="C64" s="69">
        <f>COUNTIFS(Feb!$B:$B,2234,Feb!$F:$F,456)</f>
        <v>0</v>
      </c>
      <c r="D64" s="69">
        <v>1</v>
      </c>
      <c r="E64" s="69">
        <f>COUNTIFS(Apr!$B:$B,2234,Apr!$F:$F,456)</f>
        <v>0</v>
      </c>
      <c r="F64" s="69">
        <f>COUNTIFS(May!$B:$B,2234,May!$F:$F,456)</f>
        <v>0</v>
      </c>
      <c r="G64" s="69">
        <f>COUNTIFS(Jun!$B:$B,2234,Jun!$F:$F,456)</f>
        <v>0</v>
      </c>
      <c r="H64" s="69">
        <f>COUNTIFS(Jul!$B:$B,2234,Jul!$F:$F,456)</f>
        <v>0</v>
      </c>
      <c r="I64" s="69">
        <f>COUNTIFS(Aug!$B:$B,2234,Aug!$F:$F,456)</f>
        <v>0</v>
      </c>
      <c r="J64" s="69">
        <f>COUNTIFS(Sep!$B:$B,2234,Sep!$F:$F,456)</f>
        <v>0</v>
      </c>
      <c r="K64" s="69">
        <f>COUNTIFS(Oct!$B:$B,2234,Oct!$F:$F,456)</f>
        <v>0</v>
      </c>
      <c r="L64" s="69">
        <f>COUNTIFS(Nov!$B:$B,2234,Nov!$F:$F,456)</f>
        <v>0</v>
      </c>
      <c r="M64" s="69">
        <v>0</v>
      </c>
    </row>
    <row r="65" spans="1:13" s="8" customFormat="1" ht="11.25" customHeight="1" thickBot="1">
      <c r="A65" s="12" t="s">
        <v>16</v>
      </c>
      <c r="B65" s="70">
        <f>SUM(B54:B64)</f>
        <v>1</v>
      </c>
      <c r="C65" s="70">
        <f t="shared" ref="C65:M65" si="12">SUM(C54:C64)</f>
        <v>0</v>
      </c>
      <c r="D65" s="70">
        <f t="shared" si="12"/>
        <v>2</v>
      </c>
      <c r="E65" s="70">
        <f t="shared" si="12"/>
        <v>2</v>
      </c>
      <c r="F65" s="70">
        <f t="shared" si="12"/>
        <v>1</v>
      </c>
      <c r="G65" s="70">
        <f t="shared" si="12"/>
        <v>0</v>
      </c>
      <c r="H65" s="70">
        <f t="shared" si="12"/>
        <v>5</v>
      </c>
      <c r="I65" s="70">
        <f t="shared" si="12"/>
        <v>0</v>
      </c>
      <c r="J65" s="70">
        <f t="shared" si="12"/>
        <v>2</v>
      </c>
      <c r="K65" s="70">
        <f t="shared" si="12"/>
        <v>2</v>
      </c>
      <c r="L65" s="165">
        <f t="shared" si="12"/>
        <v>5</v>
      </c>
      <c r="M65" s="170">
        <f t="shared" si="12"/>
        <v>0</v>
      </c>
    </row>
    <row r="66" spans="1:13" s="8" customFormat="1" ht="15.75" customHeight="1">
      <c r="A66" s="6"/>
      <c r="B66" s="7"/>
      <c r="C66" s="7"/>
      <c r="D66" s="7"/>
      <c r="E66" s="7"/>
      <c r="F66" s="7"/>
      <c r="G66" s="7"/>
      <c r="H66" s="7"/>
      <c r="I66" s="7"/>
      <c r="J66" s="7"/>
      <c r="K66" s="7"/>
      <c r="L66" s="7"/>
      <c r="M66" s="7"/>
    </row>
    <row r="67" spans="1:13" ht="12" customHeight="1">
      <c r="A67" s="6"/>
      <c r="B67" s="7"/>
      <c r="C67" s="7"/>
      <c r="D67" s="7"/>
      <c r="E67" s="7"/>
      <c r="F67" s="7"/>
      <c r="G67" s="7"/>
      <c r="H67" s="7"/>
      <c r="I67" s="7"/>
      <c r="J67" s="7"/>
      <c r="K67" s="7"/>
      <c r="L67" s="7"/>
      <c r="M67" s="7"/>
    </row>
  </sheetData>
  <phoneticPr fontId="0" type="noConversion"/>
  <printOptions horizontalCentered="1" verticalCentered="1"/>
  <pageMargins left="0.14000000000000001" right="0.16" top="0.25" bottom="0.5" header="0.5" footer="0.25"/>
  <pageSetup scale="95" firstPageNumber="3" orientation="portrait" useFirstPageNumber="1" r:id="rId1"/>
  <headerFooter alignWithMargins="0">
    <oddFooter>&amp;R41 of 51</oddFooter>
  </headerFooter>
  <ignoredErrors>
    <ignoredError sqref="M32 M52 M65" formulaRange="1"/>
  </ignoredErrors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67"/>
  <sheetViews>
    <sheetView view="pageBreakPreview" zoomScale="90" zoomScaleNormal="100" zoomScaleSheetLayoutView="90" workbookViewId="0">
      <selection activeCell="M65" sqref="M65"/>
    </sheetView>
  </sheetViews>
  <sheetFormatPr defaultRowHeight="12.75"/>
  <cols>
    <col min="1" max="1" width="22.85546875" style="1" customWidth="1"/>
    <col min="2" max="13" width="7.140625" style="1" customWidth="1"/>
    <col min="14" max="14" width="4.42578125" style="1" customWidth="1"/>
    <col min="15" max="16384" width="9.140625" style="1"/>
  </cols>
  <sheetData>
    <row r="1" spans="1:21" ht="18" customHeight="1">
      <c r="A1" s="130"/>
      <c r="B1" s="131"/>
      <c r="C1" s="131"/>
      <c r="D1" s="131"/>
      <c r="E1" s="131"/>
      <c r="F1" s="131"/>
      <c r="G1" s="130"/>
      <c r="H1" s="130"/>
      <c r="I1" s="131"/>
      <c r="J1" s="131"/>
      <c r="K1" s="131"/>
      <c r="L1" s="130"/>
      <c r="M1" s="143" t="s">
        <v>22</v>
      </c>
    </row>
    <row r="2" spans="1:21" ht="18" customHeight="1">
      <c r="A2" s="130"/>
      <c r="B2" s="135"/>
      <c r="C2" s="135"/>
      <c r="D2" s="135"/>
      <c r="E2" s="135"/>
      <c r="F2" s="135"/>
      <c r="G2" s="130"/>
      <c r="H2" s="130"/>
      <c r="I2" s="135"/>
      <c r="J2" s="135"/>
      <c r="K2" s="135"/>
      <c r="L2" s="130"/>
      <c r="M2" s="155" t="s">
        <v>13</v>
      </c>
    </row>
    <row r="3" spans="1:21" s="5" customFormat="1" ht="18" customHeight="1">
      <c r="A3" s="133"/>
      <c r="B3" s="133"/>
      <c r="C3" s="133"/>
      <c r="D3" s="133"/>
      <c r="E3" s="133"/>
      <c r="F3" s="133"/>
      <c r="G3" s="133"/>
      <c r="H3" s="133"/>
      <c r="I3" s="133"/>
      <c r="J3" s="136"/>
      <c r="K3" s="136"/>
      <c r="L3" s="133"/>
      <c r="M3" s="155" t="s">
        <v>82</v>
      </c>
      <c r="N3" s="134"/>
      <c r="O3" s="134"/>
      <c r="P3" s="134"/>
      <c r="Q3" s="134"/>
      <c r="R3" s="134"/>
      <c r="S3" s="134"/>
      <c r="T3" s="134"/>
      <c r="U3" s="134"/>
    </row>
    <row r="4" spans="1:21" s="8" customFormat="1" ht="6.75" customHeight="1" thickBot="1">
      <c r="A4" s="38"/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</row>
    <row r="5" spans="1:21" s="8" customFormat="1" ht="11.25" customHeight="1" thickBot="1">
      <c r="A5" s="53" t="s">
        <v>19</v>
      </c>
      <c r="B5" s="50">
        <v>41275</v>
      </c>
      <c r="C5" s="47">
        <v>41306</v>
      </c>
      <c r="D5" s="47">
        <v>41334</v>
      </c>
      <c r="E5" s="47">
        <v>41365</v>
      </c>
      <c r="F5" s="47">
        <v>41395</v>
      </c>
      <c r="G5" s="47">
        <v>41426</v>
      </c>
      <c r="H5" s="47">
        <v>41456</v>
      </c>
      <c r="I5" s="47">
        <v>41487</v>
      </c>
      <c r="J5" s="47">
        <v>41518</v>
      </c>
      <c r="K5" s="47">
        <v>41548</v>
      </c>
      <c r="L5" s="47">
        <v>41579</v>
      </c>
      <c r="M5" s="51">
        <v>41609</v>
      </c>
    </row>
    <row r="6" spans="1:21" s="8" customFormat="1" ht="11.25" customHeight="1">
      <c r="A6" s="41" t="s">
        <v>129</v>
      </c>
      <c r="B6" s="57">
        <f t="shared" ref="B6:M6" si="0">B32</f>
        <v>35</v>
      </c>
      <c r="C6" s="57">
        <f t="shared" si="0"/>
        <v>28</v>
      </c>
      <c r="D6" s="57">
        <f t="shared" si="0"/>
        <v>29</v>
      </c>
      <c r="E6" s="57">
        <f t="shared" si="0"/>
        <v>25</v>
      </c>
      <c r="F6" s="57">
        <f t="shared" si="0"/>
        <v>20</v>
      </c>
      <c r="G6" s="57">
        <f t="shared" si="0"/>
        <v>24</v>
      </c>
      <c r="H6" s="57">
        <f t="shared" si="0"/>
        <v>34</v>
      </c>
      <c r="I6" s="57">
        <f t="shared" si="0"/>
        <v>41</v>
      </c>
      <c r="J6" s="57">
        <f t="shared" si="0"/>
        <v>39</v>
      </c>
      <c r="K6" s="57">
        <f t="shared" si="0"/>
        <v>17</v>
      </c>
      <c r="L6" s="156">
        <f t="shared" si="0"/>
        <v>23</v>
      </c>
      <c r="M6" s="168">
        <f t="shared" si="0"/>
        <v>33</v>
      </c>
    </row>
    <row r="7" spans="1:21" s="8" customFormat="1" ht="11.25" customHeight="1">
      <c r="A7" s="42" t="s">
        <v>18</v>
      </c>
      <c r="B7" s="57">
        <f t="shared" ref="B7:M7" si="1">SUM(B10:B12)</f>
        <v>99</v>
      </c>
      <c r="C7" s="57">
        <f t="shared" si="1"/>
        <v>89</v>
      </c>
      <c r="D7" s="57">
        <f t="shared" si="1"/>
        <v>97</v>
      </c>
      <c r="E7" s="57">
        <f t="shared" si="1"/>
        <v>109</v>
      </c>
      <c r="F7" s="57">
        <f t="shared" si="1"/>
        <v>116</v>
      </c>
      <c r="G7" s="57">
        <f t="shared" si="1"/>
        <v>118</v>
      </c>
      <c r="H7" s="57">
        <f t="shared" si="1"/>
        <v>111</v>
      </c>
      <c r="I7" s="57">
        <f t="shared" si="1"/>
        <v>118</v>
      </c>
      <c r="J7" s="57">
        <f t="shared" si="1"/>
        <v>101</v>
      </c>
      <c r="K7" s="57">
        <f t="shared" si="1"/>
        <v>104</v>
      </c>
      <c r="L7" s="156">
        <f t="shared" si="1"/>
        <v>96</v>
      </c>
      <c r="M7" s="171">
        <f t="shared" si="1"/>
        <v>126</v>
      </c>
    </row>
    <row r="8" spans="1:21" s="8" customFormat="1" ht="11.25" customHeight="1" thickBot="1">
      <c r="A8" s="43" t="s">
        <v>14</v>
      </c>
      <c r="B8" s="58">
        <f t="shared" ref="B8:M8" si="2">SUM(B6:B7)</f>
        <v>134</v>
      </c>
      <c r="C8" s="58">
        <f t="shared" si="2"/>
        <v>117</v>
      </c>
      <c r="D8" s="58">
        <f t="shared" si="2"/>
        <v>126</v>
      </c>
      <c r="E8" s="58">
        <f t="shared" si="2"/>
        <v>134</v>
      </c>
      <c r="F8" s="58">
        <f t="shared" si="2"/>
        <v>136</v>
      </c>
      <c r="G8" s="58">
        <f t="shared" si="2"/>
        <v>142</v>
      </c>
      <c r="H8" s="58">
        <f t="shared" si="2"/>
        <v>145</v>
      </c>
      <c r="I8" s="58">
        <f t="shared" si="2"/>
        <v>159</v>
      </c>
      <c r="J8" s="58">
        <f t="shared" si="2"/>
        <v>140</v>
      </c>
      <c r="K8" s="58">
        <f t="shared" si="2"/>
        <v>121</v>
      </c>
      <c r="L8" s="157">
        <f t="shared" si="2"/>
        <v>119</v>
      </c>
      <c r="M8" s="172">
        <f t="shared" si="2"/>
        <v>159</v>
      </c>
    </row>
    <row r="9" spans="1:21" s="8" customFormat="1" ht="11.25" customHeight="1" thickBot="1">
      <c r="A9" s="54" t="s">
        <v>18</v>
      </c>
      <c r="B9" s="50">
        <v>41275</v>
      </c>
      <c r="C9" s="47">
        <v>41306</v>
      </c>
      <c r="D9" s="47">
        <v>41334</v>
      </c>
      <c r="E9" s="47">
        <v>41365</v>
      </c>
      <c r="F9" s="47">
        <v>41395</v>
      </c>
      <c r="G9" s="47">
        <v>41426</v>
      </c>
      <c r="H9" s="47">
        <v>41456</v>
      </c>
      <c r="I9" s="47">
        <v>41487</v>
      </c>
      <c r="J9" s="47">
        <v>41518</v>
      </c>
      <c r="K9" s="47">
        <v>41548</v>
      </c>
      <c r="L9" s="47">
        <v>41579</v>
      </c>
      <c r="M9" s="51">
        <v>41609</v>
      </c>
    </row>
    <row r="10" spans="1:21" s="8" customFormat="1" ht="11.25" customHeight="1">
      <c r="A10" s="9" t="s">
        <v>128</v>
      </c>
      <c r="B10" s="57">
        <f t="shared" ref="B10:M10" si="3">B52</f>
        <v>48</v>
      </c>
      <c r="C10" s="57">
        <f t="shared" si="3"/>
        <v>43</v>
      </c>
      <c r="D10" s="57">
        <f t="shared" si="3"/>
        <v>53</v>
      </c>
      <c r="E10" s="57">
        <f t="shared" si="3"/>
        <v>61</v>
      </c>
      <c r="F10" s="57">
        <f t="shared" si="3"/>
        <v>57</v>
      </c>
      <c r="G10" s="59">
        <f t="shared" si="3"/>
        <v>58</v>
      </c>
      <c r="H10" s="59">
        <f t="shared" si="3"/>
        <v>63</v>
      </c>
      <c r="I10" s="59">
        <f t="shared" si="3"/>
        <v>68</v>
      </c>
      <c r="J10" s="59">
        <f t="shared" si="3"/>
        <v>54</v>
      </c>
      <c r="K10" s="59">
        <f t="shared" si="3"/>
        <v>51</v>
      </c>
      <c r="L10" s="158">
        <f t="shared" si="3"/>
        <v>48</v>
      </c>
      <c r="M10" s="168">
        <f t="shared" si="3"/>
        <v>59</v>
      </c>
    </row>
    <row r="11" spans="1:21" s="8" customFormat="1" ht="11.25" customHeight="1">
      <c r="A11" s="9" t="s">
        <v>127</v>
      </c>
      <c r="B11" s="59">
        <f t="shared" ref="B11:M11" si="4">B65</f>
        <v>8</v>
      </c>
      <c r="C11" s="59">
        <f t="shared" si="4"/>
        <v>4</v>
      </c>
      <c r="D11" s="59">
        <f t="shared" si="4"/>
        <v>5</v>
      </c>
      <c r="E11" s="59">
        <f t="shared" si="4"/>
        <v>7</v>
      </c>
      <c r="F11" s="59">
        <f t="shared" si="4"/>
        <v>4</v>
      </c>
      <c r="G11" s="59">
        <f t="shared" si="4"/>
        <v>9</v>
      </c>
      <c r="H11" s="59">
        <f t="shared" si="4"/>
        <v>15</v>
      </c>
      <c r="I11" s="59">
        <f t="shared" si="4"/>
        <v>3</v>
      </c>
      <c r="J11" s="59">
        <f t="shared" si="4"/>
        <v>3</v>
      </c>
      <c r="K11" s="59">
        <f t="shared" si="4"/>
        <v>3</v>
      </c>
      <c r="L11" s="158">
        <f t="shared" si="4"/>
        <v>3</v>
      </c>
      <c r="M11" s="169">
        <f t="shared" si="4"/>
        <v>13</v>
      </c>
    </row>
    <row r="12" spans="1:21" s="8" customFormat="1" ht="11.25" customHeight="1" thickBot="1">
      <c r="A12" s="2" t="s">
        <v>12</v>
      </c>
      <c r="B12" s="60">
        <f>COUNTIFS(Jan!$B:$B,2241,Jan!$F:$F,800)</f>
        <v>43</v>
      </c>
      <c r="C12" s="60">
        <v>42</v>
      </c>
      <c r="D12" s="60">
        <v>39</v>
      </c>
      <c r="E12" s="60">
        <v>41</v>
      </c>
      <c r="F12" s="60">
        <v>55</v>
      </c>
      <c r="G12" s="60">
        <v>51</v>
      </c>
      <c r="H12" s="60">
        <v>33</v>
      </c>
      <c r="I12" s="60">
        <v>47</v>
      </c>
      <c r="J12" s="60">
        <v>44</v>
      </c>
      <c r="K12" s="60">
        <v>50</v>
      </c>
      <c r="L12" s="60">
        <v>45</v>
      </c>
      <c r="M12" s="60">
        <v>54</v>
      </c>
    </row>
    <row r="13" spans="1:21" s="8" customFormat="1" ht="5.0999999999999996" customHeight="1" thickBot="1">
      <c r="A13" s="3"/>
      <c r="B13" s="17"/>
      <c r="C13" s="17"/>
      <c r="D13" s="17"/>
      <c r="E13" s="17"/>
      <c r="F13" s="17"/>
      <c r="G13" s="17"/>
      <c r="H13" s="17"/>
      <c r="I13" s="17"/>
      <c r="J13" s="17"/>
      <c r="K13" s="17"/>
      <c r="L13" s="17"/>
      <c r="M13" s="147"/>
    </row>
    <row r="14" spans="1:21" s="16" customFormat="1" ht="11.25" customHeight="1">
      <c r="A14" s="44" t="s">
        <v>131</v>
      </c>
      <c r="B14" s="120">
        <v>21662</v>
      </c>
      <c r="C14" s="120">
        <v>29574</v>
      </c>
      <c r="D14" s="120">
        <v>27049</v>
      </c>
      <c r="E14" s="120">
        <v>24801</v>
      </c>
      <c r="F14" s="120">
        <v>27694</v>
      </c>
      <c r="G14" s="120">
        <v>26009</v>
      </c>
      <c r="H14" s="119">
        <v>25893</v>
      </c>
      <c r="I14" s="61">
        <v>25697</v>
      </c>
      <c r="J14" s="61">
        <v>27698</v>
      </c>
      <c r="K14" s="118">
        <v>26464</v>
      </c>
      <c r="L14" s="160">
        <v>23490</v>
      </c>
      <c r="M14" s="173">
        <v>26245</v>
      </c>
      <c r="O14" s="22"/>
      <c r="P14" s="22"/>
      <c r="Q14" s="22"/>
    </row>
    <row r="15" spans="1:21" s="8" customFormat="1" ht="11.25" customHeight="1">
      <c r="A15" s="45" t="s">
        <v>132</v>
      </c>
      <c r="B15" s="62">
        <f>IFERROR((SUMIFS(Jan!$N:$N,Jan!$J:$J,1,Jan!$B:$B,2241)+SUMIFS(Jan!$N:$N,Jan!$D:$D,"&gt;1",Jan!$B:$B,2241))/(COUNTIFS(Jan!$J:$J,1,Jan!$B:$B,2241)+COUNTIFS(Jan!$D:$D,"&gt;1",Jan!$B:$B,2241)),"")</f>
        <v>25.26</v>
      </c>
      <c r="C15" s="62">
        <v>29.38</v>
      </c>
      <c r="D15" s="62">
        <v>27.96</v>
      </c>
      <c r="E15" s="62">
        <v>25.77</v>
      </c>
      <c r="F15" s="62">
        <v>26.91</v>
      </c>
      <c r="G15" s="62">
        <v>29.08</v>
      </c>
      <c r="H15" s="62">
        <v>29.12</v>
      </c>
      <c r="I15" s="62">
        <v>30.23</v>
      </c>
      <c r="J15" s="62">
        <v>28.38</v>
      </c>
      <c r="K15" s="62">
        <v>28.91</v>
      </c>
      <c r="L15" s="62">
        <v>30.64</v>
      </c>
      <c r="M15" s="62">
        <v>28.98</v>
      </c>
      <c r="N15" s="15"/>
      <c r="O15" s="1"/>
      <c r="P15" s="1"/>
      <c r="Q15" s="1"/>
    </row>
    <row r="16" spans="1:21" s="8" customFormat="1" ht="11.25" customHeight="1">
      <c r="A16" s="45" t="s">
        <v>133</v>
      </c>
      <c r="B16" s="62">
        <f>IFERROR(AVERAGEIFS(Jan!$N:$N,Jan!$F:$F,800,Jan!$B:$B,2241),"")</f>
        <v>25.395348837209301</v>
      </c>
      <c r="C16" s="62">
        <v>27.51</v>
      </c>
      <c r="D16" s="62">
        <v>29.02</v>
      </c>
      <c r="E16" s="62">
        <v>26.11</v>
      </c>
      <c r="F16" s="62">
        <v>26.91</v>
      </c>
      <c r="G16" s="62">
        <v>28.55</v>
      </c>
      <c r="H16" s="62">
        <v>28.97</v>
      </c>
      <c r="I16" s="62">
        <v>29.18</v>
      </c>
      <c r="J16" s="62">
        <v>27.82</v>
      </c>
      <c r="K16" s="62">
        <v>27.57</v>
      </c>
      <c r="L16" s="62">
        <v>31.42</v>
      </c>
      <c r="M16" s="62">
        <v>27.95</v>
      </c>
      <c r="O16" s="1"/>
      <c r="P16" s="1"/>
      <c r="Q16" s="1"/>
    </row>
    <row r="17" spans="1:17" s="8" customFormat="1" ht="11.25" customHeight="1">
      <c r="A17" s="45" t="s">
        <v>134</v>
      </c>
      <c r="B17" s="63">
        <f>IFERROR((SUMIFS(Jan!$M:$M,Jan!$J:$J,1,Jan!$B:$B,2241)+SUMIFS(Jan!$M:$M,Jan!$D:$D,"&gt;1",Jan!$B:$B,2241))/(COUNTIFS(Jan!$J:$J,1,Jan!$B:$B,2241)+COUNTIFS(Jan!$D:$D,"&gt;1",Jan!$B:$B,2241)),"")</f>
        <v>1.7279999999999998</v>
      </c>
      <c r="C17" s="63">
        <v>2.2799999999999998</v>
      </c>
      <c r="D17" s="63">
        <v>2.88</v>
      </c>
      <c r="E17" s="63">
        <v>2.27</v>
      </c>
      <c r="F17" s="63">
        <v>2.42</v>
      </c>
      <c r="G17" s="63">
        <v>2.38</v>
      </c>
      <c r="H17" s="63">
        <v>2.58</v>
      </c>
      <c r="I17" s="63">
        <v>1.97</v>
      </c>
      <c r="J17" s="63">
        <v>2.06</v>
      </c>
      <c r="K17" s="63">
        <v>2.0699999999999998</v>
      </c>
      <c r="L17" s="63">
        <v>1.92</v>
      </c>
      <c r="M17" s="63">
        <v>2.4500000000000002</v>
      </c>
      <c r="O17" s="1"/>
      <c r="P17" s="1"/>
      <c r="Q17" s="1"/>
    </row>
    <row r="18" spans="1:17" s="8" customFormat="1" ht="11.25" customHeight="1" thickBot="1">
      <c r="A18" s="43" t="s">
        <v>135</v>
      </c>
      <c r="B18" s="64">
        <f>IFERROR(AVERAGEIFS(Jan!$M:$M,Jan!$F:$F,800,Jan!$B:$B,2241),"")</f>
        <v>1.8906976744186041</v>
      </c>
      <c r="C18" s="64">
        <v>1.03</v>
      </c>
      <c r="D18" s="64">
        <v>1.55</v>
      </c>
      <c r="E18" s="64">
        <v>1.94</v>
      </c>
      <c r="F18" s="64">
        <v>2.16</v>
      </c>
      <c r="G18" s="64">
        <v>3.79</v>
      </c>
      <c r="H18" s="64">
        <v>2.0699999999999998</v>
      </c>
      <c r="I18" s="64">
        <v>1.71</v>
      </c>
      <c r="J18" s="64">
        <v>1.62</v>
      </c>
      <c r="K18" s="64">
        <v>2.4700000000000002</v>
      </c>
      <c r="L18" s="64">
        <v>2.15</v>
      </c>
      <c r="M18" s="64">
        <v>2.04</v>
      </c>
    </row>
    <row r="19" spans="1:17" s="8" customFormat="1" ht="5.0999999999999996" customHeight="1" thickBot="1">
      <c r="A19" s="3"/>
      <c r="B19" s="17"/>
      <c r="C19" s="17"/>
      <c r="D19" s="17"/>
      <c r="E19" s="17"/>
      <c r="F19" s="17"/>
      <c r="G19" s="17"/>
      <c r="H19" s="17"/>
      <c r="I19" s="17"/>
      <c r="J19" s="17"/>
      <c r="K19" s="17"/>
      <c r="L19" s="17"/>
      <c r="M19" s="147"/>
    </row>
    <row r="20" spans="1:17" s="8" customFormat="1" ht="11.25" customHeight="1">
      <c r="A20" s="42" t="s">
        <v>52</v>
      </c>
      <c r="B20" s="65">
        <v>31</v>
      </c>
      <c r="C20" s="65">
        <v>28</v>
      </c>
      <c r="D20" s="65">
        <v>31</v>
      </c>
      <c r="E20" s="65">
        <v>30</v>
      </c>
      <c r="F20" s="65">
        <v>31</v>
      </c>
      <c r="G20" s="65">
        <v>30</v>
      </c>
      <c r="H20" s="65">
        <v>31</v>
      </c>
      <c r="I20" s="65">
        <v>31</v>
      </c>
      <c r="J20" s="65">
        <v>30</v>
      </c>
      <c r="K20" s="65">
        <v>31</v>
      </c>
      <c r="L20" s="161">
        <v>30</v>
      </c>
      <c r="M20" s="174">
        <v>31</v>
      </c>
    </row>
    <row r="21" spans="1:17" s="8" customFormat="1" ht="11.25" customHeight="1">
      <c r="A21" s="9" t="s">
        <v>15</v>
      </c>
      <c r="B21" s="66">
        <f>B12/B20</f>
        <v>1.3870967741935485</v>
      </c>
      <c r="C21" s="66">
        <f t="shared" ref="C21:M21" si="5">C12/C20</f>
        <v>1.5</v>
      </c>
      <c r="D21" s="66">
        <f>D12/D20</f>
        <v>1.2580645161290323</v>
      </c>
      <c r="E21" s="66">
        <f>E12/E20</f>
        <v>1.3666666666666667</v>
      </c>
      <c r="F21" s="66">
        <f>F12/F20</f>
        <v>1.7741935483870968</v>
      </c>
      <c r="G21" s="66">
        <f>G12/G20</f>
        <v>1.7</v>
      </c>
      <c r="H21" s="66">
        <f t="shared" si="5"/>
        <v>1.064516129032258</v>
      </c>
      <c r="I21" s="66">
        <f t="shared" si="5"/>
        <v>1.5161290322580645</v>
      </c>
      <c r="J21" s="66">
        <f t="shared" si="5"/>
        <v>1.4666666666666666</v>
      </c>
      <c r="K21" s="66">
        <f t="shared" si="5"/>
        <v>1.6129032258064515</v>
      </c>
      <c r="L21" s="162">
        <f t="shared" si="5"/>
        <v>1.5</v>
      </c>
      <c r="M21" s="175">
        <f t="shared" si="5"/>
        <v>1.7419354838709677</v>
      </c>
    </row>
    <row r="22" spans="1:17" s="8" customFormat="1" ht="11.25" customHeight="1">
      <c r="A22" s="9" t="s">
        <v>130</v>
      </c>
      <c r="B22" s="67">
        <f t="shared" ref="B22:G22" si="6">IFERROR(B12/B7,0)</f>
        <v>0.43434343434343436</v>
      </c>
      <c r="C22" s="67">
        <f t="shared" si="6"/>
        <v>0.47191011235955055</v>
      </c>
      <c r="D22" s="67">
        <f t="shared" si="6"/>
        <v>0.40206185567010311</v>
      </c>
      <c r="E22" s="67">
        <f t="shared" si="6"/>
        <v>0.37614678899082571</v>
      </c>
      <c r="F22" s="67">
        <f t="shared" si="6"/>
        <v>0.47413793103448276</v>
      </c>
      <c r="G22" s="67">
        <f t="shared" si="6"/>
        <v>0.43220338983050849</v>
      </c>
      <c r="H22" s="67">
        <f t="shared" ref="H22:M22" si="7">IFERROR(H12/H7,0)</f>
        <v>0.29729729729729731</v>
      </c>
      <c r="I22" s="67">
        <f t="shared" si="7"/>
        <v>0.39830508474576271</v>
      </c>
      <c r="J22" s="67">
        <f t="shared" si="7"/>
        <v>0.43564356435643564</v>
      </c>
      <c r="K22" s="116">
        <f t="shared" si="7"/>
        <v>0.48076923076923078</v>
      </c>
      <c r="L22" s="67">
        <f t="shared" si="7"/>
        <v>0.46875</v>
      </c>
      <c r="M22" s="176">
        <f t="shared" si="7"/>
        <v>0.42857142857142855</v>
      </c>
      <c r="N22" s="1"/>
    </row>
    <row r="23" spans="1:17" s="8" customFormat="1" ht="11.25" customHeight="1" thickBot="1">
      <c r="A23" s="9" t="s">
        <v>53</v>
      </c>
      <c r="B23" s="67">
        <f t="shared" ref="B23:G23" si="8">IFERROR(B12/(B11+B12),0)</f>
        <v>0.84313725490196079</v>
      </c>
      <c r="C23" s="67">
        <f t="shared" si="8"/>
        <v>0.91304347826086951</v>
      </c>
      <c r="D23" s="67">
        <f t="shared" si="8"/>
        <v>0.88636363636363635</v>
      </c>
      <c r="E23" s="67">
        <f t="shared" si="8"/>
        <v>0.85416666666666663</v>
      </c>
      <c r="F23" s="67">
        <f t="shared" si="8"/>
        <v>0.93220338983050843</v>
      </c>
      <c r="G23" s="67">
        <f t="shared" si="8"/>
        <v>0.85</v>
      </c>
      <c r="H23" s="67">
        <f t="shared" ref="H23:M23" si="9">IFERROR(H12/(H11+H12),0)</f>
        <v>0.6875</v>
      </c>
      <c r="I23" s="67">
        <f t="shared" si="9"/>
        <v>0.94</v>
      </c>
      <c r="J23" s="67">
        <f t="shared" si="9"/>
        <v>0.93617021276595747</v>
      </c>
      <c r="K23" s="117">
        <f t="shared" si="9"/>
        <v>0.94339622641509435</v>
      </c>
      <c r="L23" s="163">
        <f t="shared" si="9"/>
        <v>0.9375</v>
      </c>
      <c r="M23" s="177">
        <f t="shared" si="9"/>
        <v>0.80597014925373134</v>
      </c>
      <c r="N23" s="4"/>
    </row>
    <row r="24" spans="1:17" s="8" customFormat="1" ht="11.25" customHeight="1" thickBot="1">
      <c r="A24" s="56" t="s">
        <v>21</v>
      </c>
      <c r="B24" s="50">
        <v>41275</v>
      </c>
      <c r="C24" s="47">
        <v>41306</v>
      </c>
      <c r="D24" s="47">
        <v>41334</v>
      </c>
      <c r="E24" s="47">
        <v>41365</v>
      </c>
      <c r="F24" s="47">
        <v>41395</v>
      </c>
      <c r="G24" s="47">
        <v>41426</v>
      </c>
      <c r="H24" s="47">
        <v>41456</v>
      </c>
      <c r="I24" s="47">
        <v>41487</v>
      </c>
      <c r="J24" s="47">
        <v>41518</v>
      </c>
      <c r="K24" s="47">
        <v>41548</v>
      </c>
      <c r="L24" s="47">
        <v>41579</v>
      </c>
      <c r="M24" s="51">
        <v>41609</v>
      </c>
    </row>
    <row r="25" spans="1:17" s="8" customFormat="1" ht="11.25" customHeight="1">
      <c r="A25" s="18" t="s">
        <v>5</v>
      </c>
      <c r="B25" s="68">
        <f>COUNTIFS(Jan!$B:$B,2241,Jan!$J:$J,18)</f>
        <v>2</v>
      </c>
      <c r="C25" s="68">
        <v>1</v>
      </c>
      <c r="D25" s="68">
        <v>3</v>
      </c>
      <c r="E25" s="68">
        <v>1</v>
      </c>
      <c r="F25" s="68">
        <v>1</v>
      </c>
      <c r="G25" s="68">
        <v>1</v>
      </c>
      <c r="H25" s="68">
        <v>1</v>
      </c>
      <c r="I25" s="68">
        <v>2</v>
      </c>
      <c r="J25" s="68">
        <v>1</v>
      </c>
      <c r="K25" s="68">
        <f>COUNTIFS(Oct!$B:$B,2241,Oct!$J:$J,18)</f>
        <v>0</v>
      </c>
      <c r="L25" s="68">
        <v>1</v>
      </c>
      <c r="M25" s="68">
        <v>0</v>
      </c>
    </row>
    <row r="26" spans="1:17" s="8" customFormat="1" ht="11.25" customHeight="1">
      <c r="A26" s="46" t="s">
        <v>40</v>
      </c>
      <c r="B26" s="57">
        <f>COUNTIFS(Jan!$B:$B,2241,Jan!$J:$J,41)</f>
        <v>0</v>
      </c>
      <c r="C26" s="57">
        <f>COUNTIFS(Feb!$B:$B,2241,Feb!$J:$J,41)</f>
        <v>0</v>
      </c>
      <c r="D26" s="57">
        <f>COUNTIFS(Mar!$B:$B,2241,Mar!$J:$J,41)</f>
        <v>0</v>
      </c>
      <c r="E26" s="57">
        <f>COUNTIFS(Apr!$B:$B,2241,Apr!$J:$J,41)</f>
        <v>0</v>
      </c>
      <c r="F26" s="57">
        <f>COUNTIFS(May!$B:$B,2241,May!$J:$J,41)</f>
        <v>0</v>
      </c>
      <c r="G26" s="57">
        <f>COUNTIFS(Jun!$B:$B,2241,Jun!$J:$J,41)</f>
        <v>0</v>
      </c>
      <c r="H26" s="57">
        <v>1</v>
      </c>
      <c r="I26" s="57">
        <f>COUNTIFS(Aug!$B:$B,2241,Aug!$J:$J,41)</f>
        <v>0</v>
      </c>
      <c r="J26" s="57">
        <f>COUNTIFS(Sep!$B:$B,2241,Sep!$J:$J,41)</f>
        <v>0</v>
      </c>
      <c r="K26" s="57">
        <v>1</v>
      </c>
      <c r="L26" s="57">
        <f>COUNTIFS(Nov!$B:$B,2241,Nov!$J:$J,41)</f>
        <v>0</v>
      </c>
      <c r="M26" s="57">
        <v>0</v>
      </c>
    </row>
    <row r="27" spans="1:17" s="8" customFormat="1" ht="11.25" customHeight="1">
      <c r="A27" s="9" t="s">
        <v>11</v>
      </c>
      <c r="B27" s="179">
        <f>COUNTIFS(Jan!$B:$B,2241,Jan!$J:$J,17)</f>
        <v>30</v>
      </c>
      <c r="C27" s="206">
        <v>26</v>
      </c>
      <c r="D27" s="206">
        <v>26</v>
      </c>
      <c r="E27" s="206">
        <v>24</v>
      </c>
      <c r="F27" s="206">
        <v>18</v>
      </c>
      <c r="G27" s="206">
        <v>23</v>
      </c>
      <c r="H27" s="206">
        <v>29</v>
      </c>
      <c r="I27" s="206">
        <v>35</v>
      </c>
      <c r="J27" s="206">
        <v>37</v>
      </c>
      <c r="K27" s="206">
        <v>16</v>
      </c>
      <c r="L27" s="206">
        <v>21</v>
      </c>
      <c r="M27" s="206">
        <v>33</v>
      </c>
    </row>
    <row r="28" spans="1:17" s="8" customFormat="1" ht="11.25" customHeight="1">
      <c r="A28" s="9" t="s">
        <v>143</v>
      </c>
      <c r="B28" s="59">
        <f>COUNTIFS(Jan!$B:$B,2241,Jan!$F:$F,455)</f>
        <v>0</v>
      </c>
      <c r="C28" s="59">
        <f>COUNTIFS(Feb!$B:$B,2241,Feb!$F:$F,455)</f>
        <v>0</v>
      </c>
      <c r="D28" s="59">
        <f>COUNTIFS(Mar!$B:$B,2241,Mar!$F:$F,455)</f>
        <v>0</v>
      </c>
      <c r="E28" s="59">
        <f>COUNTIFS(Apr!$B:$B,2241,Apr!$F:$F,455)</f>
        <v>0</v>
      </c>
      <c r="F28" s="59">
        <f>COUNTIFS(May!$B:$B,2241,May!$F:$F,455)</f>
        <v>0</v>
      </c>
      <c r="G28" s="59">
        <f>COUNTIFS(Jun!$B:$B,2241,Jun!$F:$F,455)</f>
        <v>0</v>
      </c>
      <c r="H28" s="59">
        <f>COUNTIFS(Jul!$B:$B,2241,Jul!$F:$F,455)</f>
        <v>0</v>
      </c>
      <c r="I28" s="59">
        <f>COUNTIFS(Aug!$B:$B,2241,Aug!$F:$F,455)</f>
        <v>0</v>
      </c>
      <c r="J28" s="59">
        <f>COUNTIFS(Sep!$B:$B,2241,Sep!$F:$F,455)</f>
        <v>0</v>
      </c>
      <c r="K28" s="59">
        <f>COUNTIFS(Oct!$B:$B,2241,Oct!$F:$F,455)</f>
        <v>0</v>
      </c>
      <c r="L28" s="59">
        <f>COUNTIFS(Nov!$B:$B,2241,Nov!$F:$F,455)</f>
        <v>0</v>
      </c>
      <c r="M28" s="59">
        <v>0</v>
      </c>
    </row>
    <row r="29" spans="1:17" s="8" customFormat="1" ht="11.25" customHeight="1">
      <c r="A29" s="9" t="s">
        <v>23</v>
      </c>
      <c r="B29" s="59">
        <f>COUNTIFS(Jan!$B:$B,2241,Jan!$J:$J,31)</f>
        <v>0</v>
      </c>
      <c r="C29" s="59">
        <f>COUNTIFS(Feb!$B:$B,2241,Feb!$J:$J,31)</f>
        <v>0</v>
      </c>
      <c r="D29" s="59">
        <f>COUNTIFS(Mar!$B:$B,2241,Mar!$J:$J,31)</f>
        <v>0</v>
      </c>
      <c r="E29" s="59">
        <f>COUNTIFS(Apr!$B:$B,2241,Apr!$J:$J,31)</f>
        <v>0</v>
      </c>
      <c r="F29" s="59">
        <f>COUNTIFS(May!$B:$B,2241,May!$J:$J,31)</f>
        <v>0</v>
      </c>
      <c r="G29" s="59">
        <f>COUNTIFS(Jun!$B:$B,2241,Jun!$J:$J,31)</f>
        <v>0</v>
      </c>
      <c r="H29" s="59">
        <f>COUNTIFS(Jul!$B:$B,2241,Jul!$J:$J,31)</f>
        <v>0</v>
      </c>
      <c r="I29" s="59">
        <f>COUNTIFS(Aug!$B:$B,2241,Aug!$J:$J,31)</f>
        <v>0</v>
      </c>
      <c r="J29" s="59">
        <f>COUNTIFS(Sep!$B:$B,2241,Sep!$J:$J,31)</f>
        <v>0</v>
      </c>
      <c r="K29" s="59">
        <f>COUNTIFS(Oct!$B:$B,2241,Oct!$J:$J,31)</f>
        <v>0</v>
      </c>
      <c r="L29" s="59">
        <f>COUNTIFS(Nov!$B:$B,2241,Nov!$J:$J,31)</f>
        <v>0</v>
      </c>
      <c r="M29" s="59">
        <v>0</v>
      </c>
    </row>
    <row r="30" spans="1:17" s="8" customFormat="1" ht="11.25" customHeight="1">
      <c r="A30" s="9" t="s">
        <v>37</v>
      </c>
      <c r="B30" s="59">
        <f>COUNTIFS(Jan!$B:$B,2241,Jan!$J:$J,4400)</f>
        <v>3</v>
      </c>
      <c r="C30" s="59">
        <v>1</v>
      </c>
      <c r="D30" s="59">
        <f>COUNTIFS(Mar!$B:$B,2241,Mar!$J:$J,4400)</f>
        <v>0</v>
      </c>
      <c r="E30" s="59">
        <f>COUNTIFS(Apr!$B:$B,2241,Apr!$J:$J,4400)</f>
        <v>0</v>
      </c>
      <c r="F30" s="59">
        <v>1</v>
      </c>
      <c r="G30" s="59">
        <f>COUNTIFS(Jun!$B:$B,2241,Jun!$J:$J,4400)</f>
        <v>0</v>
      </c>
      <c r="H30" s="59">
        <v>3</v>
      </c>
      <c r="I30" s="59">
        <v>4</v>
      </c>
      <c r="J30" s="59">
        <v>1</v>
      </c>
      <c r="K30" s="59">
        <f>COUNTIFS(Oct!$B:$B,2241,Oct!$J:$J,4400)</f>
        <v>0</v>
      </c>
      <c r="L30" s="59">
        <v>1</v>
      </c>
      <c r="M30" s="59">
        <v>0</v>
      </c>
    </row>
    <row r="31" spans="1:17" s="8" customFormat="1" ht="11.25" customHeight="1">
      <c r="A31" s="10" t="s">
        <v>24</v>
      </c>
      <c r="B31" s="59">
        <f>COUNTIFS(Jan!$B:$B,2241,Jan!$J:$J,30)</f>
        <v>0</v>
      </c>
      <c r="C31" s="59">
        <f>COUNTIFS(Feb!$B:$B,2241,Feb!$J:$J,30)</f>
        <v>0</v>
      </c>
      <c r="D31" s="59">
        <f>COUNTIFS(Mar!$B:$B,2241,Mar!$J:$J,30)</f>
        <v>0</v>
      </c>
      <c r="E31" s="59">
        <f>COUNTIFS(Apr!$B:$B,2241,Apr!$J:$J,30)</f>
        <v>0</v>
      </c>
      <c r="F31" s="59">
        <f>COUNTIFS(May!$B:$B,2241,May!$J:$J,30)</f>
        <v>0</v>
      </c>
      <c r="G31" s="59">
        <f>COUNTIFS(Jun!$B:$B,2241,Jun!$J:$J,30)</f>
        <v>0</v>
      </c>
      <c r="H31" s="59">
        <f>COUNTIFS(Jul!$B:$B,2241,Jul!$J:$J,30)</f>
        <v>0</v>
      </c>
      <c r="I31" s="59">
        <f>COUNTIFS(Aug!$B:$B,2241,Aug!$J:$J,30)</f>
        <v>0</v>
      </c>
      <c r="J31" s="59">
        <f>COUNTIFS(Sep!$B:$B,2241,Sep!$J:$J,30)</f>
        <v>0</v>
      </c>
      <c r="K31" s="59">
        <f>COUNTIFS(Oct!$B:$B,2241,Oct!$J:$J,30)</f>
        <v>0</v>
      </c>
      <c r="L31" s="59">
        <f>COUNTIFS(Nov!$B:$B,2241,Nov!$J:$J,30)</f>
        <v>0</v>
      </c>
      <c r="M31" s="59">
        <v>0</v>
      </c>
    </row>
    <row r="32" spans="1:17" s="14" customFormat="1" ht="11.25" customHeight="1" thickBot="1">
      <c r="A32" s="2" t="s">
        <v>140</v>
      </c>
      <c r="B32" s="60">
        <f>SUM(B25:B31)</f>
        <v>35</v>
      </c>
      <c r="C32" s="60">
        <f t="shared" ref="C32:M32" si="10">SUM(C25:C31)</f>
        <v>28</v>
      </c>
      <c r="D32" s="60">
        <f>SUM(D25:D31)</f>
        <v>29</v>
      </c>
      <c r="E32" s="60">
        <f>SUM(E25:E31)</f>
        <v>25</v>
      </c>
      <c r="F32" s="60">
        <f>SUM(F25:F31)</f>
        <v>20</v>
      </c>
      <c r="G32" s="60">
        <f>SUM(G25:G31)</f>
        <v>24</v>
      </c>
      <c r="H32" s="60">
        <f t="shared" si="10"/>
        <v>34</v>
      </c>
      <c r="I32" s="60">
        <f t="shared" si="10"/>
        <v>41</v>
      </c>
      <c r="J32" s="60">
        <f t="shared" si="10"/>
        <v>39</v>
      </c>
      <c r="K32" s="60">
        <f t="shared" si="10"/>
        <v>17</v>
      </c>
      <c r="L32" s="159">
        <f t="shared" si="10"/>
        <v>23</v>
      </c>
      <c r="M32" s="170">
        <f t="shared" si="10"/>
        <v>33</v>
      </c>
    </row>
    <row r="33" spans="1:13" ht="12" customHeight="1" thickBot="1">
      <c r="A33" s="55" t="s">
        <v>136</v>
      </c>
      <c r="B33" s="50">
        <v>41275</v>
      </c>
      <c r="C33" s="47">
        <v>41306</v>
      </c>
      <c r="D33" s="47">
        <v>41334</v>
      </c>
      <c r="E33" s="47">
        <v>41365</v>
      </c>
      <c r="F33" s="47">
        <v>41395</v>
      </c>
      <c r="G33" s="47">
        <v>41426</v>
      </c>
      <c r="H33" s="47">
        <v>41456</v>
      </c>
      <c r="I33" s="47">
        <v>41487</v>
      </c>
      <c r="J33" s="47">
        <v>41518</v>
      </c>
      <c r="K33" s="47">
        <v>41548</v>
      </c>
      <c r="L33" s="47">
        <v>41579</v>
      </c>
      <c r="M33" s="51">
        <v>41609</v>
      </c>
    </row>
    <row r="34" spans="1:13" s="8" customFormat="1" ht="11.25" customHeight="1">
      <c r="A34" s="46" t="s">
        <v>33</v>
      </c>
      <c r="B34" s="57">
        <f>COUNTIFS(Jan!$B:$B,2241,Jan!$J:$J,40)</f>
        <v>0</v>
      </c>
      <c r="C34" s="57">
        <f>COUNTIFS(Feb!$B:$B,2241,Feb!$J:$J,40)</f>
        <v>0</v>
      </c>
      <c r="D34" s="57">
        <f>COUNTIFS(Mar!$B:$B,2241,Mar!$J:$J,40)</f>
        <v>0</v>
      </c>
      <c r="E34" s="57">
        <f>COUNTIFS(Apr!$B:$B,2241,Apr!$J:$J,40)</f>
        <v>0</v>
      </c>
      <c r="F34" s="57">
        <f>COUNTIFS(May!$B:$B,2241,May!$J:$J,40)</f>
        <v>0</v>
      </c>
      <c r="G34" s="57">
        <f>COUNTIFS(Jun!$B:$B,2241,Jun!$J:$J,40)</f>
        <v>0</v>
      </c>
      <c r="H34" s="57">
        <f>COUNTIFS(Jul!$B:$B,2241,Jul!$J:$J,40)</f>
        <v>0</v>
      </c>
      <c r="I34" s="57">
        <f>COUNTIFS(Aug!$B:$B,2241,Aug!$J:$J,40)</f>
        <v>0</v>
      </c>
      <c r="J34" s="57">
        <f>COUNTIFS(Sep!$B:$B,2241,Sep!$J:$J,40)</f>
        <v>0</v>
      </c>
      <c r="K34" s="57">
        <v>1</v>
      </c>
      <c r="L34" s="57">
        <f>COUNTIFS(Nov!$B:$B,2241,Nov!$J:$J,40)</f>
        <v>0</v>
      </c>
      <c r="M34" s="57">
        <v>0</v>
      </c>
    </row>
    <row r="35" spans="1:13" s="8" customFormat="1" ht="11.25" customHeight="1">
      <c r="A35" s="10" t="s">
        <v>4</v>
      </c>
      <c r="B35" s="59">
        <f>COUNTIFS(Jan!$B:$B,2241,Jan!$J:$J,15)</f>
        <v>0</v>
      </c>
      <c r="C35" s="59">
        <v>2</v>
      </c>
      <c r="D35" s="59">
        <f>COUNTIFS(Mar!$B:$B,2241,Mar!$J:$J,15)</f>
        <v>0</v>
      </c>
      <c r="E35" s="59">
        <f>COUNTIFS(Apr!$B:$B,2241,Apr!$J:$J,15)</f>
        <v>0</v>
      </c>
      <c r="F35" s="59">
        <f>COUNTIFS(May!$B:$B,2241,May!$J:$J,15)</f>
        <v>0</v>
      </c>
      <c r="G35" s="59">
        <f>COUNTIFS(Jun!$B:$B,2241,Jun!$J:$J,15)</f>
        <v>0</v>
      </c>
      <c r="H35" s="59">
        <f>COUNTIFS(Jul!$B:$B,2241,Jul!$J:$J,15)</f>
        <v>0</v>
      </c>
      <c r="I35" s="59">
        <v>2</v>
      </c>
      <c r="J35" s="59">
        <f>COUNTIFS(Sep!$B:$B,2241,Sep!$J:$J,15)</f>
        <v>0</v>
      </c>
      <c r="K35" s="59">
        <f>COUNTIFS(Oct!$B:$B,2241,Oct!$J:$J,15)</f>
        <v>0</v>
      </c>
      <c r="L35" s="59">
        <v>2</v>
      </c>
      <c r="M35" s="59">
        <v>1</v>
      </c>
    </row>
    <row r="36" spans="1:13" s="8" customFormat="1" ht="11.25" customHeight="1">
      <c r="A36" s="10" t="s">
        <v>39</v>
      </c>
      <c r="B36" s="59">
        <f>COUNTIFS(Jan!$B:$B,2241,Jan!$J:$J,29)</f>
        <v>8</v>
      </c>
      <c r="C36" s="59">
        <v>4</v>
      </c>
      <c r="D36" s="59">
        <v>7</v>
      </c>
      <c r="E36" s="59">
        <v>12</v>
      </c>
      <c r="F36" s="59">
        <v>1</v>
      </c>
      <c r="G36" s="59">
        <v>3</v>
      </c>
      <c r="H36" s="59">
        <v>6</v>
      </c>
      <c r="I36" s="59">
        <v>5</v>
      </c>
      <c r="J36" s="59">
        <v>9</v>
      </c>
      <c r="K36" s="59">
        <v>6</v>
      </c>
      <c r="L36" s="59">
        <v>3</v>
      </c>
      <c r="M36" s="59">
        <v>6</v>
      </c>
    </row>
    <row r="37" spans="1:13" s="8" customFormat="1" ht="11.25" customHeight="1">
      <c r="A37" s="10" t="s">
        <v>3</v>
      </c>
      <c r="B37" s="59">
        <f>COUNTIFS(Jan!$B:$B,2241,Jan!$J:$J,13)</f>
        <v>1</v>
      </c>
      <c r="C37" s="59">
        <v>2</v>
      </c>
      <c r="D37" s="59">
        <v>1</v>
      </c>
      <c r="E37" s="59">
        <f>COUNTIFS(Apr!$B:$B,2241,Apr!$J:$J,13)</f>
        <v>0</v>
      </c>
      <c r="F37" s="59">
        <v>2</v>
      </c>
      <c r="G37" s="59">
        <v>2</v>
      </c>
      <c r="H37" s="59">
        <v>6</v>
      </c>
      <c r="I37" s="59">
        <f>COUNTIFS(Aug!$B:$B,2241,Aug!$J:$J,13)</f>
        <v>0</v>
      </c>
      <c r="J37" s="59">
        <v>5</v>
      </c>
      <c r="K37" s="59">
        <f>COUNTIFS(Oct!$B:$B,2241,Oct!$J:$J,13)</f>
        <v>0</v>
      </c>
      <c r="L37" s="59">
        <v>3</v>
      </c>
      <c r="M37" s="59">
        <v>1</v>
      </c>
    </row>
    <row r="38" spans="1:13" s="8" customFormat="1" ht="11.25" customHeight="1">
      <c r="A38" s="9" t="s">
        <v>218</v>
      </c>
      <c r="B38" s="59">
        <f>COUNTIFS(Jan!$B:$B,2241,Jan!$J:$J,43)</f>
        <v>9</v>
      </c>
      <c r="C38" s="59">
        <v>9</v>
      </c>
      <c r="D38" s="59">
        <v>5</v>
      </c>
      <c r="E38" s="59">
        <v>10</v>
      </c>
      <c r="F38" s="59">
        <v>10</v>
      </c>
      <c r="G38" s="59">
        <v>7</v>
      </c>
      <c r="H38" s="59">
        <v>10</v>
      </c>
      <c r="I38" s="59">
        <v>11</v>
      </c>
      <c r="J38" s="59">
        <v>11</v>
      </c>
      <c r="K38" s="59">
        <v>7</v>
      </c>
      <c r="L38" s="59">
        <v>8</v>
      </c>
      <c r="M38" s="59">
        <v>6</v>
      </c>
    </row>
    <row r="39" spans="1:13" s="8" customFormat="1" ht="11.25" customHeight="1">
      <c r="A39" s="10" t="s">
        <v>25</v>
      </c>
      <c r="B39" s="59">
        <f>COUNTIFS(Jan!$B:$B,2241,Jan!$J:$J,24)</f>
        <v>8</v>
      </c>
      <c r="C39" s="59">
        <v>6</v>
      </c>
      <c r="D39" s="59">
        <v>16</v>
      </c>
      <c r="E39" s="59">
        <v>18</v>
      </c>
      <c r="F39" s="59">
        <v>13</v>
      </c>
      <c r="G39" s="59">
        <v>12</v>
      </c>
      <c r="H39" s="59">
        <v>6</v>
      </c>
      <c r="I39" s="59">
        <v>5</v>
      </c>
      <c r="J39" s="59">
        <v>7</v>
      </c>
      <c r="K39" s="59">
        <v>17</v>
      </c>
      <c r="L39" s="59">
        <v>13</v>
      </c>
      <c r="M39" s="59">
        <v>14</v>
      </c>
    </row>
    <row r="40" spans="1:13" s="8" customFormat="1" ht="11.25" customHeight="1">
      <c r="A40" s="10" t="s">
        <v>34</v>
      </c>
      <c r="B40" s="59">
        <f>COUNTIFS(Jan!$B:$B,2241,Jan!$J:$J,9)</f>
        <v>0</v>
      </c>
      <c r="C40" s="59">
        <f>COUNTIFS(Feb!$B:$B,2241,Feb!$J:$J,9)</f>
        <v>0</v>
      </c>
      <c r="D40" s="59">
        <f>COUNTIFS(Mar!$B:$B,2241,Mar!$J:$J,9)</f>
        <v>0</v>
      </c>
      <c r="E40" s="59">
        <f>COUNTIFS(Apr!$B:$B,2241,Apr!$J:$J,9)</f>
        <v>0</v>
      </c>
      <c r="F40" s="59">
        <f>COUNTIFS(May!$B:$B,2241,May!$J:$J,9)</f>
        <v>0</v>
      </c>
      <c r="G40" s="59">
        <f>COUNTIFS(Jun!$B:$B,2241,Jun!$J:$J,9)</f>
        <v>0</v>
      </c>
      <c r="H40" s="59">
        <f>COUNTIFS(Jul!$B:$B,2241,Jul!$J:$J,9)</f>
        <v>0</v>
      </c>
      <c r="I40" s="59">
        <f>COUNTIFS(Aug!$B:$B,2241,Aug!$J:$J,9)</f>
        <v>0</v>
      </c>
      <c r="J40" s="59">
        <f>COUNTIFS(Sep!$B:$B,2241,Sep!$J:$J,9)</f>
        <v>0</v>
      </c>
      <c r="K40" s="59">
        <f>COUNTIFS(Oct!$B:$B,2241,Oct!$J:$J,9)</f>
        <v>0</v>
      </c>
      <c r="L40" s="59">
        <f>COUNTIFS(Nov!$B:$B,2241,Nov!$J:$J,9)</f>
        <v>0</v>
      </c>
      <c r="M40" s="59">
        <v>0</v>
      </c>
    </row>
    <row r="41" spans="1:13" s="8" customFormat="1" ht="11.25" customHeight="1">
      <c r="A41" s="10" t="s">
        <v>31</v>
      </c>
      <c r="B41" s="59">
        <f>COUNTIFS(Jan!$B:$B,2241,Jan!$J:$J,10)</f>
        <v>4</v>
      </c>
      <c r="C41" s="59">
        <v>4</v>
      </c>
      <c r="D41" s="59">
        <v>5</v>
      </c>
      <c r="E41" s="59">
        <v>11</v>
      </c>
      <c r="F41" s="59">
        <v>8</v>
      </c>
      <c r="G41" s="59">
        <v>12</v>
      </c>
      <c r="H41" s="59">
        <v>13</v>
      </c>
      <c r="I41" s="59">
        <v>14</v>
      </c>
      <c r="J41" s="59">
        <v>9</v>
      </c>
      <c r="K41" s="59">
        <v>5</v>
      </c>
      <c r="L41" s="59">
        <v>6</v>
      </c>
      <c r="M41" s="59">
        <v>8</v>
      </c>
    </row>
    <row r="42" spans="1:13" s="8" customFormat="1" ht="11.25" customHeight="1">
      <c r="A42" s="10" t="s">
        <v>144</v>
      </c>
      <c r="B42" s="59">
        <f>COUNTIFS(Jan!$B:$B,2241,Jan!$F:$F,462)</f>
        <v>1</v>
      </c>
      <c r="C42" s="59">
        <f>COUNTIFS(Feb!$B:$B,2241,Feb!$F:$F,462)</f>
        <v>0</v>
      </c>
      <c r="D42" s="59">
        <f>COUNTIFS(Mar!$B:$B,2241,Mar!$F:$F,462)</f>
        <v>0</v>
      </c>
      <c r="E42" s="59">
        <f>COUNTIFS(Apr!$B:$B,2241,Apr!$F:$F,462)</f>
        <v>0</v>
      </c>
      <c r="F42" s="59">
        <f>COUNTIFS(May!$B:$B,2241,May!$F:$F,462)</f>
        <v>0</v>
      </c>
      <c r="G42" s="59">
        <f>COUNTIFS(Jun!$B:$B,2241,Jun!$F:$F,462)</f>
        <v>0</v>
      </c>
      <c r="H42" s="59">
        <f>COUNTIFS(Jul!$B:$B,2241,Jul!$F:$F,462)</f>
        <v>0</v>
      </c>
      <c r="I42" s="59">
        <f>COUNTIFS(Aug!$B:$B,2241,Aug!$F:$F,462)</f>
        <v>0</v>
      </c>
      <c r="J42" s="59">
        <f>COUNTIFS(Sep!$B:$B,2241,Sep!$F:$F,462)</f>
        <v>0</v>
      </c>
      <c r="K42" s="59">
        <f>COUNTIFS(Oct!$B:$B,2241,Oct!$F:$F,462)</f>
        <v>0</v>
      </c>
      <c r="L42" s="59">
        <f>COUNTIFS(Nov!$B:$B,2241,Nov!$F:$F,462)</f>
        <v>0</v>
      </c>
      <c r="M42" s="59">
        <v>0</v>
      </c>
    </row>
    <row r="43" spans="1:13" s="8" customFormat="1" ht="11.25" customHeight="1">
      <c r="A43" s="10" t="s">
        <v>1</v>
      </c>
      <c r="B43" s="59">
        <f>COUNTIFS(Jan!$B:$B,2241,Jan!$J:$J,11)</f>
        <v>3</v>
      </c>
      <c r="C43" s="59">
        <v>5</v>
      </c>
      <c r="D43" s="59">
        <v>5</v>
      </c>
      <c r="E43" s="59">
        <v>3</v>
      </c>
      <c r="F43" s="59">
        <v>3</v>
      </c>
      <c r="G43" s="59">
        <v>3</v>
      </c>
      <c r="H43" s="59">
        <v>1</v>
      </c>
      <c r="I43" s="59">
        <v>6</v>
      </c>
      <c r="J43" s="59">
        <v>3</v>
      </c>
      <c r="K43" s="59">
        <v>2</v>
      </c>
      <c r="L43" s="59">
        <v>1</v>
      </c>
      <c r="M43" s="59">
        <v>2</v>
      </c>
    </row>
    <row r="44" spans="1:13" s="8" customFormat="1" ht="11.25" customHeight="1">
      <c r="A44" s="10" t="s">
        <v>26</v>
      </c>
      <c r="B44" s="59">
        <f>COUNTIFS(Jan!$B:$B,2241,Jan!$J:$J,20)</f>
        <v>0</v>
      </c>
      <c r="C44" s="59">
        <f>COUNTIFS(Feb!$B:$B,2241,Feb!$J:$J,20)</f>
        <v>0</v>
      </c>
      <c r="D44" s="59">
        <f>COUNTIFS(Mar!$B:$B,2241,Mar!$J:$J,20)</f>
        <v>0</v>
      </c>
      <c r="E44" s="59">
        <f>COUNTIFS(Apr!$B:$B,2241,Apr!$J:$J,20)</f>
        <v>0</v>
      </c>
      <c r="F44" s="59">
        <f>COUNTIFS(May!$B:$B,2241,May!$J:$J,20)</f>
        <v>0</v>
      </c>
      <c r="G44" s="59">
        <f>COUNTIFS(Jun!$B:$B,2241,Jun!$J:$J,20)</f>
        <v>0</v>
      </c>
      <c r="H44" s="59">
        <v>1</v>
      </c>
      <c r="I44" s="59">
        <f>COUNTIFS(Aug!$B:$B,2241,Aug!$J:$J,20)</f>
        <v>0</v>
      </c>
      <c r="J44" s="59">
        <v>1</v>
      </c>
      <c r="K44" s="59">
        <f>COUNTIFS(Oct!$B:$B,2241,Oct!$J:$J,20)</f>
        <v>0</v>
      </c>
      <c r="L44" s="59">
        <f>COUNTIFS(Nov!$B:$B,2241,Nov!$J:$J,20)</f>
        <v>0</v>
      </c>
      <c r="M44" s="59">
        <v>0</v>
      </c>
    </row>
    <row r="45" spans="1:13" s="8" customFormat="1" ht="11.25" customHeight="1">
      <c r="A45" s="10" t="s">
        <v>32</v>
      </c>
      <c r="B45" s="59">
        <f>COUNTIFS(Jan!$B:$B,2241,Jan!$J:$J,2)</f>
        <v>10</v>
      </c>
      <c r="C45" s="59">
        <v>9</v>
      </c>
      <c r="D45" s="59">
        <v>8</v>
      </c>
      <c r="E45" s="59">
        <v>6</v>
      </c>
      <c r="F45" s="59">
        <v>12</v>
      </c>
      <c r="G45" s="59">
        <v>11</v>
      </c>
      <c r="H45" s="59">
        <v>12</v>
      </c>
      <c r="I45" s="59">
        <v>18</v>
      </c>
      <c r="J45" s="59">
        <v>4</v>
      </c>
      <c r="K45" s="59">
        <v>10</v>
      </c>
      <c r="L45" s="59">
        <v>6</v>
      </c>
      <c r="M45" s="59">
        <v>14</v>
      </c>
    </row>
    <row r="46" spans="1:13" s="8" customFormat="1" ht="11.25" customHeight="1">
      <c r="A46" s="10" t="s">
        <v>28</v>
      </c>
      <c r="B46" s="59">
        <f>COUNTIFS(Jan!$B:$B,2241,Jan!$J:$J,1700)+COUNTIFS(Jan!$B:$B,2241,Jan!$F:$F,1700)+COUNTIFS(Jan!$B:$B,2241,Jan!$J:$J,19)</f>
        <v>0</v>
      </c>
      <c r="C46" s="59">
        <f>COUNTIFS(Feb!$B:$B,2241,Feb!$J:$J,1700)+COUNTIFS(Feb!$B:$B,2241,Feb!$F:$F,1700)+COUNTIFS(Feb!$B:$B,2241,Feb!$J:$J,19)</f>
        <v>0</v>
      </c>
      <c r="D46" s="59">
        <f>COUNTIFS(Mar!$B:$B,2241,Mar!$J:$J,1700)+COUNTIFS(Mar!$B:$B,2241,Mar!$F:$F,1700)+COUNTIFS(Mar!$B:$B,2241,Mar!$J:$J,19)</f>
        <v>0</v>
      </c>
      <c r="E46" s="59">
        <f>COUNTIFS(Apr!$B:$B,2241,Apr!$J:$J,1700)+COUNTIFS(Apr!$B:$B,2241,Apr!$F:$F,1700)+COUNTIFS(Apr!$B:$B,2241,Apr!$J:$J,19)</f>
        <v>0</v>
      </c>
      <c r="F46" s="59">
        <f>COUNTIFS(May!$B:$B,2241,May!$J:$J,1700)+COUNTIFS(May!$B:$B,2241,May!$F:$F,1700)+COUNTIFS(May!$B:$B,2241,May!$J:$J,19)</f>
        <v>0</v>
      </c>
      <c r="G46" s="59">
        <f>COUNTIFS(Jun!$B:$B,2241,Jun!$J:$J,1700)+COUNTIFS(Jun!$B:$B,2241,Jun!$F:$F,1700)+COUNTIFS(Jun!$B:$B,2241,Jun!$J:$J,19)</f>
        <v>0</v>
      </c>
      <c r="H46" s="59">
        <f>COUNTIFS(Jul!$B:$B,2241,Jul!$J:$J,1700)+COUNTIFS(Jul!$B:$B,2241,Jul!$F:$F,1700)+COUNTIFS(Jul!$B:$B,2241,Jul!$J:$J,19)</f>
        <v>0</v>
      </c>
      <c r="I46" s="59">
        <v>2</v>
      </c>
      <c r="J46" s="59">
        <f>COUNTIFS(Sep!$B:$B,2241,Sep!$J:$J,1700)+COUNTIFS(Sep!$B:$B,2241,Sep!$F:$F,1700)+COUNTIFS(Sep!$B:$B,2241,Sep!$J:$J,19)</f>
        <v>0</v>
      </c>
      <c r="K46" s="59">
        <f>COUNTIFS(Oct!$B:$B,2241,Oct!$J:$J,1700)+COUNTIFS(Oct!$B:$B,2241,Oct!$F:$F,1700)+COUNTIFS(Oct!$B:$B,2241,Oct!$J:$J,19)</f>
        <v>0</v>
      </c>
      <c r="L46" s="59">
        <v>2</v>
      </c>
      <c r="M46" s="59">
        <v>0</v>
      </c>
    </row>
    <row r="47" spans="1:13" s="8" customFormat="1" ht="11.25" customHeight="1">
      <c r="A47" s="10" t="s">
        <v>0</v>
      </c>
      <c r="B47" s="59">
        <f>COUNTIFS(Jan!$B:$B,2241,Jan!$J:$J,3)</f>
        <v>4</v>
      </c>
      <c r="C47" s="59">
        <v>1</v>
      </c>
      <c r="D47" s="59">
        <v>5</v>
      </c>
      <c r="E47" s="59">
        <v>1</v>
      </c>
      <c r="F47" s="59">
        <v>7</v>
      </c>
      <c r="G47" s="59">
        <v>8</v>
      </c>
      <c r="H47" s="59">
        <v>7</v>
      </c>
      <c r="I47" s="59">
        <v>5</v>
      </c>
      <c r="J47" s="59">
        <v>4</v>
      </c>
      <c r="K47" s="59">
        <v>2</v>
      </c>
      <c r="L47" s="59">
        <v>2</v>
      </c>
      <c r="M47" s="59">
        <v>5</v>
      </c>
    </row>
    <row r="48" spans="1:13" s="8" customFormat="1" ht="11.25" customHeight="1">
      <c r="A48" s="10" t="s">
        <v>35</v>
      </c>
      <c r="B48" s="59">
        <f>COUNTIFS(Jan!$B:$B,2241,Jan!$J:$J,7400)</f>
        <v>0</v>
      </c>
      <c r="C48" s="59">
        <f>COUNTIFS(Feb!$B:$B,2241,Feb!$J:$J,7400)</f>
        <v>0</v>
      </c>
      <c r="D48" s="59">
        <f>COUNTIFS(Mar!$B:$B,2241,Mar!$J:$J,7400)</f>
        <v>0</v>
      </c>
      <c r="E48" s="59">
        <f>COUNTIFS(Apr!$B:$B,2241,Apr!$J:$J,7400)</f>
        <v>0</v>
      </c>
      <c r="F48" s="59">
        <f>COUNTIFS(May!$B:$B,2241,May!$J:$J,7400)</f>
        <v>0</v>
      </c>
      <c r="G48" s="59">
        <f>COUNTIFS(Jun!$B:$B,2241,Jun!$J:$J,7400)</f>
        <v>0</v>
      </c>
      <c r="H48" s="59">
        <v>1</v>
      </c>
      <c r="I48" s="59">
        <f>COUNTIFS(Aug!$B:$B,2241,Aug!$J:$J,7400)</f>
        <v>0</v>
      </c>
      <c r="J48" s="59">
        <f>COUNTIFS(Sep!$B:$B,2241,Sep!$J:$J,7400)</f>
        <v>0</v>
      </c>
      <c r="K48" s="59">
        <f>COUNTIFS(Oct!$B:$B,2241,Oct!$J:$J,7400)</f>
        <v>0</v>
      </c>
      <c r="L48" s="59">
        <v>1</v>
      </c>
      <c r="M48" s="59">
        <v>0</v>
      </c>
    </row>
    <row r="49" spans="1:13" s="8" customFormat="1" ht="11.25" customHeight="1">
      <c r="A49" s="10" t="s">
        <v>2</v>
      </c>
      <c r="B49" s="59">
        <f>COUNTIFS(Jan!$B:$B,2241,Jan!$J:$J,14)</f>
        <v>0</v>
      </c>
      <c r="C49" s="59">
        <f>COUNTIFS(Feb!$B:$B,2241,Feb!$J:$J,14)</f>
        <v>0</v>
      </c>
      <c r="D49" s="59">
        <f>COUNTIFS(Mar!$B:$B,2241,Mar!$J:$J,14)</f>
        <v>0</v>
      </c>
      <c r="E49" s="59">
        <f>COUNTIFS(Apr!$B:$B,2241,Apr!$J:$J,14)</f>
        <v>0</v>
      </c>
      <c r="F49" s="59">
        <f>COUNTIFS(May!$B:$B,2241,May!$J:$J,14)</f>
        <v>0</v>
      </c>
      <c r="G49" s="59">
        <f>COUNTIFS(Jun!$B:$B,2241,Jun!$J:$J,14)</f>
        <v>0</v>
      </c>
      <c r="H49" s="59">
        <f>COUNTIFS(Jul!$B:$B,2241,Jul!$J:$J,14)</f>
        <v>0</v>
      </c>
      <c r="I49" s="59">
        <f>COUNTIFS(Aug!$B:$B,2241,Aug!$J:$J,14)</f>
        <v>0</v>
      </c>
      <c r="J49" s="59">
        <v>1</v>
      </c>
      <c r="K49" s="59">
        <v>1</v>
      </c>
      <c r="L49" s="59">
        <v>1</v>
      </c>
      <c r="M49" s="59">
        <v>2</v>
      </c>
    </row>
    <row r="50" spans="1:13" s="8" customFormat="1" ht="11.25" customHeight="1">
      <c r="A50" s="10" t="s">
        <v>142</v>
      </c>
      <c r="B50" s="59">
        <f>COUNTIFS(Jan!$B:$B,2241,Jan!$F:$F,466)</f>
        <v>0</v>
      </c>
      <c r="C50" s="59">
        <v>1</v>
      </c>
      <c r="D50" s="59">
        <v>1</v>
      </c>
      <c r="E50" s="59">
        <f>COUNTIFS(Apr!$B:$B,2241,Apr!$F:$F,466)</f>
        <v>0</v>
      </c>
      <c r="F50" s="59">
        <v>1</v>
      </c>
      <c r="G50" s="59">
        <f>COUNTIFS(Jun!$B:$B,2241,Jun!$F:$F,466)</f>
        <v>0</v>
      </c>
      <c r="H50" s="59">
        <f>COUNTIFS(Jul!$B:$B,2241,Jul!$F:$F,466)</f>
        <v>0</v>
      </c>
      <c r="I50" s="59">
        <f>COUNTIFS(Aug!$B:$B,2241,Aug!$F:$F,466)</f>
        <v>0</v>
      </c>
      <c r="J50" s="59">
        <f>COUNTIFS(Sep!$B:$B,2241,Sep!$F:$F,466)</f>
        <v>0</v>
      </c>
      <c r="K50" s="59">
        <f>COUNTIFS(Oct!$B:$B,2241,Oct!$F:$F,466)</f>
        <v>0</v>
      </c>
      <c r="L50" s="59">
        <f>COUNTIFS(Nov!$B:$B,2241,Nov!$F:$F,466)</f>
        <v>0</v>
      </c>
      <c r="M50" s="59">
        <v>0</v>
      </c>
    </row>
    <row r="51" spans="1:13" s="8" customFormat="1" ht="11.25" customHeight="1">
      <c r="A51" s="10" t="s">
        <v>27</v>
      </c>
      <c r="B51" s="59">
        <f>COUNTIFS(Jan!$B:$B,2241,Jan!$J:$J,25)</f>
        <v>0</v>
      </c>
      <c r="C51" s="59">
        <f>COUNTIFS(Feb!$B:$B,2241,Feb!$J:$J,25)</f>
        <v>0</v>
      </c>
      <c r="D51" s="59">
        <f>COUNTIFS(Mar!$B:$B,2241,Mar!$J:$J,25)</f>
        <v>0</v>
      </c>
      <c r="E51" s="59">
        <f>COUNTIFS(Apr!$B:$B,2241,Apr!$J:$J,25)</f>
        <v>0</v>
      </c>
      <c r="F51" s="59">
        <f>COUNTIFS(May!$B:$B,2241,May!$J:$J,25)</f>
        <v>0</v>
      </c>
      <c r="G51" s="59">
        <f>COUNTIFS(Jun!$B:$B,2241,Jun!$J:$J,25)</f>
        <v>0</v>
      </c>
      <c r="H51" s="59">
        <f>COUNTIFS(Jul!$B:$B,2241,Jul!$J:$J,25)</f>
        <v>0</v>
      </c>
      <c r="I51" s="59">
        <f>COUNTIFS(Aug!$B:$B,2241,Aug!$J:$J,25)</f>
        <v>0</v>
      </c>
      <c r="J51" s="59">
        <f>COUNTIFS(Sep!$B:$B,2241,Sep!$J:$J,25)</f>
        <v>0</v>
      </c>
      <c r="K51" s="59">
        <f>COUNTIFS(Oct!$B:$B,2241,Oct!$J:$J,25)</f>
        <v>0</v>
      </c>
      <c r="L51" s="59">
        <f>COUNTIFS(Nov!$B:$B,2241,Nov!$J:$J,25)</f>
        <v>0</v>
      </c>
      <c r="M51" s="59">
        <v>0</v>
      </c>
    </row>
    <row r="52" spans="1:13" s="8" customFormat="1" ht="11.25" customHeight="1" thickBot="1">
      <c r="A52" s="11" t="s">
        <v>16</v>
      </c>
      <c r="B52" s="60">
        <f>SUM(B34:B51)</f>
        <v>48</v>
      </c>
      <c r="C52" s="60">
        <f t="shared" ref="C52:M52" si="11">SUM(C34:C51)</f>
        <v>43</v>
      </c>
      <c r="D52" s="60">
        <f>SUM(D34:D51)</f>
        <v>53</v>
      </c>
      <c r="E52" s="60">
        <f>SUM(E34:E51)</f>
        <v>61</v>
      </c>
      <c r="F52" s="60">
        <f>SUM(F34:F51)</f>
        <v>57</v>
      </c>
      <c r="G52" s="60">
        <f>SUM(G34:G51)</f>
        <v>58</v>
      </c>
      <c r="H52" s="60">
        <f t="shared" si="11"/>
        <v>63</v>
      </c>
      <c r="I52" s="60">
        <f t="shared" si="11"/>
        <v>68</v>
      </c>
      <c r="J52" s="60">
        <f t="shared" si="11"/>
        <v>54</v>
      </c>
      <c r="K52" s="60">
        <f t="shared" si="11"/>
        <v>51</v>
      </c>
      <c r="L52" s="159">
        <f t="shared" si="11"/>
        <v>48</v>
      </c>
      <c r="M52" s="170">
        <f t="shared" si="11"/>
        <v>59</v>
      </c>
    </row>
    <row r="53" spans="1:13" ht="12" customHeight="1" thickBot="1">
      <c r="A53" s="55" t="s">
        <v>137</v>
      </c>
      <c r="B53" s="50">
        <v>41275</v>
      </c>
      <c r="C53" s="47">
        <v>41306</v>
      </c>
      <c r="D53" s="47">
        <v>41334</v>
      </c>
      <c r="E53" s="47">
        <v>41365</v>
      </c>
      <c r="F53" s="47">
        <v>41395</v>
      </c>
      <c r="G53" s="47">
        <v>41426</v>
      </c>
      <c r="H53" s="47">
        <v>41456</v>
      </c>
      <c r="I53" s="47">
        <v>41487</v>
      </c>
      <c r="J53" s="47">
        <v>41518</v>
      </c>
      <c r="K53" s="47">
        <v>41548</v>
      </c>
      <c r="L53" s="47">
        <v>41579</v>
      </c>
      <c r="M53" s="51">
        <v>41609</v>
      </c>
    </row>
    <row r="54" spans="1:13" s="8" customFormat="1" ht="11.25" customHeight="1">
      <c r="A54" s="10" t="s">
        <v>30</v>
      </c>
      <c r="B54" s="57">
        <f>COUNTIFS(Jan!$B:$B,2241,Jan!$J:$J,7)</f>
        <v>2</v>
      </c>
      <c r="C54" s="57">
        <f>COUNTIFS(Feb!$B:$B,2241,Feb!$J:$J,7)</f>
        <v>0</v>
      </c>
      <c r="D54" s="57">
        <v>2</v>
      </c>
      <c r="E54" s="57">
        <v>1</v>
      </c>
      <c r="F54" s="57">
        <v>1</v>
      </c>
      <c r="G54" s="57">
        <v>1</v>
      </c>
      <c r="H54" s="57">
        <v>6</v>
      </c>
      <c r="I54" s="57">
        <f>COUNTIFS(Aug!$B:$B,2241,Aug!$J:$J,7)</f>
        <v>0</v>
      </c>
      <c r="J54" s="57">
        <f>COUNTIFS(Sep!$B:$B,2241,Sep!$J:$J,7)</f>
        <v>0</v>
      </c>
      <c r="K54" s="57">
        <v>2</v>
      </c>
      <c r="L54" s="57">
        <v>1</v>
      </c>
      <c r="M54" s="57">
        <v>3</v>
      </c>
    </row>
    <row r="55" spans="1:13" s="8" customFormat="1" ht="11.25" customHeight="1">
      <c r="A55" s="10" t="s">
        <v>29</v>
      </c>
      <c r="B55" s="59">
        <f>COUNTIFS(Jan!$B:$B,2241,Jan!$J:$J,8)</f>
        <v>0</v>
      </c>
      <c r="C55" s="59">
        <f>COUNTIFS(Feb!$B:$B,2241,Feb!$J:$J,8)</f>
        <v>0</v>
      </c>
      <c r="D55" s="59">
        <f>COUNTIFS(Mar!$B:$B,2241,Mar!$J:$J,8)</f>
        <v>0</v>
      </c>
      <c r="E55" s="59">
        <f>COUNTIFS(Apr!$B:$B,2241,Apr!$J:$J,8)</f>
        <v>0</v>
      </c>
      <c r="F55" s="59">
        <f>COUNTIFS(May!$B:$B,2241,May!$J:$J,8)</f>
        <v>0</v>
      </c>
      <c r="G55" s="59">
        <f>COUNTIFS(Jun!$B:$B,2241,Jun!$J:$J,8)</f>
        <v>0</v>
      </c>
      <c r="H55" s="59">
        <f>COUNTIFS(Jul!$B:$B,2241,Jul!$J:$J,8)</f>
        <v>0</v>
      </c>
      <c r="I55" s="59">
        <f>COUNTIFS(Aug!$B:$B,2241,Aug!$J:$J,8)</f>
        <v>0</v>
      </c>
      <c r="J55" s="59">
        <f>COUNTIFS(Sep!$B:$B,2241,Sep!$J:$J,8)</f>
        <v>0</v>
      </c>
      <c r="K55" s="59">
        <f>COUNTIFS(Oct!$B:$B,2241,Oct!$J:$J,8)</f>
        <v>0</v>
      </c>
      <c r="L55" s="59">
        <f>COUNTIFS(Nov!$B:$B,2241,Nov!$J:$J,8)</f>
        <v>0</v>
      </c>
      <c r="M55" s="59">
        <v>0</v>
      </c>
    </row>
    <row r="56" spans="1:13" s="8" customFormat="1" ht="11.25" customHeight="1">
      <c r="A56" s="10" t="s">
        <v>7</v>
      </c>
      <c r="B56" s="59">
        <f>COUNTIFS(Jan!$B:$B,2241,Jan!$J:$J,12)</f>
        <v>0</v>
      </c>
      <c r="C56" s="59">
        <f>COUNTIFS(Feb!$B:$B,2241,Feb!$J:$J,12)</f>
        <v>0</v>
      </c>
      <c r="D56" s="59">
        <v>1</v>
      </c>
      <c r="E56" s="59">
        <f>COUNTIFS(Apr!$B:$B,2241,Apr!$J:$J,12)</f>
        <v>0</v>
      </c>
      <c r="F56" s="59">
        <f>COUNTIFS(May!$B:$B,2241,May!$J:$J,12)</f>
        <v>0</v>
      </c>
      <c r="G56" s="59">
        <v>5</v>
      </c>
      <c r="H56" s="59">
        <f>COUNTIFS(Jul!$B:$B,2241,Jul!$J:$J,12)</f>
        <v>0</v>
      </c>
      <c r="I56" s="59">
        <f>COUNTIFS(Aug!$B:$B,2241,Aug!$J:$J,12)</f>
        <v>0</v>
      </c>
      <c r="J56" s="59">
        <f>COUNTIFS(Sep!$B:$B,2241,Sep!$J:$J,12)</f>
        <v>0</v>
      </c>
      <c r="K56" s="59">
        <f>COUNTIFS(Oct!$B:$B,2241,Oct!$J:$J,12)</f>
        <v>0</v>
      </c>
      <c r="L56" s="59">
        <v>1</v>
      </c>
      <c r="M56" s="59">
        <v>7</v>
      </c>
    </row>
    <row r="57" spans="1:13" s="8" customFormat="1" ht="11.25" customHeight="1">
      <c r="A57" s="10" t="s">
        <v>10</v>
      </c>
      <c r="B57" s="59">
        <f>COUNTIFS(Jan!$B:$B,2241,Jan!$J:$J,5100)</f>
        <v>0</v>
      </c>
      <c r="C57" s="59">
        <f>COUNTIFS(Feb!$B:$B,2241,Feb!$J:$J,5100)</f>
        <v>0</v>
      </c>
      <c r="D57" s="59">
        <f>COUNTIFS(Mar!$B:$B,2241,Mar!$J:$J,5100)</f>
        <v>0</v>
      </c>
      <c r="E57" s="59">
        <f>COUNTIFS(Apr!$B:$B,2241,Apr!$J:$J,5100)</f>
        <v>0</v>
      </c>
      <c r="F57" s="59">
        <f>COUNTIFS(May!$B:$B,2241,May!$J:$J,5100)</f>
        <v>0</v>
      </c>
      <c r="G57" s="59">
        <f>COUNTIFS(Jun!$B:$B,2241,Jun!$J:$J,5100)</f>
        <v>0</v>
      </c>
      <c r="H57" s="59">
        <v>6</v>
      </c>
      <c r="I57" s="59">
        <f>COUNTIFS(Aug!$B:$B,2241,Aug!$J:$J,5100)</f>
        <v>0</v>
      </c>
      <c r="J57" s="59">
        <f>COUNTIFS(Sep!$B:$B,2241,Sep!$J:$J,5100)</f>
        <v>0</v>
      </c>
      <c r="K57" s="59">
        <f>COUNTIFS(Oct!$B:$B,2241,Oct!$J:$J,5100)</f>
        <v>0</v>
      </c>
      <c r="L57" s="59">
        <f>COUNTIFS(Nov!$B:$B,2241,Nov!$J:$J,5100)</f>
        <v>0</v>
      </c>
      <c r="M57" s="59">
        <v>0</v>
      </c>
    </row>
    <row r="58" spans="1:13" s="8" customFormat="1" ht="11.25" customHeight="1">
      <c r="A58" s="10" t="s">
        <v>36</v>
      </c>
      <c r="B58" s="59">
        <f>COUNTIFS(Jan!$B:$B,2241,Jan!$J:$J,6200)</f>
        <v>0</v>
      </c>
      <c r="C58" s="59">
        <f>COUNTIFS(Feb!$B:$B,2241,Feb!$J:$J,6200)</f>
        <v>0</v>
      </c>
      <c r="D58" s="59">
        <f>COUNTIFS(Mar!$B:$B,2241,Mar!$J:$J,6200)</f>
        <v>0</v>
      </c>
      <c r="E58" s="59">
        <f>COUNTIFS(Apr!$B:$B,2241,Apr!$J:$J,6200)</f>
        <v>0</v>
      </c>
      <c r="F58" s="59">
        <f>COUNTIFS(May!$B:$B,2241,May!$J:$J,6200)</f>
        <v>0</v>
      </c>
      <c r="G58" s="59">
        <f>COUNTIFS(Jun!$B:$B,2241,Jun!$J:$J,6200)</f>
        <v>0</v>
      </c>
      <c r="H58" s="59">
        <f>COUNTIFS(Jul!$B:$B,2241,Jul!$J:$J,6200)</f>
        <v>0</v>
      </c>
      <c r="I58" s="59">
        <f>COUNTIFS(Aug!$B:$B,2241,Aug!$J:$J,6200)</f>
        <v>0</v>
      </c>
      <c r="J58" s="59">
        <f>COUNTIFS(Sep!$B:$B,2241,Sep!$J:$J,6200)</f>
        <v>0</v>
      </c>
      <c r="K58" s="59">
        <f>COUNTIFS(Oct!$B:$B,2241,Oct!$J:$J,6200)</f>
        <v>0</v>
      </c>
      <c r="L58" s="59">
        <f>COUNTIFS(Nov!$B:$B,2241,Nov!$J:$J,6200)</f>
        <v>0</v>
      </c>
      <c r="M58" s="59">
        <v>0</v>
      </c>
    </row>
    <row r="59" spans="1:13" s="8" customFormat="1" ht="11.25" customHeight="1">
      <c r="A59" s="10" t="s">
        <v>145</v>
      </c>
      <c r="B59" s="59">
        <f>COUNTIFS(Jan!$B:$B,2241,Jan!$J:$J,28)</f>
        <v>0</v>
      </c>
      <c r="C59" s="59">
        <f>COUNTIFS(Feb!$B:$B,2241,Feb!$J:$J,28)</f>
        <v>0</v>
      </c>
      <c r="D59" s="59">
        <f>COUNTIFS(Mar!$B:$B,2241,Mar!$J:$J,28)</f>
        <v>0</v>
      </c>
      <c r="E59" s="59">
        <f>COUNTIFS(Apr!$B:$B,2241,Apr!$J:$J,28)</f>
        <v>0</v>
      </c>
      <c r="F59" s="59">
        <f>COUNTIFS(May!$B:$B,2241,May!$J:$J,28)</f>
        <v>0</v>
      </c>
      <c r="G59" s="59">
        <f>COUNTIFS(Jun!$B:$B,2241,Jun!$J:$J,28)</f>
        <v>0</v>
      </c>
      <c r="H59" s="59">
        <f>COUNTIFS(Jul!$B:$B,2241,Jul!$J:$J,28)</f>
        <v>0</v>
      </c>
      <c r="I59" s="59">
        <f>COUNTIFS(Aug!$B:$B,2241,Aug!$J:$J,28)</f>
        <v>0</v>
      </c>
      <c r="J59" s="59">
        <f>COUNTIFS(Sep!$B:$B,2241,Sep!$J:$J,28)</f>
        <v>0</v>
      </c>
      <c r="K59" s="59">
        <f>COUNTIFS(Oct!$B:$B,2241,Oct!$J:$J,28)</f>
        <v>0</v>
      </c>
      <c r="L59" s="59">
        <f>COUNTIFS(Nov!$B:$B,2241,Nov!$J:$J,28)</f>
        <v>0</v>
      </c>
      <c r="M59" s="59">
        <v>0</v>
      </c>
    </row>
    <row r="60" spans="1:13" s="8" customFormat="1" ht="11.25" customHeight="1">
      <c r="A60" s="10" t="s">
        <v>38</v>
      </c>
      <c r="B60" s="59">
        <f>COUNTIFS(Jan!$B:$B,2241,Jan!$J:$J,6100)</f>
        <v>0</v>
      </c>
      <c r="C60" s="59">
        <f>COUNTIFS(Feb!$B:$B,2241,Feb!$J:$J,6100)</f>
        <v>0</v>
      </c>
      <c r="D60" s="59">
        <f>COUNTIFS(Mar!$B:$B,2241,Mar!$J:$J,6100)</f>
        <v>0</v>
      </c>
      <c r="E60" s="59">
        <f>COUNTIFS(Apr!$B:$B,2241,Apr!$J:$J,6100)</f>
        <v>0</v>
      </c>
      <c r="F60" s="59">
        <v>1</v>
      </c>
      <c r="G60" s="59">
        <v>1</v>
      </c>
      <c r="H60" s="59">
        <v>3</v>
      </c>
      <c r="I60" s="59">
        <v>2</v>
      </c>
      <c r="J60" s="59">
        <v>2</v>
      </c>
      <c r="K60" s="59">
        <f>COUNTIFS(Oct!$B:$B,2241,Oct!$J:$J,6100)</f>
        <v>0</v>
      </c>
      <c r="L60" s="59">
        <f>COUNTIFS(Nov!$B:$B,2241,Nov!$J:$J,6100)</f>
        <v>0</v>
      </c>
      <c r="M60" s="59">
        <v>0</v>
      </c>
    </row>
    <row r="61" spans="1:13" s="8" customFormat="1" ht="11.25" customHeight="1">
      <c r="A61" s="10" t="s">
        <v>9</v>
      </c>
      <c r="B61" s="59">
        <f>COUNTIFS(Jan!$B:$B,2241,Jan!$J:$J,6)</f>
        <v>0</v>
      </c>
      <c r="C61" s="59">
        <f>COUNTIFS(Feb!$B:$B,2241,Feb!$J:$J,6)</f>
        <v>0</v>
      </c>
      <c r="D61" s="59">
        <f>COUNTIFS(Mar!$B:$B,2241,Mar!$J:$J,6)</f>
        <v>0</v>
      </c>
      <c r="E61" s="59">
        <f>COUNTIFS(Apr!$B:$B,2241,Apr!$J:$J,6)</f>
        <v>0</v>
      </c>
      <c r="F61" s="59">
        <f>COUNTIFS(May!$B:$B,2241,May!$J:$J,6)</f>
        <v>0</v>
      </c>
      <c r="G61" s="59">
        <f>COUNTIFS(Jun!$B:$B,2241,Jun!$J:$J,6)</f>
        <v>0</v>
      </c>
      <c r="H61" s="59">
        <f>COUNTIFS(Jul!$B:$B,2241,Jul!$J:$J,6)</f>
        <v>0</v>
      </c>
      <c r="I61" s="59">
        <v>1</v>
      </c>
      <c r="J61" s="59">
        <f>COUNTIFS(Sep!$B:$B,2241,Sep!$J:$J,6)</f>
        <v>0</v>
      </c>
      <c r="K61" s="59">
        <f>COUNTIFS(Oct!$B:$B,2241,Oct!$J:$J,6)</f>
        <v>0</v>
      </c>
      <c r="L61" s="59">
        <f>COUNTIFS(Nov!$B:$B,2241,Nov!$J:$J,6)</f>
        <v>0</v>
      </c>
      <c r="M61" s="59">
        <v>0</v>
      </c>
    </row>
    <row r="62" spans="1:13" s="8" customFormat="1" ht="11.25" customHeight="1">
      <c r="A62" s="10" t="s">
        <v>8</v>
      </c>
      <c r="B62" s="59">
        <f>COUNTIFS(Jan!$B:$B,2241,Jan!$J:$J,4)</f>
        <v>0</v>
      </c>
      <c r="C62" s="59">
        <f>COUNTIFS(Feb!$B:$B,2241,Feb!$J:$J,4)</f>
        <v>0</v>
      </c>
      <c r="D62" s="59">
        <f>COUNTIFS(Mar!$B:$B,2241,Mar!$J:$J,4)</f>
        <v>0</v>
      </c>
      <c r="E62" s="59">
        <f>COUNTIFS(Apr!$B:$B,2241,Apr!$J:$J,4)</f>
        <v>0</v>
      </c>
      <c r="F62" s="59">
        <f>COUNTIFS(May!$B:$B,2241,May!$J:$J,4)</f>
        <v>0</v>
      </c>
      <c r="G62" s="59">
        <f>COUNTIFS(Jun!$B:$B,2241,Jun!$J:$J,4)</f>
        <v>0</v>
      </c>
      <c r="H62" s="59">
        <f>COUNTIFS(Jul!$B:$B,2241,Jul!$J:$J,4)</f>
        <v>0</v>
      </c>
      <c r="I62" s="59">
        <f>COUNTIFS(Aug!$B:$B,2241,Aug!$J:$J,4)</f>
        <v>0</v>
      </c>
      <c r="J62" s="59">
        <f>COUNTIFS(Sep!$B:$B,2241,Sep!$J:$J,4)</f>
        <v>0</v>
      </c>
      <c r="K62" s="59">
        <f>COUNTIFS(Oct!$B:$B,2241,Oct!$J:$J,4)</f>
        <v>0</v>
      </c>
      <c r="L62" s="59">
        <f>COUNTIFS(Nov!$B:$B,2241,Nov!$J:$J,4)</f>
        <v>0</v>
      </c>
      <c r="M62" s="59">
        <v>0</v>
      </c>
    </row>
    <row r="63" spans="1:13" s="8" customFormat="1" ht="11.25" customHeight="1">
      <c r="A63" s="10" t="s">
        <v>6</v>
      </c>
      <c r="B63" s="59">
        <f>COUNTIFS(Jan!$B:$B,2241,Jan!$J:$J,5)</f>
        <v>0</v>
      </c>
      <c r="C63" s="59">
        <f>COUNTIFS(Feb!$B:$B,2241,Feb!$J:$J,5)</f>
        <v>0</v>
      </c>
      <c r="D63" s="59">
        <f>COUNTIFS(Mar!$B:$B,2241,Mar!$J:$J,5)</f>
        <v>0</v>
      </c>
      <c r="E63" s="59">
        <f>COUNTIFS(Apr!$B:$B,2241,Apr!$J:$J,5)</f>
        <v>0</v>
      </c>
      <c r="F63" s="59">
        <f>COUNTIFS(May!$B:$B,2241,May!$J:$J,5)</f>
        <v>0</v>
      </c>
      <c r="G63" s="59">
        <f>COUNTIFS(Jun!$B:$B,2241,Jun!$J:$J,5)</f>
        <v>0</v>
      </c>
      <c r="H63" s="59">
        <f>COUNTIFS(Jul!$B:$B,2241,Jul!$J:$J,5)</f>
        <v>0</v>
      </c>
      <c r="I63" s="59">
        <f>COUNTIFS(Aug!$B:$B,2241,Aug!$J:$J,5)</f>
        <v>0</v>
      </c>
      <c r="J63" s="59">
        <f>COUNTIFS(Sep!$B:$B,2241,Sep!$J:$J,5)</f>
        <v>0</v>
      </c>
      <c r="K63" s="59">
        <f>COUNTIFS(Oct!$B:$B,2241,Oct!$J:$J,5)</f>
        <v>0</v>
      </c>
      <c r="L63" s="59">
        <f>COUNTIFS(Nov!$B:$B,2241,Nov!$J:$J,5)</f>
        <v>0</v>
      </c>
      <c r="M63" s="59">
        <v>0</v>
      </c>
    </row>
    <row r="64" spans="1:13" s="8" customFormat="1" ht="11.25" customHeight="1">
      <c r="A64" s="52" t="s">
        <v>141</v>
      </c>
      <c r="B64" s="69">
        <f>COUNTIFS(Jan!$B:$B,2241,Jan!$F:$F,456)</f>
        <v>6</v>
      </c>
      <c r="C64" s="69">
        <v>4</v>
      </c>
      <c r="D64" s="69">
        <v>2</v>
      </c>
      <c r="E64" s="69">
        <v>6</v>
      </c>
      <c r="F64" s="69">
        <v>2</v>
      </c>
      <c r="G64" s="69">
        <v>2</v>
      </c>
      <c r="H64" s="69">
        <f>COUNTIFS(Jul!$B:$B,2241,Jul!$F:$F,456)</f>
        <v>0</v>
      </c>
      <c r="I64" s="69">
        <f>COUNTIFS(Aug!$B:$B,2241,Aug!$F:$F,456)</f>
        <v>0</v>
      </c>
      <c r="J64" s="69">
        <v>1</v>
      </c>
      <c r="K64" s="69">
        <v>1</v>
      </c>
      <c r="L64" s="69">
        <v>1</v>
      </c>
      <c r="M64" s="69">
        <v>3</v>
      </c>
    </row>
    <row r="65" spans="1:13" s="8" customFormat="1" ht="11.25" customHeight="1" thickBot="1">
      <c r="A65" s="12" t="s">
        <v>16</v>
      </c>
      <c r="B65" s="70">
        <f>SUM(B54:B64)</f>
        <v>8</v>
      </c>
      <c r="C65" s="70">
        <f t="shared" ref="C65:M65" si="12">SUM(C54:C64)</f>
        <v>4</v>
      </c>
      <c r="D65" s="70">
        <f t="shared" si="12"/>
        <v>5</v>
      </c>
      <c r="E65" s="70">
        <f t="shared" si="12"/>
        <v>7</v>
      </c>
      <c r="F65" s="70">
        <f t="shared" si="12"/>
        <v>4</v>
      </c>
      <c r="G65" s="70">
        <f t="shared" si="12"/>
        <v>9</v>
      </c>
      <c r="H65" s="70">
        <f t="shared" si="12"/>
        <v>15</v>
      </c>
      <c r="I65" s="70">
        <f t="shared" si="12"/>
        <v>3</v>
      </c>
      <c r="J65" s="70">
        <f t="shared" si="12"/>
        <v>3</v>
      </c>
      <c r="K65" s="70">
        <f t="shared" si="12"/>
        <v>3</v>
      </c>
      <c r="L65" s="165">
        <f t="shared" si="12"/>
        <v>3</v>
      </c>
      <c r="M65" s="170">
        <f t="shared" si="12"/>
        <v>13</v>
      </c>
    </row>
    <row r="66" spans="1:13" s="8" customFormat="1" ht="15.75" customHeight="1">
      <c r="A66" s="6"/>
      <c r="B66" s="7"/>
      <c r="C66" s="7"/>
      <c r="D66" s="7"/>
      <c r="E66" s="7"/>
      <c r="F66" s="7"/>
      <c r="G66" s="7"/>
      <c r="H66" s="7"/>
      <c r="I66" s="7"/>
      <c r="J66" s="7"/>
      <c r="K66" s="7"/>
      <c r="L66" s="7"/>
      <c r="M66" s="7"/>
    </row>
    <row r="67" spans="1:13" ht="12" customHeight="1">
      <c r="A67" s="6"/>
      <c r="B67" s="7"/>
      <c r="C67" s="7"/>
      <c r="D67" s="7"/>
      <c r="E67" s="7"/>
      <c r="F67" s="7"/>
      <c r="G67" s="7"/>
      <c r="H67" s="7"/>
      <c r="I67" s="7"/>
      <c r="J67" s="7"/>
      <c r="K67" s="7"/>
      <c r="L67" s="7"/>
      <c r="M67" s="7"/>
    </row>
  </sheetData>
  <phoneticPr fontId="0" type="noConversion"/>
  <printOptions horizontalCentered="1" verticalCentered="1"/>
  <pageMargins left="0.14000000000000001" right="0.16" top="0.25" bottom="0.5" header="0.5" footer="0.25"/>
  <pageSetup scale="95" firstPageNumber="3" orientation="portrait" useFirstPageNumber="1" r:id="rId1"/>
  <headerFooter alignWithMargins="0">
    <oddFooter>&amp;R42 of 51</oddFooter>
  </headerFooter>
  <ignoredErrors>
    <ignoredError sqref="M32 M52 M65" formulaRange="1"/>
  </ignoredErrors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67"/>
  <sheetViews>
    <sheetView view="pageBreakPreview" zoomScale="90" zoomScaleNormal="100" zoomScaleSheetLayoutView="90" workbookViewId="0">
      <selection activeCell="M47" sqref="M47"/>
    </sheetView>
  </sheetViews>
  <sheetFormatPr defaultRowHeight="12.75"/>
  <cols>
    <col min="1" max="1" width="22.85546875" style="1" customWidth="1"/>
    <col min="2" max="13" width="7.140625" style="1" customWidth="1"/>
    <col min="14" max="14" width="4.42578125" style="1" customWidth="1"/>
    <col min="15" max="16384" width="9.140625" style="1"/>
  </cols>
  <sheetData>
    <row r="1" spans="1:21" ht="18" customHeight="1">
      <c r="A1" s="130"/>
      <c r="B1" s="131"/>
      <c r="C1" s="131"/>
      <c r="D1" s="131"/>
      <c r="E1" s="131"/>
      <c r="F1" s="131"/>
      <c r="G1" s="130"/>
      <c r="H1" s="130"/>
      <c r="I1" s="131"/>
      <c r="J1" s="131"/>
      <c r="K1" s="131"/>
      <c r="L1" s="130"/>
      <c r="M1" s="143" t="s">
        <v>22</v>
      </c>
    </row>
    <row r="2" spans="1:21" ht="18" customHeight="1">
      <c r="A2" s="130"/>
      <c r="B2" s="135"/>
      <c r="C2" s="135"/>
      <c r="D2" s="135"/>
      <c r="E2" s="135"/>
      <c r="F2" s="135"/>
      <c r="G2" s="130"/>
      <c r="H2" s="130"/>
      <c r="I2" s="135"/>
      <c r="J2" s="135"/>
      <c r="K2" s="135"/>
      <c r="L2" s="130"/>
      <c r="M2" s="155" t="s">
        <v>13</v>
      </c>
    </row>
    <row r="3" spans="1:21" s="5" customFormat="1" ht="18" customHeight="1">
      <c r="A3" s="133"/>
      <c r="B3" s="133"/>
      <c r="C3" s="133"/>
      <c r="D3" s="133"/>
      <c r="E3" s="133"/>
      <c r="F3" s="133"/>
      <c r="G3" s="133"/>
      <c r="H3" s="133"/>
      <c r="I3" s="133"/>
      <c r="J3" s="136"/>
      <c r="K3" s="136"/>
      <c r="L3" s="133"/>
      <c r="M3" s="155" t="s">
        <v>83</v>
      </c>
      <c r="N3" s="134"/>
      <c r="O3" s="134"/>
      <c r="P3" s="134"/>
      <c r="Q3" s="134"/>
      <c r="R3" s="134"/>
      <c r="S3" s="134"/>
      <c r="T3" s="134"/>
      <c r="U3" s="134"/>
    </row>
    <row r="4" spans="1:21" s="8" customFormat="1" ht="6.75" customHeight="1" thickBot="1">
      <c r="A4" s="38"/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</row>
    <row r="5" spans="1:21" s="8" customFormat="1" ht="11.25" customHeight="1" thickBot="1">
      <c r="A5" s="53" t="s">
        <v>19</v>
      </c>
      <c r="B5" s="50">
        <v>41275</v>
      </c>
      <c r="C5" s="47">
        <v>41306</v>
      </c>
      <c r="D5" s="47">
        <v>41334</v>
      </c>
      <c r="E5" s="47">
        <v>41365</v>
      </c>
      <c r="F5" s="47">
        <v>41395</v>
      </c>
      <c r="G5" s="47">
        <v>41426</v>
      </c>
      <c r="H5" s="47">
        <v>41456</v>
      </c>
      <c r="I5" s="47">
        <v>41487</v>
      </c>
      <c r="J5" s="47">
        <v>41518</v>
      </c>
      <c r="K5" s="47">
        <v>41548</v>
      </c>
      <c r="L5" s="47">
        <v>41579</v>
      </c>
      <c r="M5" s="51">
        <v>41609</v>
      </c>
    </row>
    <row r="6" spans="1:21" s="8" customFormat="1" ht="11.25" customHeight="1">
      <c r="A6" s="41" t="s">
        <v>129</v>
      </c>
      <c r="B6" s="57">
        <f t="shared" ref="B6:M6" si="0">B32</f>
        <v>45</v>
      </c>
      <c r="C6" s="57">
        <f t="shared" si="0"/>
        <v>29</v>
      </c>
      <c r="D6" s="57">
        <f t="shared" si="0"/>
        <v>33</v>
      </c>
      <c r="E6" s="57">
        <f t="shared" si="0"/>
        <v>68</v>
      </c>
      <c r="F6" s="57">
        <f t="shared" si="0"/>
        <v>53</v>
      </c>
      <c r="G6" s="57">
        <f t="shared" si="0"/>
        <v>44</v>
      </c>
      <c r="H6" s="57">
        <f t="shared" si="0"/>
        <v>58</v>
      </c>
      <c r="I6" s="57">
        <f t="shared" si="0"/>
        <v>50</v>
      </c>
      <c r="J6" s="57">
        <f t="shared" si="0"/>
        <v>36</v>
      </c>
      <c r="K6" s="57">
        <f t="shared" si="0"/>
        <v>22</v>
      </c>
      <c r="L6" s="156">
        <f t="shared" si="0"/>
        <v>80</v>
      </c>
      <c r="M6" s="168">
        <f t="shared" si="0"/>
        <v>117</v>
      </c>
    </row>
    <row r="7" spans="1:21" s="8" customFormat="1" ht="11.25" customHeight="1">
      <c r="A7" s="42" t="s">
        <v>18</v>
      </c>
      <c r="B7" s="57">
        <f t="shared" ref="B7:M7" si="1">SUM(B10:B12)</f>
        <v>129</v>
      </c>
      <c r="C7" s="57">
        <f t="shared" si="1"/>
        <v>137</v>
      </c>
      <c r="D7" s="57">
        <f t="shared" si="1"/>
        <v>130</v>
      </c>
      <c r="E7" s="57">
        <f t="shared" si="1"/>
        <v>132</v>
      </c>
      <c r="F7" s="57">
        <f t="shared" si="1"/>
        <v>146</v>
      </c>
      <c r="G7" s="57">
        <f t="shared" si="1"/>
        <v>130</v>
      </c>
      <c r="H7" s="57">
        <f t="shared" si="1"/>
        <v>161</v>
      </c>
      <c r="I7" s="57">
        <f t="shared" si="1"/>
        <v>175</v>
      </c>
      <c r="J7" s="57">
        <f t="shared" si="1"/>
        <v>178</v>
      </c>
      <c r="K7" s="57">
        <f t="shared" si="1"/>
        <v>81</v>
      </c>
      <c r="L7" s="156">
        <f t="shared" si="1"/>
        <v>105</v>
      </c>
      <c r="M7" s="171">
        <f t="shared" si="1"/>
        <v>87</v>
      </c>
    </row>
    <row r="8" spans="1:21" s="8" customFormat="1" ht="11.25" customHeight="1" thickBot="1">
      <c r="A8" s="43" t="s">
        <v>14</v>
      </c>
      <c r="B8" s="58">
        <f t="shared" ref="B8:M8" si="2">SUM(B6:B7)</f>
        <v>174</v>
      </c>
      <c r="C8" s="58">
        <f t="shared" si="2"/>
        <v>166</v>
      </c>
      <c r="D8" s="58">
        <f t="shared" si="2"/>
        <v>163</v>
      </c>
      <c r="E8" s="58">
        <f t="shared" si="2"/>
        <v>200</v>
      </c>
      <c r="F8" s="58">
        <f t="shared" si="2"/>
        <v>199</v>
      </c>
      <c r="G8" s="58">
        <f t="shared" si="2"/>
        <v>174</v>
      </c>
      <c r="H8" s="58">
        <f t="shared" si="2"/>
        <v>219</v>
      </c>
      <c r="I8" s="58">
        <f t="shared" si="2"/>
        <v>225</v>
      </c>
      <c r="J8" s="58">
        <f t="shared" si="2"/>
        <v>214</v>
      </c>
      <c r="K8" s="58">
        <f t="shared" si="2"/>
        <v>103</v>
      </c>
      <c r="L8" s="157">
        <f t="shared" si="2"/>
        <v>185</v>
      </c>
      <c r="M8" s="172">
        <f t="shared" si="2"/>
        <v>204</v>
      </c>
    </row>
    <row r="9" spans="1:21" s="8" customFormat="1" ht="11.25" customHeight="1" thickBot="1">
      <c r="A9" s="54" t="s">
        <v>18</v>
      </c>
      <c r="B9" s="50">
        <v>41275</v>
      </c>
      <c r="C9" s="47">
        <v>41306</v>
      </c>
      <c r="D9" s="47">
        <v>41334</v>
      </c>
      <c r="E9" s="47">
        <v>41365</v>
      </c>
      <c r="F9" s="47">
        <v>41395</v>
      </c>
      <c r="G9" s="47">
        <v>41426</v>
      </c>
      <c r="H9" s="47">
        <v>41456</v>
      </c>
      <c r="I9" s="47">
        <v>41487</v>
      </c>
      <c r="J9" s="47">
        <v>41518</v>
      </c>
      <c r="K9" s="47">
        <v>41548</v>
      </c>
      <c r="L9" s="47">
        <v>41579</v>
      </c>
      <c r="M9" s="51">
        <v>41609</v>
      </c>
    </row>
    <row r="10" spans="1:21" s="8" customFormat="1" ht="11.25" customHeight="1">
      <c r="A10" s="9" t="s">
        <v>128</v>
      </c>
      <c r="B10" s="57">
        <f t="shared" ref="B10:M10" si="3">B52</f>
        <v>115</v>
      </c>
      <c r="C10" s="57">
        <f t="shared" si="3"/>
        <v>131</v>
      </c>
      <c r="D10" s="57">
        <f t="shared" si="3"/>
        <v>98</v>
      </c>
      <c r="E10" s="57">
        <f t="shared" si="3"/>
        <v>58</v>
      </c>
      <c r="F10" s="57">
        <f t="shared" si="3"/>
        <v>58</v>
      </c>
      <c r="G10" s="59">
        <f t="shared" si="3"/>
        <v>74</v>
      </c>
      <c r="H10" s="59">
        <f t="shared" si="3"/>
        <v>102</v>
      </c>
      <c r="I10" s="59">
        <f t="shared" si="3"/>
        <v>105</v>
      </c>
      <c r="J10" s="59">
        <f t="shared" si="3"/>
        <v>89</v>
      </c>
      <c r="K10" s="59">
        <f t="shared" si="3"/>
        <v>32</v>
      </c>
      <c r="L10" s="158">
        <f t="shared" si="3"/>
        <v>45</v>
      </c>
      <c r="M10" s="168">
        <f t="shared" si="3"/>
        <v>44</v>
      </c>
    </row>
    <row r="11" spans="1:21" s="8" customFormat="1" ht="11.25" customHeight="1">
      <c r="A11" s="9" t="s">
        <v>127</v>
      </c>
      <c r="B11" s="59">
        <f t="shared" ref="B11:M11" si="4">B65</f>
        <v>4</v>
      </c>
      <c r="C11" s="59">
        <f t="shared" si="4"/>
        <v>2</v>
      </c>
      <c r="D11" s="59">
        <f t="shared" si="4"/>
        <v>13</v>
      </c>
      <c r="E11" s="59">
        <f t="shared" si="4"/>
        <v>33</v>
      </c>
      <c r="F11" s="59">
        <f t="shared" si="4"/>
        <v>44</v>
      </c>
      <c r="G11" s="59">
        <f t="shared" si="4"/>
        <v>25</v>
      </c>
      <c r="H11" s="59">
        <f t="shared" si="4"/>
        <v>31</v>
      </c>
      <c r="I11" s="59">
        <f t="shared" si="4"/>
        <v>30</v>
      </c>
      <c r="J11" s="59">
        <f t="shared" si="4"/>
        <v>33</v>
      </c>
      <c r="K11" s="59">
        <f t="shared" si="4"/>
        <v>25</v>
      </c>
      <c r="L11" s="158">
        <f t="shared" si="4"/>
        <v>18</v>
      </c>
      <c r="M11" s="169">
        <f t="shared" si="4"/>
        <v>24</v>
      </c>
    </row>
    <row r="12" spans="1:21" s="8" customFormat="1" ht="11.25" customHeight="1" thickBot="1">
      <c r="A12" s="2" t="s">
        <v>12</v>
      </c>
      <c r="B12" s="60">
        <f>COUNTIFS(Jan!$B:$B,2242,Jan!$F:$F,800)</f>
        <v>10</v>
      </c>
      <c r="C12" s="60">
        <v>4</v>
      </c>
      <c r="D12" s="60">
        <v>19</v>
      </c>
      <c r="E12" s="60">
        <v>41</v>
      </c>
      <c r="F12" s="60">
        <v>44</v>
      </c>
      <c r="G12" s="60">
        <v>31</v>
      </c>
      <c r="H12" s="60">
        <v>28</v>
      </c>
      <c r="I12" s="60">
        <v>40</v>
      </c>
      <c r="J12" s="60">
        <v>56</v>
      </c>
      <c r="K12" s="60">
        <v>24</v>
      </c>
      <c r="L12" s="60">
        <v>42</v>
      </c>
      <c r="M12" s="60">
        <v>19</v>
      </c>
    </row>
    <row r="13" spans="1:21" s="8" customFormat="1" ht="5.0999999999999996" customHeight="1" thickBot="1">
      <c r="A13" s="3"/>
      <c r="B13" s="17"/>
      <c r="C13" s="17"/>
      <c r="D13" s="17"/>
      <c r="E13" s="17"/>
      <c r="F13" s="17"/>
      <c r="G13" s="17"/>
      <c r="H13" s="17"/>
      <c r="I13" s="17"/>
      <c r="J13" s="17"/>
      <c r="K13" s="17"/>
      <c r="L13" s="17"/>
      <c r="M13" s="147"/>
    </row>
    <row r="14" spans="1:21" s="16" customFormat="1" ht="11.25" customHeight="1">
      <c r="A14" s="44" t="s">
        <v>131</v>
      </c>
      <c r="B14" s="120">
        <v>21552</v>
      </c>
      <c r="C14" s="120">
        <v>22798</v>
      </c>
      <c r="D14" s="120">
        <v>23796</v>
      </c>
      <c r="E14" s="120">
        <v>33950</v>
      </c>
      <c r="F14" s="120">
        <v>25297</v>
      </c>
      <c r="G14" s="120">
        <v>27190</v>
      </c>
      <c r="H14" s="119">
        <v>23467</v>
      </c>
      <c r="I14" s="61">
        <v>22853</v>
      </c>
      <c r="J14" s="61">
        <v>26701</v>
      </c>
      <c r="K14" s="118">
        <v>24757</v>
      </c>
      <c r="L14" s="160">
        <v>21409</v>
      </c>
      <c r="M14" s="173">
        <v>22300</v>
      </c>
      <c r="O14" s="22"/>
      <c r="P14" s="22"/>
      <c r="Q14" s="22"/>
    </row>
    <row r="15" spans="1:21" s="8" customFormat="1" ht="11.25" customHeight="1">
      <c r="A15" s="45" t="s">
        <v>132</v>
      </c>
      <c r="B15" s="62">
        <f>IFERROR((SUMIFS(Jan!$N:$N,Jan!$J:$J,1,Jan!$B:$B,2242)+SUMIFS(Jan!$N:$N,Jan!$D:$D,"&gt;1",Jan!$B:$B,2242))/(COUNTIFS(Jan!$J:$J,1,Jan!$B:$B,2242)+COUNTIFS(Jan!$D:$D,"&gt;1",Jan!$B:$B,2242)),"")</f>
        <v>35.333333333333336</v>
      </c>
      <c r="C15" s="62">
        <v>26.35</v>
      </c>
      <c r="D15" s="62">
        <v>25.11</v>
      </c>
      <c r="E15" s="62">
        <v>24.63</v>
      </c>
      <c r="F15" s="62">
        <v>25.51</v>
      </c>
      <c r="G15" s="62">
        <v>24.98</v>
      </c>
      <c r="H15" s="62">
        <v>26.06</v>
      </c>
      <c r="I15" s="62">
        <v>24.03</v>
      </c>
      <c r="J15" s="62">
        <v>27.59</v>
      </c>
      <c r="K15" s="62">
        <v>28.98</v>
      </c>
      <c r="L15" s="62">
        <v>28.17</v>
      </c>
      <c r="M15" s="62">
        <v>29.74</v>
      </c>
      <c r="N15" s="15"/>
      <c r="O15" s="1"/>
      <c r="P15" s="1"/>
      <c r="Q15" s="1"/>
    </row>
    <row r="16" spans="1:21" s="8" customFormat="1" ht="11.25" customHeight="1">
      <c r="A16" s="45" t="s">
        <v>133</v>
      </c>
      <c r="B16" s="62">
        <f>IFERROR(AVERAGEIFS(Jan!$N:$N,Jan!$F:$F,800,Jan!$B:$B,2242),"")</f>
        <v>35.1</v>
      </c>
      <c r="C16" s="62">
        <v>39.17</v>
      </c>
      <c r="D16" s="62">
        <v>40.46</v>
      </c>
      <c r="E16" s="62">
        <v>22.06</v>
      </c>
      <c r="F16" s="62">
        <v>21.73</v>
      </c>
      <c r="G16" s="62">
        <v>21.14</v>
      </c>
      <c r="H16" s="62">
        <v>21.94</v>
      </c>
      <c r="I16" s="62">
        <v>20.79</v>
      </c>
      <c r="J16" s="62">
        <v>23.8</v>
      </c>
      <c r="K16" s="62">
        <v>24.54</v>
      </c>
      <c r="L16" s="62">
        <v>21.11</v>
      </c>
      <c r="M16" s="62">
        <v>24.93</v>
      </c>
      <c r="O16" s="1"/>
      <c r="P16" s="1"/>
      <c r="Q16" s="1"/>
    </row>
    <row r="17" spans="1:17" s="8" customFormat="1" ht="11.25" customHeight="1">
      <c r="A17" s="45" t="s">
        <v>134</v>
      </c>
      <c r="B17" s="63">
        <f>IFERROR((SUMIFS(Jan!$M:$M,Jan!$J:$J,1,Jan!$B:$B,2242)+SUMIFS(Jan!$M:$M,Jan!$D:$D,"&gt;1",Jan!$B:$B,2242))/(COUNTIFS(Jan!$J:$J,1,Jan!$B:$B,2242)+COUNTIFS(Jan!$D:$D,"&gt;1",Jan!$B:$B,2242)),"")</f>
        <v>4.7333333333333343</v>
      </c>
      <c r="C17" s="63">
        <v>3.09</v>
      </c>
      <c r="D17" s="63">
        <v>2.9</v>
      </c>
      <c r="E17" s="63">
        <v>2.0299999999999998</v>
      </c>
      <c r="F17" s="63">
        <v>2.4900000000000002</v>
      </c>
      <c r="G17" s="63">
        <v>2.4700000000000002</v>
      </c>
      <c r="H17" s="63">
        <v>2.31</v>
      </c>
      <c r="I17" s="63">
        <v>1.96</v>
      </c>
      <c r="J17" s="63">
        <v>2.02</v>
      </c>
      <c r="K17" s="63">
        <v>1.44</v>
      </c>
      <c r="L17" s="63">
        <v>1.8</v>
      </c>
      <c r="M17" s="63">
        <v>2.6</v>
      </c>
      <c r="O17" s="1"/>
      <c r="P17" s="1"/>
      <c r="Q17" s="1"/>
    </row>
    <row r="18" spans="1:17" s="8" customFormat="1" ht="11.25" customHeight="1" thickBot="1">
      <c r="A18" s="43" t="s">
        <v>135</v>
      </c>
      <c r="B18" s="64">
        <f>IFERROR(AVERAGEIFS(Jan!$M:$M,Jan!$F:$F,800,Jan!$B:$B,2242),"")</f>
        <v>5.5900000000000007</v>
      </c>
      <c r="C18" s="64">
        <v>0.98</v>
      </c>
      <c r="D18" s="64">
        <v>1.53</v>
      </c>
      <c r="E18" s="64">
        <v>2.52</v>
      </c>
      <c r="F18" s="64">
        <v>2.17</v>
      </c>
      <c r="G18" s="64">
        <v>2.0299999999999998</v>
      </c>
      <c r="H18" s="64">
        <v>1.32</v>
      </c>
      <c r="I18" s="64">
        <v>2.1800000000000002</v>
      </c>
      <c r="J18" s="64">
        <v>2.06</v>
      </c>
      <c r="K18" s="64">
        <v>1.06</v>
      </c>
      <c r="L18" s="64">
        <v>1.32</v>
      </c>
      <c r="M18" s="64">
        <v>1.69</v>
      </c>
    </row>
    <row r="19" spans="1:17" s="8" customFormat="1" ht="5.0999999999999996" customHeight="1" thickBot="1">
      <c r="A19" s="3"/>
      <c r="B19" s="17"/>
      <c r="C19" s="17"/>
      <c r="D19" s="17"/>
      <c r="E19" s="17"/>
      <c r="F19" s="17"/>
      <c r="G19" s="17"/>
      <c r="H19" s="17"/>
      <c r="I19" s="17"/>
      <c r="J19" s="17"/>
      <c r="K19" s="17"/>
      <c r="L19" s="17"/>
      <c r="M19" s="147"/>
    </row>
    <row r="20" spans="1:17" s="8" customFormat="1" ht="11.25" customHeight="1">
      <c r="A20" s="42" t="s">
        <v>52</v>
      </c>
      <c r="B20" s="65">
        <v>31</v>
      </c>
      <c r="C20" s="65">
        <v>28</v>
      </c>
      <c r="D20" s="65">
        <v>31</v>
      </c>
      <c r="E20" s="65">
        <v>30</v>
      </c>
      <c r="F20" s="65">
        <v>31</v>
      </c>
      <c r="G20" s="65">
        <v>30</v>
      </c>
      <c r="H20" s="65">
        <v>31</v>
      </c>
      <c r="I20" s="65">
        <v>31</v>
      </c>
      <c r="J20" s="65">
        <v>30</v>
      </c>
      <c r="K20" s="65">
        <v>31</v>
      </c>
      <c r="L20" s="161">
        <v>30</v>
      </c>
      <c r="M20" s="174">
        <v>31</v>
      </c>
    </row>
    <row r="21" spans="1:17" s="8" customFormat="1" ht="11.25" customHeight="1">
      <c r="A21" s="9" t="s">
        <v>15</v>
      </c>
      <c r="B21" s="66">
        <f>B12/B20</f>
        <v>0.32258064516129031</v>
      </c>
      <c r="C21" s="66">
        <f t="shared" ref="C21:M21" si="5">C12/C20</f>
        <v>0.14285714285714285</v>
      </c>
      <c r="D21" s="66">
        <f>D12/D20</f>
        <v>0.61290322580645162</v>
      </c>
      <c r="E21" s="66">
        <f>E12/E20</f>
        <v>1.3666666666666667</v>
      </c>
      <c r="F21" s="66">
        <f>F12/F20</f>
        <v>1.4193548387096775</v>
      </c>
      <c r="G21" s="66">
        <f>G12/G20</f>
        <v>1.0333333333333334</v>
      </c>
      <c r="H21" s="66">
        <f t="shared" si="5"/>
        <v>0.90322580645161288</v>
      </c>
      <c r="I21" s="66">
        <f t="shared" si="5"/>
        <v>1.2903225806451613</v>
      </c>
      <c r="J21" s="66">
        <f t="shared" si="5"/>
        <v>1.8666666666666667</v>
      </c>
      <c r="K21" s="66">
        <f t="shared" si="5"/>
        <v>0.77419354838709675</v>
      </c>
      <c r="L21" s="162">
        <f t="shared" si="5"/>
        <v>1.4</v>
      </c>
      <c r="M21" s="175">
        <f t="shared" si="5"/>
        <v>0.61290322580645162</v>
      </c>
    </row>
    <row r="22" spans="1:17" s="8" customFormat="1" ht="11.25" customHeight="1">
      <c r="A22" s="9" t="s">
        <v>130</v>
      </c>
      <c r="B22" s="67">
        <f t="shared" ref="B22:G22" si="6">IFERROR(B12/B7,0)</f>
        <v>7.7519379844961239E-2</v>
      </c>
      <c r="C22" s="67">
        <f t="shared" si="6"/>
        <v>2.9197080291970802E-2</v>
      </c>
      <c r="D22" s="67">
        <f t="shared" si="6"/>
        <v>0.14615384615384616</v>
      </c>
      <c r="E22" s="67">
        <f t="shared" si="6"/>
        <v>0.31060606060606061</v>
      </c>
      <c r="F22" s="67">
        <f t="shared" si="6"/>
        <v>0.30136986301369861</v>
      </c>
      <c r="G22" s="67">
        <f t="shared" si="6"/>
        <v>0.23846153846153847</v>
      </c>
      <c r="H22" s="67">
        <f t="shared" ref="H22:M22" si="7">IFERROR(H12/H7,0)</f>
        <v>0.17391304347826086</v>
      </c>
      <c r="I22" s="67">
        <f t="shared" si="7"/>
        <v>0.22857142857142856</v>
      </c>
      <c r="J22" s="67">
        <f t="shared" si="7"/>
        <v>0.3146067415730337</v>
      </c>
      <c r="K22" s="116">
        <f t="shared" si="7"/>
        <v>0.29629629629629628</v>
      </c>
      <c r="L22" s="67">
        <f t="shared" si="7"/>
        <v>0.4</v>
      </c>
      <c r="M22" s="176">
        <f t="shared" si="7"/>
        <v>0.21839080459770116</v>
      </c>
      <c r="N22" s="1"/>
    </row>
    <row r="23" spans="1:17" s="8" customFormat="1" ht="11.25" customHeight="1" thickBot="1">
      <c r="A23" s="9" t="s">
        <v>53</v>
      </c>
      <c r="B23" s="67">
        <f t="shared" ref="B23:G23" si="8">IFERROR(B12/(B11+B12),0)</f>
        <v>0.7142857142857143</v>
      </c>
      <c r="C23" s="67">
        <f t="shared" si="8"/>
        <v>0.66666666666666663</v>
      </c>
      <c r="D23" s="67">
        <f t="shared" si="8"/>
        <v>0.59375</v>
      </c>
      <c r="E23" s="67">
        <f t="shared" si="8"/>
        <v>0.55405405405405406</v>
      </c>
      <c r="F23" s="67">
        <f t="shared" si="8"/>
        <v>0.5</v>
      </c>
      <c r="G23" s="67">
        <f t="shared" si="8"/>
        <v>0.5535714285714286</v>
      </c>
      <c r="H23" s="67">
        <f t="shared" ref="H23:M23" si="9">IFERROR(H12/(H11+H12),0)</f>
        <v>0.47457627118644069</v>
      </c>
      <c r="I23" s="67">
        <f t="shared" si="9"/>
        <v>0.5714285714285714</v>
      </c>
      <c r="J23" s="67">
        <f t="shared" si="9"/>
        <v>0.6292134831460674</v>
      </c>
      <c r="K23" s="117">
        <f t="shared" si="9"/>
        <v>0.48979591836734693</v>
      </c>
      <c r="L23" s="163">
        <f t="shared" si="9"/>
        <v>0.7</v>
      </c>
      <c r="M23" s="177">
        <f t="shared" si="9"/>
        <v>0.44186046511627908</v>
      </c>
      <c r="N23" s="4"/>
    </row>
    <row r="24" spans="1:17" s="8" customFormat="1" ht="11.25" customHeight="1" thickBot="1">
      <c r="A24" s="56" t="s">
        <v>21</v>
      </c>
      <c r="B24" s="50">
        <v>41275</v>
      </c>
      <c r="C24" s="47">
        <v>41306</v>
      </c>
      <c r="D24" s="47">
        <v>41334</v>
      </c>
      <c r="E24" s="47">
        <v>41365</v>
      </c>
      <c r="F24" s="47">
        <v>41395</v>
      </c>
      <c r="G24" s="47">
        <v>41426</v>
      </c>
      <c r="H24" s="47">
        <v>41456</v>
      </c>
      <c r="I24" s="47">
        <v>41487</v>
      </c>
      <c r="J24" s="47">
        <v>41518</v>
      </c>
      <c r="K24" s="47">
        <v>41548</v>
      </c>
      <c r="L24" s="47">
        <v>41579</v>
      </c>
      <c r="M24" s="51">
        <v>41609</v>
      </c>
    </row>
    <row r="25" spans="1:17" s="8" customFormat="1" ht="11.25" customHeight="1">
      <c r="A25" s="18" t="s">
        <v>5</v>
      </c>
      <c r="B25" s="68">
        <f>COUNTIFS(Jan!$B:$B,2242,Jan!$J:$J,18)</f>
        <v>1</v>
      </c>
      <c r="C25" s="68">
        <v>1</v>
      </c>
      <c r="D25" s="68">
        <v>1</v>
      </c>
      <c r="E25" s="68">
        <f>COUNTIFS(Apr!$B:$B,2242,Apr!$J:$J,18)</f>
        <v>0</v>
      </c>
      <c r="F25" s="68">
        <f>COUNTIFS(May!$B:$B,2242,May!$J:$J,18)</f>
        <v>0</v>
      </c>
      <c r="G25" s="68">
        <v>1</v>
      </c>
      <c r="H25" s="68">
        <v>1</v>
      </c>
      <c r="I25" s="68">
        <f>COUNTIFS(Aug!$B:$B,2242,Aug!$J:$J,18)</f>
        <v>0</v>
      </c>
      <c r="J25" s="68">
        <v>2</v>
      </c>
      <c r="K25" s="68">
        <v>1</v>
      </c>
      <c r="L25" s="68">
        <v>1</v>
      </c>
      <c r="M25" s="68">
        <v>4</v>
      </c>
    </row>
    <row r="26" spans="1:17" s="8" customFormat="1" ht="11.25" customHeight="1">
      <c r="A26" s="46" t="s">
        <v>40</v>
      </c>
      <c r="B26" s="57">
        <f>COUNTIFS(Jan!$B:$B,2242,Jan!$J:$J,41)</f>
        <v>0</v>
      </c>
      <c r="C26" s="57">
        <f>COUNTIFS(Feb!$B:$B,2242,Feb!$J:$J,41)</f>
        <v>0</v>
      </c>
      <c r="D26" s="57">
        <f>COUNTIFS(Mar!$B:$B,2242,Mar!$J:$J,41)</f>
        <v>0</v>
      </c>
      <c r="E26" s="57">
        <f>COUNTIFS(Apr!$B:$B,2242,Apr!$J:$J,41)</f>
        <v>0</v>
      </c>
      <c r="F26" s="57">
        <f>COUNTIFS(May!$B:$B,2242,May!$J:$J,41)</f>
        <v>0</v>
      </c>
      <c r="G26" s="57">
        <f>COUNTIFS(Jun!$B:$B,2242,Jun!$J:$J,41)</f>
        <v>0</v>
      </c>
      <c r="H26" s="57">
        <f>COUNTIFS(Jul!$B:$B,2242,Jul!$J:$J,41)</f>
        <v>0</v>
      </c>
      <c r="I26" s="57">
        <f>COUNTIFS(Aug!$B:$B,2242,Aug!$J:$J,41)</f>
        <v>0</v>
      </c>
      <c r="J26" s="57">
        <f>COUNTIFS(Sep!$B:$B,2242,Sep!$J:$J,41)</f>
        <v>0</v>
      </c>
      <c r="K26" s="57">
        <f>COUNTIFS(Oct!$B:$B,2242,Oct!$J:$J,41)</f>
        <v>0</v>
      </c>
      <c r="L26" s="57">
        <f>COUNTIFS(Nov!$B:$B,2242,Nov!$J:$J,41)</f>
        <v>0</v>
      </c>
      <c r="M26" s="57">
        <v>0</v>
      </c>
    </row>
    <row r="27" spans="1:17" s="8" customFormat="1" ht="11.25" customHeight="1">
      <c r="A27" s="9" t="s">
        <v>11</v>
      </c>
      <c r="B27" s="179">
        <f>COUNTIFS(Jan!$B:$B,2242,Jan!$J:$J,17)</f>
        <v>42</v>
      </c>
      <c r="C27" s="206">
        <v>27</v>
      </c>
      <c r="D27" s="206">
        <v>32</v>
      </c>
      <c r="E27" s="206">
        <v>68</v>
      </c>
      <c r="F27" s="206">
        <v>53</v>
      </c>
      <c r="G27" s="206">
        <v>42</v>
      </c>
      <c r="H27" s="206">
        <v>57</v>
      </c>
      <c r="I27" s="206">
        <v>49</v>
      </c>
      <c r="J27" s="206">
        <v>33</v>
      </c>
      <c r="K27" s="206">
        <v>20</v>
      </c>
      <c r="L27" s="206">
        <v>79</v>
      </c>
      <c r="M27" s="206">
        <v>113</v>
      </c>
    </row>
    <row r="28" spans="1:17" s="8" customFormat="1" ht="11.25" customHeight="1">
      <c r="A28" s="9" t="s">
        <v>143</v>
      </c>
      <c r="B28" s="59">
        <f>COUNTIFS(Jan!$B:$B,2242,Jan!$F:$F,455)</f>
        <v>0</v>
      </c>
      <c r="C28" s="59">
        <f>COUNTIFS(Feb!$B:$B,2242,Feb!$F:$F,455)</f>
        <v>0</v>
      </c>
      <c r="D28" s="59">
        <f>COUNTIFS(Mar!$B:$B,2242,Mar!$F:$F,455)</f>
        <v>0</v>
      </c>
      <c r="E28" s="59">
        <f>COUNTIFS(Apr!$B:$B,2242,Apr!$F:$F,455)</f>
        <v>0</v>
      </c>
      <c r="F28" s="59">
        <f>COUNTIFS(May!$B:$B,2242,May!$F:$F,455)</f>
        <v>0</v>
      </c>
      <c r="G28" s="59">
        <f>COUNTIFS(Jun!$B:$B,2242,Jun!$F:$F,455)</f>
        <v>0</v>
      </c>
      <c r="H28" s="59">
        <f>COUNTIFS(Jul!$B:$B,2242,Jul!$F:$F,455)</f>
        <v>0</v>
      </c>
      <c r="I28" s="59">
        <f>COUNTIFS(Aug!$B:$B,2242,Aug!$F:$F,455)</f>
        <v>0</v>
      </c>
      <c r="J28" s="59">
        <f>COUNTIFS(Sep!$B:$B,2242,Sep!$F:$F,455)</f>
        <v>0</v>
      </c>
      <c r="K28" s="59">
        <f>COUNTIFS(Oct!$B:$B,2242,Oct!$F:$F,455)</f>
        <v>0</v>
      </c>
      <c r="L28" s="59">
        <f>COUNTIFS(Nov!$B:$B,2242,Nov!$F:$F,455)</f>
        <v>0</v>
      </c>
      <c r="M28" s="59">
        <v>0</v>
      </c>
    </row>
    <row r="29" spans="1:17" s="8" customFormat="1" ht="11.25" customHeight="1">
      <c r="A29" s="9" t="s">
        <v>23</v>
      </c>
      <c r="B29" s="59">
        <f>COUNTIFS(Jan!$B:$B,2242,Jan!$J:$J,31)</f>
        <v>0</v>
      </c>
      <c r="C29" s="59">
        <f>COUNTIFS(Feb!$B:$B,2242,Feb!$J:$J,31)</f>
        <v>0</v>
      </c>
      <c r="D29" s="59">
        <f>COUNTIFS(Mar!$B:$B,2242,Mar!$J:$J,31)</f>
        <v>0</v>
      </c>
      <c r="E29" s="59">
        <f>COUNTIFS(Apr!$B:$B,2242,Apr!$J:$J,31)</f>
        <v>0</v>
      </c>
      <c r="F29" s="59">
        <f>COUNTIFS(May!$B:$B,2242,May!$J:$J,31)</f>
        <v>0</v>
      </c>
      <c r="G29" s="59">
        <f>COUNTIFS(Jun!$B:$B,2242,Jun!$J:$J,31)</f>
        <v>0</v>
      </c>
      <c r="H29" s="59">
        <f>COUNTIFS(Jul!$B:$B,2242,Jul!$J:$J,31)</f>
        <v>0</v>
      </c>
      <c r="I29" s="59">
        <f>COUNTIFS(Aug!$B:$B,2242,Aug!$J:$J,31)</f>
        <v>0</v>
      </c>
      <c r="J29" s="59">
        <f>COUNTIFS(Sep!$B:$B,2242,Sep!$J:$J,31)</f>
        <v>0</v>
      </c>
      <c r="K29" s="59">
        <f>COUNTIFS(Oct!$B:$B,2242,Oct!$J:$J,31)</f>
        <v>0</v>
      </c>
      <c r="L29" s="59">
        <f>COUNTIFS(Nov!$B:$B,2242,Nov!$J:$J,31)</f>
        <v>0</v>
      </c>
      <c r="M29" s="59">
        <v>0</v>
      </c>
    </row>
    <row r="30" spans="1:17" s="8" customFormat="1" ht="11.25" customHeight="1">
      <c r="A30" s="9" t="s">
        <v>37</v>
      </c>
      <c r="B30" s="59">
        <f>COUNTIFS(Jan!$B:$B,2242,Jan!$J:$J,4400)</f>
        <v>2</v>
      </c>
      <c r="C30" s="59">
        <v>1</v>
      </c>
      <c r="D30" s="59">
        <f>COUNTIFS(Mar!$B:$B,2242,Mar!$J:$J,4400)</f>
        <v>0</v>
      </c>
      <c r="E30" s="59">
        <f>COUNTIFS(Apr!$B:$B,2242,Apr!$J:$J,4400)</f>
        <v>0</v>
      </c>
      <c r="F30" s="59">
        <f>COUNTIFS(May!$B:$B,2242,May!$J:$J,4400)</f>
        <v>0</v>
      </c>
      <c r="G30" s="59">
        <v>1</v>
      </c>
      <c r="H30" s="59">
        <f>COUNTIFS(Jul!$B:$B,2242,Jul!$J:$J,4400)</f>
        <v>0</v>
      </c>
      <c r="I30" s="59">
        <v>1</v>
      </c>
      <c r="J30" s="59">
        <v>1</v>
      </c>
      <c r="K30" s="59">
        <v>1</v>
      </c>
      <c r="L30" s="59">
        <f>COUNTIFS(Nov!$B:$B,2242,Nov!$J:$J,4400)</f>
        <v>0</v>
      </c>
      <c r="M30" s="59">
        <v>0</v>
      </c>
    </row>
    <row r="31" spans="1:17" s="8" customFormat="1" ht="11.25" customHeight="1">
      <c r="A31" s="10" t="s">
        <v>24</v>
      </c>
      <c r="B31" s="59">
        <f>COUNTIFS(Jan!$B:$B,2242,Jan!$J:$J,30)</f>
        <v>0</v>
      </c>
      <c r="C31" s="59">
        <f>COUNTIFS(Feb!$B:$B,2242,Feb!$J:$J,30)</f>
        <v>0</v>
      </c>
      <c r="D31" s="59">
        <f>COUNTIFS(Mar!$B:$B,2242,Mar!$J:$J,30)</f>
        <v>0</v>
      </c>
      <c r="E31" s="59">
        <f>COUNTIFS(Apr!$B:$B,2242,Apr!$J:$J,30)</f>
        <v>0</v>
      </c>
      <c r="F31" s="59">
        <f>COUNTIFS(May!$B:$B,2242,May!$J:$J,30)</f>
        <v>0</v>
      </c>
      <c r="G31" s="59">
        <f>COUNTIFS(Jun!$B:$B,2242,Jun!$J:$J,30)</f>
        <v>0</v>
      </c>
      <c r="H31" s="59">
        <f>COUNTIFS(Jul!$B:$B,2242,Jul!$J:$J,30)</f>
        <v>0</v>
      </c>
      <c r="I31" s="59">
        <f>COUNTIFS(Aug!$B:$B,2242,Aug!$J:$J,30)</f>
        <v>0</v>
      </c>
      <c r="J31" s="59">
        <f>COUNTIFS(Sep!$B:$B,2242,Sep!$J:$J,30)</f>
        <v>0</v>
      </c>
      <c r="K31" s="59">
        <f>COUNTIFS(Oct!$B:$B,2242,Oct!$J:$J,30)</f>
        <v>0</v>
      </c>
      <c r="L31" s="59">
        <f>COUNTIFS(Nov!$B:$B,2242,Nov!$J:$J,30)</f>
        <v>0</v>
      </c>
      <c r="M31" s="59">
        <v>0</v>
      </c>
    </row>
    <row r="32" spans="1:17" s="14" customFormat="1" ht="11.25" customHeight="1" thickBot="1">
      <c r="A32" s="2" t="s">
        <v>140</v>
      </c>
      <c r="B32" s="60">
        <f>SUM(B25:B31)</f>
        <v>45</v>
      </c>
      <c r="C32" s="60">
        <f t="shared" ref="C32:M32" si="10">SUM(C25:C31)</f>
        <v>29</v>
      </c>
      <c r="D32" s="60">
        <f>SUM(D25:D31)</f>
        <v>33</v>
      </c>
      <c r="E32" s="60">
        <f>SUM(E25:E31)</f>
        <v>68</v>
      </c>
      <c r="F32" s="60">
        <f>SUM(F25:F31)</f>
        <v>53</v>
      </c>
      <c r="G32" s="60">
        <f>SUM(G25:G31)</f>
        <v>44</v>
      </c>
      <c r="H32" s="60">
        <f t="shared" si="10"/>
        <v>58</v>
      </c>
      <c r="I32" s="60">
        <f t="shared" si="10"/>
        <v>50</v>
      </c>
      <c r="J32" s="60">
        <f t="shared" si="10"/>
        <v>36</v>
      </c>
      <c r="K32" s="60">
        <f t="shared" si="10"/>
        <v>22</v>
      </c>
      <c r="L32" s="159">
        <f t="shared" si="10"/>
        <v>80</v>
      </c>
      <c r="M32" s="170">
        <f t="shared" si="10"/>
        <v>117</v>
      </c>
    </row>
    <row r="33" spans="1:13" ht="12" customHeight="1" thickBot="1">
      <c r="A33" s="55" t="s">
        <v>136</v>
      </c>
      <c r="B33" s="50">
        <v>41275</v>
      </c>
      <c r="C33" s="47">
        <v>41306</v>
      </c>
      <c r="D33" s="47">
        <v>41334</v>
      </c>
      <c r="E33" s="47">
        <v>41365</v>
      </c>
      <c r="F33" s="47">
        <v>41395</v>
      </c>
      <c r="G33" s="47">
        <v>41426</v>
      </c>
      <c r="H33" s="47">
        <v>41456</v>
      </c>
      <c r="I33" s="47">
        <v>41487</v>
      </c>
      <c r="J33" s="47">
        <v>41518</v>
      </c>
      <c r="K33" s="47">
        <v>41548</v>
      </c>
      <c r="L33" s="47">
        <v>41579</v>
      </c>
      <c r="M33" s="51">
        <v>41609</v>
      </c>
    </row>
    <row r="34" spans="1:13" s="8" customFormat="1" ht="11.25" customHeight="1">
      <c r="A34" s="46" t="s">
        <v>33</v>
      </c>
      <c r="B34" s="57">
        <f>COUNTIFS(Jan!$B:$B,2242,Jan!$J:$J,40)</f>
        <v>0</v>
      </c>
      <c r="C34" s="57">
        <f>COUNTIFS(Feb!$B:$B,2242,Feb!$J:$J,40)</f>
        <v>0</v>
      </c>
      <c r="D34" s="57">
        <f>COUNTIFS(Mar!$B:$B,2242,Mar!$J:$J,40)</f>
        <v>0</v>
      </c>
      <c r="E34" s="57">
        <f>COUNTIFS(Apr!$B:$B,2242,Apr!$J:$J,40)</f>
        <v>0</v>
      </c>
      <c r="F34" s="57">
        <f>COUNTIFS(May!$B:$B,2242,May!$J:$J,40)</f>
        <v>0</v>
      </c>
      <c r="G34" s="57">
        <f>COUNTIFS(Jun!$B:$B,2242,Jun!$J:$J,40)</f>
        <v>0</v>
      </c>
      <c r="H34" s="57">
        <f>COUNTIFS(Jul!$B:$B,2242,Jul!$J:$J,40)</f>
        <v>0</v>
      </c>
      <c r="I34" s="57">
        <f>COUNTIFS(Aug!$B:$B,2242,Aug!$J:$J,40)</f>
        <v>0</v>
      </c>
      <c r="J34" s="57">
        <f>COUNTIFS(Sep!$B:$B,2242,Sep!$J:$J,40)</f>
        <v>0</v>
      </c>
      <c r="K34" s="57">
        <f>COUNTIFS(Oct!$B:$B,2242,Oct!$J:$J,40)</f>
        <v>0</v>
      </c>
      <c r="L34" s="57">
        <f>COUNTIFS(Nov!$B:$B,2242,Nov!$J:$J,40)</f>
        <v>0</v>
      </c>
      <c r="M34" s="57">
        <v>0</v>
      </c>
    </row>
    <row r="35" spans="1:13" s="8" customFormat="1" ht="11.25" customHeight="1">
      <c r="A35" s="10" t="s">
        <v>4</v>
      </c>
      <c r="B35" s="59">
        <f>COUNTIFS(Jan!$B:$B,2242,Jan!$J:$J,15)</f>
        <v>1</v>
      </c>
      <c r="C35" s="59">
        <f>COUNTIFS(Feb!$B:$B,2242,Feb!$J:$J,15)</f>
        <v>0</v>
      </c>
      <c r="D35" s="59">
        <f>COUNTIFS(Mar!$B:$B,2242,Mar!$J:$J,15)</f>
        <v>0</v>
      </c>
      <c r="E35" s="59">
        <v>2</v>
      </c>
      <c r="F35" s="59">
        <v>1</v>
      </c>
      <c r="G35" s="59">
        <v>1</v>
      </c>
      <c r="H35" s="59">
        <f>COUNTIFS(Jul!$B:$B,2242,Jul!$J:$J,15)</f>
        <v>0</v>
      </c>
      <c r="I35" s="59">
        <v>1</v>
      </c>
      <c r="J35" s="59">
        <v>1</v>
      </c>
      <c r="K35" s="59">
        <f>COUNTIFS(Oct!$B:$B,2242,Oct!$J:$J,15)</f>
        <v>0</v>
      </c>
      <c r="L35" s="59">
        <f>COUNTIFS(Nov!$B:$B,2242,Nov!$J:$J,15)</f>
        <v>0</v>
      </c>
      <c r="M35" s="59">
        <v>2</v>
      </c>
    </row>
    <row r="36" spans="1:13" s="8" customFormat="1" ht="11.25" customHeight="1">
      <c r="A36" s="10" t="s">
        <v>39</v>
      </c>
      <c r="B36" s="59">
        <f>COUNTIFS(Jan!$B:$B,2242,Jan!$J:$J,29)</f>
        <v>4</v>
      </c>
      <c r="C36" s="59">
        <v>1</v>
      </c>
      <c r="D36" s="59">
        <v>1</v>
      </c>
      <c r="E36" s="59">
        <v>2</v>
      </c>
      <c r="F36" s="59">
        <v>5</v>
      </c>
      <c r="G36" s="59">
        <v>3</v>
      </c>
      <c r="H36" s="59">
        <v>4</v>
      </c>
      <c r="I36" s="59">
        <v>6</v>
      </c>
      <c r="J36" s="59">
        <v>6</v>
      </c>
      <c r="K36" s="59">
        <v>2</v>
      </c>
      <c r="L36" s="59">
        <v>2</v>
      </c>
      <c r="M36" s="59">
        <v>2</v>
      </c>
    </row>
    <row r="37" spans="1:13" s="8" customFormat="1" ht="11.25" customHeight="1">
      <c r="A37" s="10" t="s">
        <v>3</v>
      </c>
      <c r="B37" s="59">
        <f>COUNTIFS(Jan!$B:$B,2242,Jan!$J:$J,13)</f>
        <v>0</v>
      </c>
      <c r="C37" s="59">
        <f>COUNTIFS(Feb!$B:$B,2242,Feb!$J:$J,13)</f>
        <v>0</v>
      </c>
      <c r="D37" s="59">
        <v>1</v>
      </c>
      <c r="E37" s="59">
        <f>COUNTIFS(Apr!$B:$B,2242,Apr!$J:$J,13)</f>
        <v>0</v>
      </c>
      <c r="F37" s="59">
        <f>COUNTIFS(May!$B:$B,2242,May!$J:$J,13)</f>
        <v>0</v>
      </c>
      <c r="G37" s="59">
        <v>1</v>
      </c>
      <c r="H37" s="59">
        <f>COUNTIFS(Jul!$B:$B,2242,Jul!$J:$J,13)</f>
        <v>0</v>
      </c>
      <c r="I37" s="59">
        <v>6</v>
      </c>
      <c r="J37" s="59">
        <v>3</v>
      </c>
      <c r="K37" s="59">
        <v>1</v>
      </c>
      <c r="L37" s="59">
        <v>1</v>
      </c>
      <c r="M37" s="59">
        <v>0</v>
      </c>
    </row>
    <row r="38" spans="1:13" s="8" customFormat="1" ht="11.25" customHeight="1">
      <c r="A38" s="9" t="s">
        <v>218</v>
      </c>
      <c r="B38" s="59">
        <f>COUNTIFS(Jan!$B:$B,2242,Jan!$J:$J,43)</f>
        <v>74</v>
      </c>
      <c r="C38" s="59">
        <v>27</v>
      </c>
      <c r="D38" s="59">
        <v>42</v>
      </c>
      <c r="E38" s="59">
        <v>12</v>
      </c>
      <c r="F38" s="59">
        <v>12</v>
      </c>
      <c r="G38" s="59">
        <v>15</v>
      </c>
      <c r="H38" s="59">
        <v>15</v>
      </c>
      <c r="I38" s="59">
        <v>11</v>
      </c>
      <c r="J38" s="59">
        <v>34</v>
      </c>
      <c r="K38" s="59">
        <v>5</v>
      </c>
      <c r="L38" s="59">
        <v>21</v>
      </c>
      <c r="M38" s="59">
        <v>19</v>
      </c>
    </row>
    <row r="39" spans="1:13" s="8" customFormat="1" ht="11.25" customHeight="1">
      <c r="A39" s="10" t="s">
        <v>25</v>
      </c>
      <c r="B39" s="59">
        <f>COUNTIFS(Jan!$B:$B,2242,Jan!$J:$J,24)</f>
        <v>3</v>
      </c>
      <c r="C39" s="59">
        <v>1</v>
      </c>
      <c r="D39" s="59">
        <v>3</v>
      </c>
      <c r="E39" s="59">
        <v>20</v>
      </c>
      <c r="F39" s="59">
        <v>9</v>
      </c>
      <c r="G39" s="59">
        <v>14</v>
      </c>
      <c r="H39" s="59">
        <v>9</v>
      </c>
      <c r="I39" s="59">
        <v>16</v>
      </c>
      <c r="J39" s="59">
        <v>10</v>
      </c>
      <c r="K39" s="59">
        <v>5</v>
      </c>
      <c r="L39" s="59">
        <v>7</v>
      </c>
      <c r="M39" s="59">
        <v>4</v>
      </c>
    </row>
    <row r="40" spans="1:13" s="8" customFormat="1" ht="11.25" customHeight="1">
      <c r="A40" s="10" t="s">
        <v>34</v>
      </c>
      <c r="B40" s="59">
        <f>COUNTIFS(Jan!$B:$B,2242,Jan!$J:$J,9)</f>
        <v>0</v>
      </c>
      <c r="C40" s="59">
        <f>COUNTIFS(Feb!$B:$B,2242,Feb!$J:$J,9)</f>
        <v>0</v>
      </c>
      <c r="D40" s="59">
        <f>COUNTIFS(Mar!$B:$B,2242,Mar!$J:$J,9)</f>
        <v>0</v>
      </c>
      <c r="E40" s="59">
        <f>COUNTIFS(Apr!$B:$B,2242,Apr!$J:$J,9)</f>
        <v>0</v>
      </c>
      <c r="F40" s="59">
        <f>COUNTIFS(May!$B:$B,2242,May!$J:$J,9)</f>
        <v>0</v>
      </c>
      <c r="G40" s="59">
        <f>COUNTIFS(Jun!$B:$B,2242,Jun!$J:$J,9)</f>
        <v>0</v>
      </c>
      <c r="H40" s="59">
        <v>1</v>
      </c>
      <c r="I40" s="59">
        <v>1</v>
      </c>
      <c r="J40" s="59">
        <f>COUNTIFS(Sep!$B:$B,2242,Sep!$J:$J,9)</f>
        <v>0</v>
      </c>
      <c r="K40" s="59">
        <f>COUNTIFS(Oct!$B:$B,2242,Oct!$J:$J,9)</f>
        <v>0</v>
      </c>
      <c r="L40" s="59">
        <f>COUNTIFS(Nov!$B:$B,2242,Nov!$J:$J,9)</f>
        <v>0</v>
      </c>
      <c r="M40" s="59">
        <v>0</v>
      </c>
    </row>
    <row r="41" spans="1:13" s="8" customFormat="1" ht="11.25" customHeight="1">
      <c r="A41" s="10" t="s">
        <v>31</v>
      </c>
      <c r="B41" s="59">
        <f>COUNTIFS(Jan!$B:$B,2242,Jan!$J:$J,10)</f>
        <v>0</v>
      </c>
      <c r="C41" s="59">
        <v>1</v>
      </c>
      <c r="D41" s="59">
        <v>1</v>
      </c>
      <c r="E41" s="59">
        <v>10</v>
      </c>
      <c r="F41" s="59">
        <v>20</v>
      </c>
      <c r="G41" s="59">
        <v>18</v>
      </c>
      <c r="H41" s="59">
        <v>39</v>
      </c>
      <c r="I41" s="59">
        <v>33</v>
      </c>
      <c r="J41" s="59">
        <v>7</v>
      </c>
      <c r="K41" s="59">
        <v>4</v>
      </c>
      <c r="L41" s="59">
        <v>3</v>
      </c>
      <c r="M41" s="59">
        <v>0</v>
      </c>
    </row>
    <row r="42" spans="1:13" s="8" customFormat="1" ht="11.25" customHeight="1">
      <c r="A42" s="10" t="s">
        <v>144</v>
      </c>
      <c r="B42" s="59">
        <f>COUNTIFS(Jan!$B:$B,2242,Jan!$F:$F,462)</f>
        <v>0</v>
      </c>
      <c r="C42" s="59">
        <f>COUNTIFS(Feb!$B:$B,2242,Feb!$F:$F,462)</f>
        <v>0</v>
      </c>
      <c r="D42" s="59">
        <f>COUNTIFS(Mar!$B:$B,2242,Mar!$F:$F,462)</f>
        <v>0</v>
      </c>
      <c r="E42" s="59">
        <f>COUNTIFS(Apr!$B:$B,2242,Apr!$F:$F,462)</f>
        <v>0</v>
      </c>
      <c r="F42" s="59">
        <f>COUNTIFS(May!$B:$B,2242,May!$F:$F,462)</f>
        <v>0</v>
      </c>
      <c r="G42" s="59">
        <f>COUNTIFS(Jun!$B:$B,2242,Jun!$F:$F,462)</f>
        <v>0</v>
      </c>
      <c r="H42" s="59">
        <f>COUNTIFS(Jul!$B:$B,2242,Jul!$F:$F,462)</f>
        <v>0</v>
      </c>
      <c r="I42" s="59">
        <f>COUNTIFS(Aug!$B:$B,2242,Aug!$F:$F,462)</f>
        <v>0</v>
      </c>
      <c r="J42" s="59">
        <f>COUNTIFS(Sep!$B:$B,2242,Sep!$F:$F,462)</f>
        <v>0</v>
      </c>
      <c r="K42" s="59">
        <f>COUNTIFS(Oct!$B:$B,2242,Oct!$F:$F,462)</f>
        <v>0</v>
      </c>
      <c r="L42" s="59">
        <f>COUNTIFS(Nov!$B:$B,2242,Nov!$F:$F,462)</f>
        <v>0</v>
      </c>
      <c r="M42" s="59">
        <v>0</v>
      </c>
    </row>
    <row r="43" spans="1:13" s="8" customFormat="1" ht="11.25" customHeight="1">
      <c r="A43" s="10" t="s">
        <v>1</v>
      </c>
      <c r="B43" s="59">
        <f>COUNTIFS(Jan!$B:$B,2242,Jan!$J:$J,11)</f>
        <v>22</v>
      </c>
      <c r="C43" s="59">
        <v>88</v>
      </c>
      <c r="D43" s="59">
        <v>35</v>
      </c>
      <c r="E43" s="59">
        <f>COUNTIFS(Apr!$B:$B,2242,Apr!$J:$J,11)</f>
        <v>0</v>
      </c>
      <c r="F43" s="59">
        <v>2</v>
      </c>
      <c r="G43" s="59">
        <f>COUNTIFS(Jun!$B:$B,2242,Jun!$J:$J,11)</f>
        <v>0</v>
      </c>
      <c r="H43" s="59">
        <v>1</v>
      </c>
      <c r="I43" s="59">
        <v>2</v>
      </c>
      <c r="J43" s="59">
        <f>COUNTIFS(Sep!$B:$B,2242,Sep!$J:$J,11)</f>
        <v>0</v>
      </c>
      <c r="K43" s="59">
        <f>COUNTIFS(Oct!$B:$B,2242,Oct!$J:$J,11)</f>
        <v>0</v>
      </c>
      <c r="L43" s="59">
        <f>COUNTIFS(Nov!$B:$B,2242,Nov!$J:$J,11)</f>
        <v>0</v>
      </c>
      <c r="M43" s="59">
        <v>1</v>
      </c>
    </row>
    <row r="44" spans="1:13" s="8" customFormat="1" ht="11.25" customHeight="1">
      <c r="A44" s="10" t="s">
        <v>26</v>
      </c>
      <c r="B44" s="59">
        <f>COUNTIFS(Jan!$B:$B,2242,Jan!$J:$J,20)</f>
        <v>0</v>
      </c>
      <c r="C44" s="59">
        <v>1</v>
      </c>
      <c r="D44" s="59">
        <f>COUNTIFS(Mar!$B:$B,2242,Mar!$J:$J,20)</f>
        <v>0</v>
      </c>
      <c r="E44" s="59">
        <f>COUNTIFS(Apr!$B:$B,2242,Apr!$J:$J,20)</f>
        <v>0</v>
      </c>
      <c r="F44" s="59">
        <f>COUNTIFS(May!$B:$B,2242,May!$J:$J,20)</f>
        <v>0</v>
      </c>
      <c r="G44" s="59">
        <f>COUNTIFS(Jun!$B:$B,2242,Jun!$J:$J,20)</f>
        <v>0</v>
      </c>
      <c r="H44" s="59">
        <f>COUNTIFS(Jul!$B:$B,2242,Jul!$J:$J,20)</f>
        <v>0</v>
      </c>
      <c r="I44" s="59">
        <f>COUNTIFS(Aug!$B:$B,2242,Aug!$J:$J,20)</f>
        <v>0</v>
      </c>
      <c r="J44" s="59">
        <f>COUNTIFS(Sep!$B:$B,2242,Sep!$J:$J,20)</f>
        <v>0</v>
      </c>
      <c r="K44" s="59">
        <f>COUNTIFS(Oct!$B:$B,2242,Oct!$J:$J,20)</f>
        <v>0</v>
      </c>
      <c r="L44" s="59">
        <f>COUNTIFS(Nov!$B:$B,2242,Nov!$J:$J,20)</f>
        <v>0</v>
      </c>
      <c r="M44" s="59">
        <v>0</v>
      </c>
    </row>
    <row r="45" spans="1:13" s="8" customFormat="1" ht="11.25" customHeight="1">
      <c r="A45" s="10" t="s">
        <v>32</v>
      </c>
      <c r="B45" s="59">
        <f>COUNTIFS(Jan!$B:$B,2242,Jan!$J:$J,2)</f>
        <v>9</v>
      </c>
      <c r="C45" s="59">
        <v>11</v>
      </c>
      <c r="D45" s="59">
        <v>12</v>
      </c>
      <c r="E45" s="59">
        <v>7</v>
      </c>
      <c r="F45" s="59">
        <v>7</v>
      </c>
      <c r="G45" s="59">
        <v>12</v>
      </c>
      <c r="H45" s="59">
        <v>18</v>
      </c>
      <c r="I45" s="59">
        <v>20</v>
      </c>
      <c r="J45" s="59">
        <v>19</v>
      </c>
      <c r="K45" s="59">
        <v>11</v>
      </c>
      <c r="L45" s="59">
        <v>8</v>
      </c>
      <c r="M45" s="59">
        <v>10</v>
      </c>
    </row>
    <row r="46" spans="1:13" s="8" customFormat="1" ht="11.25" customHeight="1">
      <c r="A46" s="10" t="s">
        <v>28</v>
      </c>
      <c r="B46" s="59">
        <f>COUNTIFS(Jan!$B:$B,2242,Jan!$J:$J,1700)+COUNTIFS(Jan!$B:$B,2242,Jan!$F:$F,1700)+COUNTIFS(Jan!$B:$B,2242,Jan!$J:$J,19)</f>
        <v>0</v>
      </c>
      <c r="C46" s="59">
        <f>COUNTIFS(Feb!$B:$B,2242,Feb!$J:$J,1700)+COUNTIFS(Feb!$B:$B,2242,Feb!$F:$F,1700)+COUNTIFS(Feb!$B:$B,2242,Feb!$J:$J,19)</f>
        <v>0</v>
      </c>
      <c r="D46" s="59">
        <f>COUNTIFS(Mar!$B:$B,2242,Mar!$J:$J,1700)+COUNTIFS(Mar!$B:$B,2242,Mar!$F:$F,1700)+COUNTIFS(Mar!$B:$B,2242,Mar!$J:$J,19)</f>
        <v>0</v>
      </c>
      <c r="E46" s="59">
        <f>COUNTIFS(Apr!$B:$B,2242,Apr!$J:$J,1700)+COUNTIFS(Apr!$B:$B,2242,Apr!$F:$F,1700)+COUNTIFS(Apr!$B:$B,2242,Apr!$J:$J,19)</f>
        <v>0</v>
      </c>
      <c r="F46" s="59">
        <f>COUNTIFS(May!$B:$B,2242,May!$J:$J,1700)+COUNTIFS(May!$B:$B,2242,May!$F:$F,1700)+COUNTIFS(May!$B:$B,2242,May!$J:$J,19)</f>
        <v>0</v>
      </c>
      <c r="G46" s="59">
        <f>COUNTIFS(Jun!$B:$B,2242,Jun!$J:$J,1700)+COUNTIFS(Jun!$B:$B,2242,Jun!$F:$F,1700)+COUNTIFS(Jun!$B:$B,2242,Jun!$J:$J,19)</f>
        <v>0</v>
      </c>
      <c r="H46" s="59">
        <f>COUNTIFS(Jul!$B:$B,2242,Jul!$J:$J,1700)+COUNTIFS(Jul!$B:$B,2242,Jul!$F:$F,1700)+COUNTIFS(Jul!$B:$B,2242,Jul!$J:$J,19)</f>
        <v>0</v>
      </c>
      <c r="I46" s="59">
        <f>COUNTIFS(Aug!$B:$B,2242,Aug!$J:$J,1700)+COUNTIFS(Aug!$B:$B,2242,Aug!$F:$F,1700)+COUNTIFS(Aug!$B:$B,2242,Aug!$J:$J,19)</f>
        <v>0</v>
      </c>
      <c r="J46" s="59">
        <f>COUNTIFS(Sep!$B:$B,2242,Sep!$J:$J,1700)+COUNTIFS(Sep!$B:$B,2242,Sep!$F:$F,1700)+COUNTIFS(Sep!$B:$B,2242,Sep!$J:$J,19)</f>
        <v>0</v>
      </c>
      <c r="K46" s="59">
        <f>COUNTIFS(Oct!$B:$B,2242,Oct!$J:$J,1700)+COUNTIFS(Oct!$B:$B,2242,Oct!$F:$F,1700)+COUNTIFS(Oct!$B:$B,2242,Oct!$J:$J,19)</f>
        <v>0</v>
      </c>
      <c r="L46" s="59">
        <v>1</v>
      </c>
      <c r="M46" s="59">
        <v>2</v>
      </c>
    </row>
    <row r="47" spans="1:13" s="8" customFormat="1" ht="11.25" customHeight="1">
      <c r="A47" s="10" t="s">
        <v>0</v>
      </c>
      <c r="B47" s="59">
        <f>COUNTIFS(Jan!$B:$B,2242,Jan!$J:$J,3)</f>
        <v>0</v>
      </c>
      <c r="C47" s="59">
        <f>COUNTIFS(Feb!$B:$B,2242,Feb!$J:$J,3)</f>
        <v>0</v>
      </c>
      <c r="D47" s="59">
        <v>3</v>
      </c>
      <c r="E47" s="59">
        <v>3</v>
      </c>
      <c r="F47" s="59">
        <v>2</v>
      </c>
      <c r="G47" s="59">
        <v>10</v>
      </c>
      <c r="H47" s="59">
        <v>15</v>
      </c>
      <c r="I47" s="59">
        <v>9</v>
      </c>
      <c r="J47" s="59">
        <v>7</v>
      </c>
      <c r="K47" s="59">
        <v>4</v>
      </c>
      <c r="L47" s="59">
        <v>2</v>
      </c>
      <c r="M47" s="59">
        <v>2</v>
      </c>
    </row>
    <row r="48" spans="1:13" s="8" customFormat="1" ht="11.25" customHeight="1">
      <c r="A48" s="10" t="s">
        <v>35</v>
      </c>
      <c r="B48" s="59">
        <f>COUNTIFS(Jan!$B:$B,2242,Jan!$J:$J,7400)</f>
        <v>0</v>
      </c>
      <c r="C48" s="59">
        <f>COUNTIFS(Feb!$B:$B,2242,Feb!$J:$J,7400)</f>
        <v>0</v>
      </c>
      <c r="D48" s="59">
        <f>COUNTIFS(Mar!$B:$B,2242,Mar!$J:$J,7400)</f>
        <v>0</v>
      </c>
      <c r="E48" s="59">
        <v>1</v>
      </c>
      <c r="F48" s="59">
        <f>COUNTIFS(May!$B:$B,2242,May!$J:$J,7400)</f>
        <v>0</v>
      </c>
      <c r="G48" s="59">
        <f>COUNTIFS(Jun!$B:$B,2242,Jun!$J:$J,7400)</f>
        <v>0</v>
      </c>
      <c r="H48" s="59">
        <f>COUNTIFS(Jul!$B:$B,2242,Jul!$J:$J,7400)</f>
        <v>0</v>
      </c>
      <c r="I48" s="59">
        <f>COUNTIFS(Aug!$B:$B,2242,Aug!$J:$J,7400)</f>
        <v>0</v>
      </c>
      <c r="J48" s="59">
        <f>COUNTIFS(Sep!$B:$B,2242,Sep!$J:$J,7400)</f>
        <v>0</v>
      </c>
      <c r="K48" s="59">
        <f>COUNTIFS(Oct!$B:$B,2242,Oct!$J:$J,7400)</f>
        <v>0</v>
      </c>
      <c r="L48" s="59">
        <f>COUNTIFS(Nov!$B:$B,2242,Nov!$J:$J,7400)</f>
        <v>0</v>
      </c>
      <c r="M48" s="59">
        <v>0</v>
      </c>
    </row>
    <row r="49" spans="1:13" s="8" customFormat="1" ht="11.25" customHeight="1">
      <c r="A49" s="10" t="s">
        <v>2</v>
      </c>
      <c r="B49" s="59">
        <f>COUNTIFS(Jan!$B:$B,2242,Jan!$J:$J,14)</f>
        <v>1</v>
      </c>
      <c r="C49" s="59">
        <f>COUNTIFS(Feb!$B:$B,2242,Feb!$J:$J,14)</f>
        <v>0</v>
      </c>
      <c r="D49" s="59">
        <f>COUNTIFS(Mar!$B:$B,2242,Mar!$J:$J,14)</f>
        <v>0</v>
      </c>
      <c r="E49" s="59">
        <v>1</v>
      </c>
      <c r="F49" s="59">
        <f>COUNTIFS(May!$B:$B,2242,May!$J:$J,14)</f>
        <v>0</v>
      </c>
      <c r="G49" s="59">
        <f>COUNTIFS(Jun!$B:$B,2242,Jun!$J:$J,14)</f>
        <v>0</v>
      </c>
      <c r="H49" s="59">
        <f>COUNTIFS(Jul!$B:$B,2242,Jul!$J:$J,14)</f>
        <v>0</v>
      </c>
      <c r="I49" s="59">
        <f>COUNTIFS(Aug!$B:$B,2242,Aug!$J:$J,14)</f>
        <v>0</v>
      </c>
      <c r="J49" s="59">
        <v>2</v>
      </c>
      <c r="K49" s="59">
        <f>COUNTIFS(Oct!$B:$B,2242,Oct!$J:$J,14)</f>
        <v>0</v>
      </c>
      <c r="L49" s="59">
        <f>COUNTIFS(Nov!$B:$B,2242,Nov!$J:$J,14)</f>
        <v>0</v>
      </c>
      <c r="M49" s="59">
        <v>0</v>
      </c>
    </row>
    <row r="50" spans="1:13" s="8" customFormat="1" ht="11.25" customHeight="1">
      <c r="A50" s="10" t="s">
        <v>142</v>
      </c>
      <c r="B50" s="59">
        <f>COUNTIFS(Jan!$B:$B,2242,Jan!$F:$F,466)</f>
        <v>1</v>
      </c>
      <c r="C50" s="59">
        <v>1</v>
      </c>
      <c r="D50" s="59">
        <f>COUNTIFS(Mar!$B:$B,2242,Mar!$F:$F,466)</f>
        <v>0</v>
      </c>
      <c r="E50" s="59">
        <f>COUNTIFS(Apr!$B:$B,2242,Apr!$F:$F,466)</f>
        <v>0</v>
      </c>
      <c r="F50" s="59">
        <f>COUNTIFS(May!$B:$B,2242,May!$F:$F,466)</f>
        <v>0</v>
      </c>
      <c r="G50" s="59">
        <f>COUNTIFS(Jun!$B:$B,2242,Jun!$F:$F,466)</f>
        <v>0</v>
      </c>
      <c r="H50" s="59">
        <f>COUNTIFS(Jul!$B:$B,2242,Jul!$F:$F,466)</f>
        <v>0</v>
      </c>
      <c r="I50" s="59">
        <f>COUNTIFS(Aug!$B:$B,2242,Aug!$F:$F,466)</f>
        <v>0</v>
      </c>
      <c r="J50" s="59">
        <f>COUNTIFS(Sep!$B:$B,2242,Sep!$F:$F,466)</f>
        <v>0</v>
      </c>
      <c r="K50" s="59">
        <f>COUNTIFS(Oct!$B:$B,2242,Oct!$F:$F,466)</f>
        <v>0</v>
      </c>
      <c r="L50" s="59">
        <f>COUNTIFS(Nov!$B:$B,2242,Nov!$F:$F,466)</f>
        <v>0</v>
      </c>
      <c r="M50" s="59">
        <v>2</v>
      </c>
    </row>
    <row r="51" spans="1:13" s="8" customFormat="1" ht="11.25" customHeight="1">
      <c r="A51" s="10" t="s">
        <v>27</v>
      </c>
      <c r="B51" s="59">
        <f>COUNTIFS(Jan!$B:$B,2242,Jan!$J:$J,25)</f>
        <v>0</v>
      </c>
      <c r="C51" s="59">
        <f>COUNTIFS(Feb!$B:$B,2242,Feb!$J:$J,25)</f>
        <v>0</v>
      </c>
      <c r="D51" s="59">
        <f>COUNTIFS(Mar!$B:$B,2242,Mar!$J:$J,25)</f>
        <v>0</v>
      </c>
      <c r="E51" s="59">
        <f>COUNTIFS(Apr!$B:$B,2242,Apr!$J:$J,25)</f>
        <v>0</v>
      </c>
      <c r="F51" s="59">
        <f>COUNTIFS(May!$B:$B,2242,May!$J:$J,25)</f>
        <v>0</v>
      </c>
      <c r="G51" s="59">
        <f>COUNTIFS(Jun!$B:$B,2242,Jun!$J:$J,25)</f>
        <v>0</v>
      </c>
      <c r="H51" s="59">
        <f>COUNTIFS(Jul!$B:$B,2242,Jul!$J:$J,25)</f>
        <v>0</v>
      </c>
      <c r="I51" s="59">
        <f>COUNTIFS(Aug!$B:$B,2242,Aug!$J:$J,25)</f>
        <v>0</v>
      </c>
      <c r="J51" s="59">
        <f>COUNTIFS(Sep!$B:$B,2242,Sep!$J:$J,25)</f>
        <v>0</v>
      </c>
      <c r="K51" s="59">
        <f>COUNTIFS(Oct!$B:$B,2242,Oct!$J:$J,25)</f>
        <v>0</v>
      </c>
      <c r="L51" s="59">
        <f>COUNTIFS(Nov!$B:$B,2242,Nov!$J:$J,25)</f>
        <v>0</v>
      </c>
      <c r="M51" s="59">
        <v>0</v>
      </c>
    </row>
    <row r="52" spans="1:13" s="8" customFormat="1" ht="11.25" customHeight="1" thickBot="1">
      <c r="A52" s="11" t="s">
        <v>16</v>
      </c>
      <c r="B52" s="60">
        <f>SUM(B34:B51)</f>
        <v>115</v>
      </c>
      <c r="C52" s="60">
        <f t="shared" ref="C52:M52" si="11">SUM(C34:C51)</f>
        <v>131</v>
      </c>
      <c r="D52" s="60">
        <f>SUM(D34:D51)</f>
        <v>98</v>
      </c>
      <c r="E52" s="60">
        <f>SUM(E34:E51)</f>
        <v>58</v>
      </c>
      <c r="F52" s="60">
        <f>SUM(F34:F51)</f>
        <v>58</v>
      </c>
      <c r="G52" s="60">
        <f>SUM(G34:G51)</f>
        <v>74</v>
      </c>
      <c r="H52" s="60">
        <f t="shared" si="11"/>
        <v>102</v>
      </c>
      <c r="I52" s="60">
        <f t="shared" si="11"/>
        <v>105</v>
      </c>
      <c r="J52" s="60">
        <f t="shared" si="11"/>
        <v>89</v>
      </c>
      <c r="K52" s="60">
        <f t="shared" si="11"/>
        <v>32</v>
      </c>
      <c r="L52" s="159">
        <f t="shared" si="11"/>
        <v>45</v>
      </c>
      <c r="M52" s="170">
        <f t="shared" si="11"/>
        <v>44</v>
      </c>
    </row>
    <row r="53" spans="1:13" ht="12" customHeight="1" thickBot="1">
      <c r="A53" s="55" t="s">
        <v>137</v>
      </c>
      <c r="B53" s="50">
        <v>41275</v>
      </c>
      <c r="C53" s="47">
        <v>41306</v>
      </c>
      <c r="D53" s="47">
        <v>41334</v>
      </c>
      <c r="E53" s="47">
        <v>41365</v>
      </c>
      <c r="F53" s="47">
        <v>41395</v>
      </c>
      <c r="G53" s="47">
        <v>41426</v>
      </c>
      <c r="H53" s="47">
        <v>41456</v>
      </c>
      <c r="I53" s="47">
        <v>41487</v>
      </c>
      <c r="J53" s="47">
        <v>41518</v>
      </c>
      <c r="K53" s="47">
        <v>41548</v>
      </c>
      <c r="L53" s="47">
        <v>41579</v>
      </c>
      <c r="M53" s="51">
        <v>41609</v>
      </c>
    </row>
    <row r="54" spans="1:13" s="8" customFormat="1" ht="11.25" customHeight="1">
      <c r="A54" s="10" t="s">
        <v>30</v>
      </c>
      <c r="B54" s="57">
        <f>COUNTIFS(Jan!$B:$B,2242,Jan!$J:$J,7)</f>
        <v>3</v>
      </c>
      <c r="C54" s="57">
        <f>COUNTIFS(Feb!$B:$B,2242,Feb!$J:$J,7)</f>
        <v>0</v>
      </c>
      <c r="D54" s="57">
        <v>3</v>
      </c>
      <c r="E54" s="57">
        <v>5</v>
      </c>
      <c r="F54" s="57">
        <v>12</v>
      </c>
      <c r="G54" s="57">
        <v>10</v>
      </c>
      <c r="H54" s="57">
        <v>6</v>
      </c>
      <c r="I54" s="57">
        <v>10</v>
      </c>
      <c r="J54" s="57">
        <v>10</v>
      </c>
      <c r="K54" s="57">
        <v>9</v>
      </c>
      <c r="L54" s="57">
        <v>1</v>
      </c>
      <c r="M54" s="57">
        <v>7</v>
      </c>
    </row>
    <row r="55" spans="1:13" s="8" customFormat="1" ht="11.25" customHeight="1">
      <c r="A55" s="10" t="s">
        <v>29</v>
      </c>
      <c r="B55" s="59">
        <f>COUNTIFS(Jan!$B:$B,2242,Jan!$J:$J,8)</f>
        <v>0</v>
      </c>
      <c r="C55" s="59">
        <f>COUNTIFS(Feb!$B:$B,2242,Feb!$J:$J,8)</f>
        <v>0</v>
      </c>
      <c r="D55" s="59">
        <f>COUNTIFS(Mar!$B:$B,2242,Mar!$J:$J,8)</f>
        <v>0</v>
      </c>
      <c r="E55" s="59">
        <f>COUNTIFS(Apr!$B:$B,2242,Apr!$J:$J,8)</f>
        <v>0</v>
      </c>
      <c r="F55" s="59">
        <f>COUNTIFS(May!$B:$B,2242,May!$J:$J,8)</f>
        <v>0</v>
      </c>
      <c r="G55" s="59">
        <f>COUNTIFS(Jun!$B:$B,2242,Jun!$J:$J,8)</f>
        <v>0</v>
      </c>
      <c r="H55" s="59">
        <f>COUNTIFS(Jul!$B:$B,2242,Jul!$J:$J,8)</f>
        <v>0</v>
      </c>
      <c r="I55" s="59">
        <f>COUNTIFS(Aug!$B:$B,2242,Aug!$J:$J,8)</f>
        <v>0</v>
      </c>
      <c r="J55" s="59">
        <f>COUNTIFS(Sep!$B:$B,2242,Sep!$J:$J,8)</f>
        <v>0</v>
      </c>
      <c r="K55" s="59">
        <v>1</v>
      </c>
      <c r="L55" s="59">
        <f>COUNTIFS(Nov!$B:$B,2242,Nov!$J:$J,8)</f>
        <v>0</v>
      </c>
      <c r="M55" s="59">
        <v>0</v>
      </c>
    </row>
    <row r="56" spans="1:13" s="8" customFormat="1" ht="11.25" customHeight="1">
      <c r="A56" s="10" t="s">
        <v>7</v>
      </c>
      <c r="B56" s="59">
        <f>COUNTIFS(Jan!$B:$B,2242,Jan!$J:$J,12)</f>
        <v>0</v>
      </c>
      <c r="C56" s="59">
        <f>COUNTIFS(Feb!$B:$B,2242,Feb!$J:$J,12)</f>
        <v>0</v>
      </c>
      <c r="D56" s="59">
        <v>5</v>
      </c>
      <c r="E56" s="59">
        <v>15</v>
      </c>
      <c r="F56" s="59">
        <v>24</v>
      </c>
      <c r="G56" s="59">
        <v>11</v>
      </c>
      <c r="H56" s="59">
        <v>12</v>
      </c>
      <c r="I56" s="59">
        <v>13</v>
      </c>
      <c r="J56" s="59">
        <v>18</v>
      </c>
      <c r="K56" s="59">
        <v>12</v>
      </c>
      <c r="L56" s="59">
        <v>8</v>
      </c>
      <c r="M56" s="59">
        <v>8</v>
      </c>
    </row>
    <row r="57" spans="1:13" s="8" customFormat="1" ht="11.25" customHeight="1">
      <c r="A57" s="10" t="s">
        <v>10</v>
      </c>
      <c r="B57" s="59">
        <f>COUNTIFS(Jan!$B:$B,2242,Jan!$J:$J,5100)</f>
        <v>0</v>
      </c>
      <c r="C57" s="59">
        <f>COUNTIFS(Feb!$B:$B,2242,Feb!$J:$J,5100)</f>
        <v>0</v>
      </c>
      <c r="D57" s="59">
        <f>COUNTIFS(Mar!$B:$B,2242,Mar!$J:$J,5100)</f>
        <v>0</v>
      </c>
      <c r="E57" s="59">
        <f>COUNTIFS(Apr!$B:$B,2242,Apr!$J:$J,5100)</f>
        <v>0</v>
      </c>
      <c r="F57" s="59">
        <f>COUNTIFS(May!$B:$B,2242,May!$J:$J,5100)</f>
        <v>0</v>
      </c>
      <c r="G57" s="59">
        <f>COUNTIFS(Jun!$B:$B,2242,Jun!$J:$J,5100)</f>
        <v>0</v>
      </c>
      <c r="H57" s="59">
        <f>COUNTIFS(Jul!$B:$B,2242,Jul!$J:$J,5100)</f>
        <v>0</v>
      </c>
      <c r="I57" s="59">
        <f>COUNTIFS(Aug!$B:$B,2242,Aug!$J:$J,5100)</f>
        <v>0</v>
      </c>
      <c r="J57" s="59">
        <f>COUNTIFS(Sep!$B:$B,2242,Sep!$J:$J,5100)</f>
        <v>0</v>
      </c>
      <c r="K57" s="59">
        <f>COUNTIFS(Oct!$B:$B,2242,Oct!$J:$J,5100)</f>
        <v>0</v>
      </c>
      <c r="L57" s="59">
        <v>3</v>
      </c>
      <c r="M57" s="59">
        <v>0</v>
      </c>
    </row>
    <row r="58" spans="1:13" s="8" customFormat="1" ht="11.25" customHeight="1">
      <c r="A58" s="10" t="s">
        <v>36</v>
      </c>
      <c r="B58" s="59">
        <f>COUNTIFS(Jan!$B:$B,2242,Jan!$J:$J,6200)</f>
        <v>0</v>
      </c>
      <c r="C58" s="59">
        <f>COUNTIFS(Feb!$B:$B,2242,Feb!$J:$J,6200)</f>
        <v>0</v>
      </c>
      <c r="D58" s="59">
        <f>COUNTIFS(Mar!$B:$B,2242,Mar!$J:$J,6200)</f>
        <v>0</v>
      </c>
      <c r="E58" s="59">
        <f>COUNTIFS(Apr!$B:$B,2242,Apr!$J:$J,6200)</f>
        <v>0</v>
      </c>
      <c r="F58" s="59">
        <f>COUNTIFS(May!$B:$B,2242,May!$J:$J,6200)</f>
        <v>0</v>
      </c>
      <c r="G58" s="59">
        <f>COUNTIFS(Jun!$B:$B,2242,Jun!$J:$J,6200)</f>
        <v>0</v>
      </c>
      <c r="H58" s="59">
        <f>COUNTIFS(Jul!$B:$B,2242,Jul!$J:$J,6200)</f>
        <v>0</v>
      </c>
      <c r="I58" s="59">
        <f>COUNTIFS(Aug!$B:$B,2242,Aug!$J:$J,6200)</f>
        <v>0</v>
      </c>
      <c r="J58" s="59">
        <f>COUNTIFS(Sep!$B:$B,2242,Sep!$J:$J,6200)</f>
        <v>0</v>
      </c>
      <c r="K58" s="59">
        <f>COUNTIFS(Oct!$B:$B,2242,Oct!$J:$J,6200)</f>
        <v>0</v>
      </c>
      <c r="L58" s="59">
        <f>COUNTIFS(Nov!$B:$B,2242,Nov!$J:$J,6200)</f>
        <v>0</v>
      </c>
      <c r="M58" s="59">
        <v>0</v>
      </c>
    </row>
    <row r="59" spans="1:13" s="8" customFormat="1" ht="11.25" customHeight="1">
      <c r="A59" s="10" t="s">
        <v>145</v>
      </c>
      <c r="B59" s="59">
        <f>COUNTIFS(Jan!$B:$B,2242,Jan!$J:$J,28)</f>
        <v>0</v>
      </c>
      <c r="C59" s="59">
        <f>COUNTIFS(Feb!$B:$B,2242,Feb!$J:$J,28)</f>
        <v>0</v>
      </c>
      <c r="D59" s="59">
        <f>COUNTIFS(Mar!$B:$B,2242,Mar!$J:$J,28)</f>
        <v>0</v>
      </c>
      <c r="E59" s="59">
        <f>COUNTIFS(Apr!$B:$B,2242,Apr!$J:$J,28)</f>
        <v>0</v>
      </c>
      <c r="F59" s="59">
        <f>COUNTIFS(May!$B:$B,2242,May!$J:$J,28)</f>
        <v>0</v>
      </c>
      <c r="G59" s="59">
        <f>COUNTIFS(Jun!$B:$B,2242,Jun!$J:$J,28)</f>
        <v>0</v>
      </c>
      <c r="H59" s="59">
        <f>COUNTIFS(Jul!$B:$B,2242,Jul!$J:$J,28)</f>
        <v>0</v>
      </c>
      <c r="I59" s="59">
        <f>COUNTIFS(Aug!$B:$B,2242,Aug!$J:$J,28)</f>
        <v>0</v>
      </c>
      <c r="J59" s="59">
        <f>COUNTIFS(Sep!$B:$B,2242,Sep!$J:$J,28)</f>
        <v>0</v>
      </c>
      <c r="K59" s="59">
        <f>COUNTIFS(Oct!$B:$B,2242,Oct!$J:$J,28)</f>
        <v>0</v>
      </c>
      <c r="L59" s="59">
        <f>COUNTIFS(Nov!$B:$B,2242,Nov!$J:$J,28)</f>
        <v>0</v>
      </c>
      <c r="M59" s="59">
        <v>0</v>
      </c>
    </row>
    <row r="60" spans="1:13" s="8" customFormat="1" ht="11.25" customHeight="1">
      <c r="A60" s="10" t="s">
        <v>38</v>
      </c>
      <c r="B60" s="59">
        <f>COUNTIFS(Jan!$B:$B,2242,Jan!$J:$J,6100)</f>
        <v>0</v>
      </c>
      <c r="C60" s="59">
        <v>1</v>
      </c>
      <c r="D60" s="59">
        <f>COUNTIFS(Mar!$B:$B,2242,Mar!$J:$J,6100)</f>
        <v>0</v>
      </c>
      <c r="E60" s="59">
        <v>3</v>
      </c>
      <c r="F60" s="59">
        <v>4</v>
      </c>
      <c r="G60" s="59">
        <f>COUNTIFS(Jun!$B:$B,2242,Jun!$J:$J,6100)</f>
        <v>0</v>
      </c>
      <c r="H60" s="59">
        <v>9</v>
      </c>
      <c r="I60" s="59">
        <v>4</v>
      </c>
      <c r="J60" s="59">
        <v>5</v>
      </c>
      <c r="K60" s="59">
        <v>1</v>
      </c>
      <c r="L60" s="59">
        <v>2</v>
      </c>
      <c r="M60" s="59">
        <v>5</v>
      </c>
    </row>
    <row r="61" spans="1:13" s="8" customFormat="1" ht="11.25" customHeight="1">
      <c r="A61" s="10" t="s">
        <v>9</v>
      </c>
      <c r="B61" s="59">
        <f>COUNTIFS(Jan!$B:$B,2242,Jan!$J:$J,6)</f>
        <v>0</v>
      </c>
      <c r="C61" s="59">
        <f>COUNTIFS(Feb!$B:$B,2242,Feb!$J:$J,6)</f>
        <v>0</v>
      </c>
      <c r="D61" s="59">
        <f>COUNTIFS(Mar!$B:$B,2242,Mar!$J:$J,6)</f>
        <v>0</v>
      </c>
      <c r="E61" s="59">
        <f>COUNTIFS(Apr!$B:$B,2242,Apr!$J:$J,6)</f>
        <v>0</v>
      </c>
      <c r="F61" s="59">
        <f>COUNTIFS(May!$B:$B,2242,May!$J:$J,6)</f>
        <v>0</v>
      </c>
      <c r="G61" s="59">
        <f>COUNTIFS(Jun!$B:$B,2242,Jun!$J:$J,6)</f>
        <v>0</v>
      </c>
      <c r="H61" s="59">
        <f>COUNTIFS(Jul!$B:$B,2242,Jul!$J:$J,6)</f>
        <v>0</v>
      </c>
      <c r="I61" s="59">
        <f>COUNTIFS(Aug!$B:$B,2242,Aug!$J:$J,6)</f>
        <v>0</v>
      </c>
      <c r="J61" s="59">
        <f>COUNTIFS(Sep!$B:$B,2242,Sep!$J:$J,6)</f>
        <v>0</v>
      </c>
      <c r="K61" s="59">
        <f>COUNTIFS(Oct!$B:$B,2242,Oct!$J:$J,6)</f>
        <v>0</v>
      </c>
      <c r="L61" s="59">
        <f>COUNTIFS(Nov!$B:$B,2242,Nov!$J:$J,6)</f>
        <v>0</v>
      </c>
      <c r="M61" s="59">
        <v>0</v>
      </c>
    </row>
    <row r="62" spans="1:13" s="8" customFormat="1" ht="11.25" customHeight="1">
      <c r="A62" s="10" t="s">
        <v>8</v>
      </c>
      <c r="B62" s="59">
        <f>COUNTIFS(Jan!$B:$B,2242,Jan!$J:$J,4)</f>
        <v>0</v>
      </c>
      <c r="C62" s="59">
        <f>COUNTIFS(Feb!$B:$B,2242,Feb!$J:$J,4)</f>
        <v>0</v>
      </c>
      <c r="D62" s="59">
        <f>COUNTIFS(Mar!$B:$B,2242,Mar!$J:$J,4)</f>
        <v>0</v>
      </c>
      <c r="E62" s="59">
        <f>COUNTIFS(Apr!$B:$B,2242,Apr!$J:$J,4)</f>
        <v>0</v>
      </c>
      <c r="F62" s="59">
        <f>COUNTIFS(May!$B:$B,2242,May!$J:$J,4)</f>
        <v>0</v>
      </c>
      <c r="G62" s="59">
        <f>COUNTIFS(Jun!$B:$B,2242,Jun!$J:$J,4)</f>
        <v>0</v>
      </c>
      <c r="H62" s="59">
        <f>COUNTIFS(Jul!$B:$B,2242,Jul!$J:$J,4)</f>
        <v>0</v>
      </c>
      <c r="I62" s="59">
        <f>COUNTIFS(Aug!$B:$B,2242,Aug!$J:$J,4)</f>
        <v>0</v>
      </c>
      <c r="J62" s="59">
        <f>COUNTIFS(Sep!$B:$B,2242,Sep!$J:$J,4)</f>
        <v>0</v>
      </c>
      <c r="K62" s="59">
        <f>COUNTIFS(Oct!$B:$B,2242,Oct!$J:$J,4)</f>
        <v>0</v>
      </c>
      <c r="L62" s="59">
        <f>COUNTIFS(Nov!$B:$B,2242,Nov!$J:$J,4)</f>
        <v>0</v>
      </c>
      <c r="M62" s="59">
        <v>0</v>
      </c>
    </row>
    <row r="63" spans="1:13" s="8" customFormat="1" ht="11.25" customHeight="1">
      <c r="A63" s="10" t="s">
        <v>6</v>
      </c>
      <c r="B63" s="59">
        <f>COUNTIFS(Jan!$B:$B,2242,Jan!$J:$J,5)</f>
        <v>0</v>
      </c>
      <c r="C63" s="59">
        <f>COUNTIFS(Feb!$B:$B,2242,Feb!$J:$J,5)</f>
        <v>0</v>
      </c>
      <c r="D63" s="59">
        <f>COUNTIFS(Mar!$B:$B,2242,Mar!$J:$J,5)</f>
        <v>0</v>
      </c>
      <c r="E63" s="59">
        <f>COUNTIFS(Apr!$B:$B,2242,Apr!$J:$J,5)</f>
        <v>0</v>
      </c>
      <c r="F63" s="59">
        <f>COUNTIFS(May!$B:$B,2242,May!$J:$J,5)</f>
        <v>0</v>
      </c>
      <c r="G63" s="59">
        <f>COUNTIFS(Jun!$B:$B,2242,Jun!$J:$J,5)</f>
        <v>0</v>
      </c>
      <c r="H63" s="59">
        <f>COUNTIFS(Jul!$B:$B,2242,Jul!$J:$J,5)</f>
        <v>0</v>
      </c>
      <c r="I63" s="59">
        <v>1</v>
      </c>
      <c r="J63" s="59">
        <f>COUNTIFS(Sep!$B:$B,2242,Sep!$J:$J,5)</f>
        <v>0</v>
      </c>
      <c r="K63" s="59">
        <f>COUNTIFS(Oct!$B:$B,2242,Oct!$J:$J,5)</f>
        <v>0</v>
      </c>
      <c r="L63" s="59">
        <f>COUNTIFS(Nov!$B:$B,2242,Nov!$J:$J,5)</f>
        <v>0</v>
      </c>
      <c r="M63" s="59">
        <v>0</v>
      </c>
    </row>
    <row r="64" spans="1:13" s="8" customFormat="1" ht="11.25" customHeight="1">
      <c r="A64" s="52" t="s">
        <v>141</v>
      </c>
      <c r="B64" s="69">
        <f>COUNTIFS(Jan!$B:$B,2242,Jan!$F:$F,456)</f>
        <v>1</v>
      </c>
      <c r="C64" s="69">
        <v>1</v>
      </c>
      <c r="D64" s="69">
        <v>5</v>
      </c>
      <c r="E64" s="69">
        <v>10</v>
      </c>
      <c r="F64" s="69">
        <v>4</v>
      </c>
      <c r="G64" s="69">
        <v>4</v>
      </c>
      <c r="H64" s="69">
        <v>4</v>
      </c>
      <c r="I64" s="69">
        <v>2</v>
      </c>
      <c r="J64" s="69">
        <f>COUNTIFS(Sep!$B:$B,2242,Sep!$F:$F,456)</f>
        <v>0</v>
      </c>
      <c r="K64" s="69">
        <v>2</v>
      </c>
      <c r="L64" s="69">
        <v>4</v>
      </c>
      <c r="M64" s="69">
        <v>4</v>
      </c>
    </row>
    <row r="65" spans="1:13" s="8" customFormat="1" ht="11.25" customHeight="1" thickBot="1">
      <c r="A65" s="12" t="s">
        <v>16</v>
      </c>
      <c r="B65" s="70">
        <f>SUM(B54:B64)</f>
        <v>4</v>
      </c>
      <c r="C65" s="70">
        <f t="shared" ref="C65:M65" si="12">SUM(C54:C64)</f>
        <v>2</v>
      </c>
      <c r="D65" s="70">
        <f t="shared" si="12"/>
        <v>13</v>
      </c>
      <c r="E65" s="70">
        <f t="shared" si="12"/>
        <v>33</v>
      </c>
      <c r="F65" s="70">
        <f t="shared" si="12"/>
        <v>44</v>
      </c>
      <c r="G65" s="70">
        <f t="shared" si="12"/>
        <v>25</v>
      </c>
      <c r="H65" s="70">
        <f t="shared" si="12"/>
        <v>31</v>
      </c>
      <c r="I65" s="70">
        <f t="shared" si="12"/>
        <v>30</v>
      </c>
      <c r="J65" s="70">
        <f t="shared" si="12"/>
        <v>33</v>
      </c>
      <c r="K65" s="70">
        <f t="shared" si="12"/>
        <v>25</v>
      </c>
      <c r="L65" s="165">
        <f t="shared" si="12"/>
        <v>18</v>
      </c>
      <c r="M65" s="170">
        <f t="shared" si="12"/>
        <v>24</v>
      </c>
    </row>
    <row r="66" spans="1:13" s="8" customFormat="1" ht="15.75" customHeight="1">
      <c r="A66" s="6"/>
      <c r="B66" s="7"/>
      <c r="C66" s="7"/>
      <c r="D66" s="7"/>
      <c r="E66" s="7"/>
      <c r="F66" s="7"/>
      <c r="G66" s="7"/>
      <c r="H66" s="7"/>
      <c r="I66" s="7"/>
      <c r="J66" s="7"/>
      <c r="K66" s="7"/>
      <c r="L66" s="7"/>
      <c r="M66" s="7"/>
    </row>
    <row r="67" spans="1:13" ht="12" customHeight="1">
      <c r="A67" s="6"/>
      <c r="B67" s="7"/>
      <c r="C67" s="7"/>
      <c r="D67" s="7"/>
      <c r="E67" s="7"/>
      <c r="F67" s="7"/>
      <c r="G67" s="7"/>
      <c r="H67" s="7"/>
      <c r="I67" s="7"/>
      <c r="J67" s="7"/>
      <c r="K67" s="7"/>
      <c r="L67" s="7"/>
      <c r="M67" s="7"/>
    </row>
  </sheetData>
  <phoneticPr fontId="0" type="noConversion"/>
  <printOptions horizontalCentered="1" verticalCentered="1"/>
  <pageMargins left="0.14000000000000001" right="0.16" top="0.25" bottom="0.5" header="0.5" footer="0.25"/>
  <pageSetup scale="95" firstPageNumber="3" orientation="portrait" useFirstPageNumber="1" r:id="rId1"/>
  <headerFooter alignWithMargins="0">
    <oddFooter>&amp;R43 of 51</oddFooter>
  </headerFooter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67"/>
  <sheetViews>
    <sheetView view="pageBreakPreview" zoomScale="90" zoomScaleNormal="100" zoomScaleSheetLayoutView="90" workbookViewId="0">
      <selection activeCell="M65" sqref="M65"/>
    </sheetView>
  </sheetViews>
  <sheetFormatPr defaultRowHeight="12.75"/>
  <cols>
    <col min="1" max="1" width="22.85546875" style="1" customWidth="1"/>
    <col min="2" max="13" width="7.140625" style="1" customWidth="1"/>
    <col min="14" max="14" width="4.42578125" style="1" customWidth="1"/>
    <col min="15" max="16384" width="9.140625" style="1"/>
  </cols>
  <sheetData>
    <row r="1" spans="1:21" ht="18" customHeight="1">
      <c r="A1" s="130"/>
      <c r="B1" s="131"/>
      <c r="C1" s="131"/>
      <c r="D1" s="131"/>
      <c r="E1" s="131"/>
      <c r="F1" s="131"/>
      <c r="G1" s="131"/>
      <c r="H1" s="130"/>
      <c r="I1" s="131"/>
      <c r="J1" s="131"/>
      <c r="K1" s="131"/>
      <c r="L1" s="130"/>
      <c r="M1" s="143" t="s">
        <v>22</v>
      </c>
    </row>
    <row r="2" spans="1:21" ht="18" customHeight="1">
      <c r="A2" s="130"/>
      <c r="B2" s="135"/>
      <c r="C2" s="135"/>
      <c r="D2" s="135"/>
      <c r="E2" s="135"/>
      <c r="F2" s="135"/>
      <c r="G2" s="135"/>
      <c r="H2" s="130"/>
      <c r="I2" s="135"/>
      <c r="J2" s="135"/>
      <c r="K2" s="135"/>
      <c r="L2" s="130"/>
      <c r="M2" s="155" t="s">
        <v>13</v>
      </c>
    </row>
    <row r="3" spans="1:21" s="5" customFormat="1" ht="18" customHeight="1">
      <c r="A3" s="133"/>
      <c r="B3" s="133"/>
      <c r="C3" s="133"/>
      <c r="D3" s="133"/>
      <c r="E3" s="133"/>
      <c r="F3" s="133"/>
      <c r="G3" s="133"/>
      <c r="H3" s="133"/>
      <c r="I3" s="133"/>
      <c r="J3" s="136"/>
      <c r="K3" s="136"/>
      <c r="L3" s="133"/>
      <c r="M3" s="155" t="s">
        <v>2180</v>
      </c>
      <c r="N3" s="134"/>
      <c r="O3" s="134"/>
      <c r="P3" s="134"/>
      <c r="Q3" s="134"/>
      <c r="R3" s="134"/>
      <c r="S3" s="134"/>
      <c r="T3" s="134"/>
      <c r="U3" s="134"/>
    </row>
    <row r="4" spans="1:21" s="8" customFormat="1" ht="6.75" customHeight="1" thickBot="1">
      <c r="A4" s="38"/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</row>
    <row r="5" spans="1:21" s="8" customFormat="1" ht="11.25" customHeight="1" thickBot="1">
      <c r="A5" s="53" t="s">
        <v>19</v>
      </c>
      <c r="B5" s="50">
        <v>41275</v>
      </c>
      <c r="C5" s="47">
        <v>41306</v>
      </c>
      <c r="D5" s="47">
        <v>41334</v>
      </c>
      <c r="E5" s="47">
        <v>41365</v>
      </c>
      <c r="F5" s="47">
        <v>41395</v>
      </c>
      <c r="G5" s="47">
        <v>41426</v>
      </c>
      <c r="H5" s="47">
        <v>41456</v>
      </c>
      <c r="I5" s="47">
        <v>41487</v>
      </c>
      <c r="J5" s="47">
        <v>41518</v>
      </c>
      <c r="K5" s="47">
        <v>41548</v>
      </c>
      <c r="L5" s="47">
        <v>41579</v>
      </c>
      <c r="M5" s="51">
        <v>41609</v>
      </c>
    </row>
    <row r="6" spans="1:21" s="8" customFormat="1" ht="11.25" customHeight="1">
      <c r="A6" s="41" t="s">
        <v>129</v>
      </c>
      <c r="B6" s="57">
        <f t="shared" ref="B6:M6" si="0">B32</f>
        <v>4</v>
      </c>
      <c r="C6" s="57">
        <f t="shared" si="0"/>
        <v>1</v>
      </c>
      <c r="D6" s="57">
        <f t="shared" si="0"/>
        <v>1</v>
      </c>
      <c r="E6" s="57">
        <f t="shared" si="0"/>
        <v>6</v>
      </c>
      <c r="F6" s="57">
        <f t="shared" si="0"/>
        <v>3</v>
      </c>
      <c r="G6" s="57">
        <f t="shared" si="0"/>
        <v>10</v>
      </c>
      <c r="H6" s="57">
        <f t="shared" si="0"/>
        <v>3</v>
      </c>
      <c r="I6" s="57">
        <f t="shared" si="0"/>
        <v>12</v>
      </c>
      <c r="J6" s="57">
        <f t="shared" si="0"/>
        <v>15</v>
      </c>
      <c r="K6" s="57">
        <f t="shared" si="0"/>
        <v>2</v>
      </c>
      <c r="L6" s="156">
        <f t="shared" si="0"/>
        <v>3</v>
      </c>
      <c r="M6" s="168">
        <f t="shared" si="0"/>
        <v>6</v>
      </c>
    </row>
    <row r="7" spans="1:21" s="8" customFormat="1" ht="11.25" customHeight="1">
      <c r="A7" s="42" t="s">
        <v>18</v>
      </c>
      <c r="B7" s="57">
        <f t="shared" ref="B7:M7" si="1">SUM(B10:B12)</f>
        <v>12</v>
      </c>
      <c r="C7" s="57">
        <f t="shared" si="1"/>
        <v>13</v>
      </c>
      <c r="D7" s="57">
        <f t="shared" si="1"/>
        <v>25</v>
      </c>
      <c r="E7" s="57">
        <f t="shared" si="1"/>
        <v>17</v>
      </c>
      <c r="F7" s="57">
        <f t="shared" si="1"/>
        <v>15</v>
      </c>
      <c r="G7" s="57">
        <f t="shared" si="1"/>
        <v>19</v>
      </c>
      <c r="H7" s="57">
        <f t="shared" si="1"/>
        <v>12</v>
      </c>
      <c r="I7" s="57">
        <f t="shared" si="1"/>
        <v>25</v>
      </c>
      <c r="J7" s="57">
        <f t="shared" si="1"/>
        <v>23</v>
      </c>
      <c r="K7" s="57">
        <f t="shared" si="1"/>
        <v>17</v>
      </c>
      <c r="L7" s="156">
        <f t="shared" si="1"/>
        <v>16</v>
      </c>
      <c r="M7" s="171">
        <f t="shared" si="1"/>
        <v>16</v>
      </c>
    </row>
    <row r="8" spans="1:21" s="8" customFormat="1" ht="11.25" customHeight="1" thickBot="1">
      <c r="A8" s="43" t="s">
        <v>14</v>
      </c>
      <c r="B8" s="58">
        <f t="shared" ref="B8:M8" si="2">SUM(B6:B7)</f>
        <v>16</v>
      </c>
      <c r="C8" s="58">
        <f t="shared" si="2"/>
        <v>14</v>
      </c>
      <c r="D8" s="58">
        <f t="shared" si="2"/>
        <v>26</v>
      </c>
      <c r="E8" s="58">
        <f t="shared" si="2"/>
        <v>23</v>
      </c>
      <c r="F8" s="58">
        <f t="shared" si="2"/>
        <v>18</v>
      </c>
      <c r="G8" s="58">
        <f t="shared" si="2"/>
        <v>29</v>
      </c>
      <c r="H8" s="58">
        <f t="shared" si="2"/>
        <v>15</v>
      </c>
      <c r="I8" s="58">
        <f t="shared" si="2"/>
        <v>37</v>
      </c>
      <c r="J8" s="58">
        <f t="shared" si="2"/>
        <v>38</v>
      </c>
      <c r="K8" s="58">
        <f t="shared" si="2"/>
        <v>19</v>
      </c>
      <c r="L8" s="157">
        <f t="shared" si="2"/>
        <v>19</v>
      </c>
      <c r="M8" s="172">
        <f t="shared" si="2"/>
        <v>22</v>
      </c>
    </row>
    <row r="9" spans="1:21" s="8" customFormat="1" ht="11.25" customHeight="1" thickBot="1">
      <c r="A9" s="54" t="s">
        <v>18</v>
      </c>
      <c r="B9" s="50">
        <v>41275</v>
      </c>
      <c r="C9" s="47">
        <v>41306</v>
      </c>
      <c r="D9" s="47">
        <v>41334</v>
      </c>
      <c r="E9" s="47">
        <v>41365</v>
      </c>
      <c r="F9" s="47">
        <v>41395</v>
      </c>
      <c r="G9" s="47">
        <v>41426</v>
      </c>
      <c r="H9" s="47">
        <v>41456</v>
      </c>
      <c r="I9" s="47">
        <v>41487</v>
      </c>
      <c r="J9" s="47">
        <v>41518</v>
      </c>
      <c r="K9" s="47">
        <v>41548</v>
      </c>
      <c r="L9" s="47">
        <v>41579</v>
      </c>
      <c r="M9" s="51">
        <v>41609</v>
      </c>
    </row>
    <row r="10" spans="1:21" s="8" customFormat="1" ht="11.25" customHeight="1">
      <c r="A10" s="9" t="s">
        <v>128</v>
      </c>
      <c r="B10" s="57">
        <f t="shared" ref="B10:M10" si="3">B52</f>
        <v>6</v>
      </c>
      <c r="C10" s="57">
        <f t="shared" si="3"/>
        <v>5</v>
      </c>
      <c r="D10" s="57">
        <f t="shared" si="3"/>
        <v>11</v>
      </c>
      <c r="E10" s="57">
        <f t="shared" si="3"/>
        <v>3</v>
      </c>
      <c r="F10" s="57">
        <f t="shared" si="3"/>
        <v>4</v>
      </c>
      <c r="G10" s="59">
        <f t="shared" si="3"/>
        <v>7</v>
      </c>
      <c r="H10" s="59">
        <f t="shared" si="3"/>
        <v>5</v>
      </c>
      <c r="I10" s="59">
        <f t="shared" si="3"/>
        <v>15</v>
      </c>
      <c r="J10" s="59">
        <f t="shared" si="3"/>
        <v>11</v>
      </c>
      <c r="K10" s="59">
        <f t="shared" si="3"/>
        <v>8</v>
      </c>
      <c r="L10" s="158">
        <f t="shared" si="3"/>
        <v>7</v>
      </c>
      <c r="M10" s="168">
        <f t="shared" si="3"/>
        <v>7</v>
      </c>
    </row>
    <row r="11" spans="1:21" s="8" customFormat="1" ht="11.25" customHeight="1">
      <c r="A11" s="9" t="s">
        <v>127</v>
      </c>
      <c r="B11" s="59">
        <f t="shared" ref="B11:M11" si="4">B65</f>
        <v>1</v>
      </c>
      <c r="C11" s="59">
        <f t="shared" si="4"/>
        <v>0</v>
      </c>
      <c r="D11" s="59">
        <f t="shared" si="4"/>
        <v>1</v>
      </c>
      <c r="E11" s="59">
        <f t="shared" si="4"/>
        <v>2</v>
      </c>
      <c r="F11" s="59">
        <f t="shared" si="4"/>
        <v>5</v>
      </c>
      <c r="G11" s="59">
        <f t="shared" si="4"/>
        <v>0</v>
      </c>
      <c r="H11" s="59">
        <f t="shared" si="4"/>
        <v>1</v>
      </c>
      <c r="I11" s="59">
        <f t="shared" si="4"/>
        <v>0</v>
      </c>
      <c r="J11" s="59">
        <f t="shared" si="4"/>
        <v>1</v>
      </c>
      <c r="K11" s="59">
        <f t="shared" si="4"/>
        <v>3</v>
      </c>
      <c r="L11" s="158">
        <f t="shared" si="4"/>
        <v>5</v>
      </c>
      <c r="M11" s="169">
        <f t="shared" si="4"/>
        <v>7</v>
      </c>
    </row>
    <row r="12" spans="1:21" s="8" customFormat="1" ht="11.25" customHeight="1" thickBot="1">
      <c r="A12" s="2" t="s">
        <v>12</v>
      </c>
      <c r="B12" s="60">
        <f>COUNTIFS(Jan!$B:$B,2253,Jan!$F:$F,800)</f>
        <v>5</v>
      </c>
      <c r="C12" s="60">
        <v>8</v>
      </c>
      <c r="D12" s="60">
        <v>13</v>
      </c>
      <c r="E12" s="60">
        <v>12</v>
      </c>
      <c r="F12" s="60">
        <v>6</v>
      </c>
      <c r="G12" s="60">
        <v>12</v>
      </c>
      <c r="H12" s="60">
        <v>6</v>
      </c>
      <c r="I12" s="60">
        <v>10</v>
      </c>
      <c r="J12" s="60">
        <v>11</v>
      </c>
      <c r="K12" s="60">
        <v>6</v>
      </c>
      <c r="L12" s="60">
        <v>4</v>
      </c>
      <c r="M12" s="60">
        <v>2</v>
      </c>
    </row>
    <row r="13" spans="1:21" s="8" customFormat="1" ht="5.0999999999999996" customHeight="1" thickBot="1">
      <c r="A13" s="3"/>
      <c r="B13" s="17"/>
      <c r="C13" s="17"/>
      <c r="D13" s="17"/>
      <c r="E13" s="17"/>
      <c r="F13" s="17"/>
      <c r="G13" s="17"/>
      <c r="H13" s="17"/>
      <c r="I13" s="17"/>
      <c r="J13" s="17"/>
      <c r="K13" s="17"/>
      <c r="L13" s="17"/>
      <c r="M13" s="147"/>
    </row>
    <row r="14" spans="1:21" s="16" customFormat="1" ht="11.25" customHeight="1">
      <c r="A14" s="44" t="s">
        <v>131</v>
      </c>
      <c r="B14" s="120">
        <v>5851</v>
      </c>
      <c r="C14" s="120">
        <v>6280</v>
      </c>
      <c r="D14" s="120">
        <v>6692</v>
      </c>
      <c r="E14" s="120">
        <v>6165</v>
      </c>
      <c r="F14" s="120">
        <v>6149</v>
      </c>
      <c r="G14" s="120">
        <v>6974</v>
      </c>
      <c r="H14" s="119">
        <v>6157</v>
      </c>
      <c r="I14" s="61">
        <v>6510</v>
      </c>
      <c r="J14" s="61">
        <v>7247</v>
      </c>
      <c r="K14" s="118">
        <v>6543</v>
      </c>
      <c r="L14" s="160">
        <v>5804</v>
      </c>
      <c r="M14" s="173">
        <v>6534</v>
      </c>
      <c r="O14" s="22"/>
      <c r="P14" s="22"/>
      <c r="Q14" s="22"/>
    </row>
    <row r="15" spans="1:21" s="8" customFormat="1" ht="11.25" customHeight="1">
      <c r="A15" s="45" t="s">
        <v>132</v>
      </c>
      <c r="B15" s="62">
        <f>IFERROR((SUMIFS(Jan!$N:$N,Jan!$J:$J,1,Jan!$B:$B,2253)+SUMIFS(Jan!$N:$N,Jan!$D:$D,"&gt;1",Jan!$B:$B,2253))/(COUNTIFS(Jan!$J:$J,1,Jan!$B:$B,2253)+COUNTIFS(Jan!$D:$D,"&gt;1",Jan!$B:$B,2253)),"")</f>
        <v>22.2</v>
      </c>
      <c r="C15" s="62">
        <v>19.46</v>
      </c>
      <c r="D15" s="62">
        <v>22.96</v>
      </c>
      <c r="E15" s="62">
        <v>23.74</v>
      </c>
      <c r="F15" s="62">
        <v>22</v>
      </c>
      <c r="G15" s="62">
        <v>27.21</v>
      </c>
      <c r="H15" s="62">
        <v>25.46</v>
      </c>
      <c r="I15" s="62">
        <v>22.87</v>
      </c>
      <c r="J15" s="62">
        <v>20.32</v>
      </c>
      <c r="K15" s="62">
        <v>22.95</v>
      </c>
      <c r="L15" s="62">
        <v>22.29</v>
      </c>
      <c r="M15" s="62">
        <v>23.68</v>
      </c>
      <c r="N15" s="15"/>
      <c r="O15" s="1"/>
      <c r="P15" s="1"/>
      <c r="Q15" s="1"/>
    </row>
    <row r="16" spans="1:21" s="8" customFormat="1" ht="11.25" customHeight="1">
      <c r="A16" s="45" t="s">
        <v>133</v>
      </c>
      <c r="B16" s="62">
        <f>IFERROR(AVERAGEIFS(Jan!$N:$N,Jan!$F:$F,800,Jan!$B:$B,2253),"")</f>
        <v>22.2</v>
      </c>
      <c r="C16" s="62">
        <v>2.056</v>
      </c>
      <c r="D16" s="62">
        <v>22.38</v>
      </c>
      <c r="E16" s="62">
        <v>22.92</v>
      </c>
      <c r="F16" s="62">
        <v>23</v>
      </c>
      <c r="G16" s="62">
        <v>22</v>
      </c>
      <c r="H16" s="62">
        <v>24.67</v>
      </c>
      <c r="I16" s="62">
        <v>25.2</v>
      </c>
      <c r="J16" s="62">
        <v>20.64</v>
      </c>
      <c r="K16" s="62">
        <v>22.67</v>
      </c>
      <c r="L16" s="62">
        <v>23.75</v>
      </c>
      <c r="M16" s="62">
        <v>20.75</v>
      </c>
      <c r="O16" s="1"/>
      <c r="P16" s="1"/>
      <c r="Q16" s="1"/>
    </row>
    <row r="17" spans="1:17" s="8" customFormat="1" ht="11.25" customHeight="1">
      <c r="A17" s="45" t="s">
        <v>134</v>
      </c>
      <c r="B17" s="63">
        <f>IFERROR((SUMIFS(Jan!$M:$M,Jan!$J:$J,1,Jan!$B:$B,2253)+SUMIFS(Jan!$M:$M,Jan!$D:$D,"&gt;1",Jan!$B:$B,2253))/(COUNTIFS(Jan!$J:$J,1,Jan!$B:$B,2253)+COUNTIFS(Jan!$D:$D,"&gt;1",Jan!$B:$B,2253)),"")</f>
        <v>13.960000000000003</v>
      </c>
      <c r="C17" s="63">
        <v>9.57</v>
      </c>
      <c r="D17" s="63">
        <v>9.2799999999999994</v>
      </c>
      <c r="E17" s="63">
        <v>11.59</v>
      </c>
      <c r="F17" s="63">
        <v>11.53</v>
      </c>
      <c r="G17" s="63">
        <v>11.78</v>
      </c>
      <c r="H17" s="63">
        <v>14.25</v>
      </c>
      <c r="I17" s="63">
        <v>13.76</v>
      </c>
      <c r="J17" s="63">
        <v>9.93</v>
      </c>
      <c r="K17" s="63">
        <v>9.83</v>
      </c>
      <c r="L17" s="63">
        <v>10.79</v>
      </c>
      <c r="M17" s="63">
        <v>10.28</v>
      </c>
      <c r="O17" s="1"/>
      <c r="P17" s="1"/>
      <c r="Q17" s="1"/>
    </row>
    <row r="18" spans="1:17" s="8" customFormat="1" ht="11.25" customHeight="1" thickBot="1">
      <c r="A18" s="43" t="s">
        <v>135</v>
      </c>
      <c r="B18" s="64">
        <f>IFERROR(AVERAGEIFS(Jan!$M:$M,Jan!$F:$F,800,Jan!$B:$B,2253),"")</f>
        <v>13.960000000000003</v>
      </c>
      <c r="C18" s="64">
        <v>11.17</v>
      </c>
      <c r="D18" s="64">
        <v>8.3000000000000007</v>
      </c>
      <c r="E18" s="64">
        <v>9.9</v>
      </c>
      <c r="F18" s="64">
        <v>9.36</v>
      </c>
      <c r="G18" s="64">
        <v>11.52</v>
      </c>
      <c r="H18" s="64">
        <v>11.15</v>
      </c>
      <c r="I18" s="64">
        <v>13.29</v>
      </c>
      <c r="J18" s="64">
        <v>10.94</v>
      </c>
      <c r="K18" s="64">
        <v>9.2200000000000006</v>
      </c>
      <c r="L18" s="64">
        <v>14.65</v>
      </c>
      <c r="M18" s="64">
        <v>15.55</v>
      </c>
    </row>
    <row r="19" spans="1:17" s="8" customFormat="1" ht="5.0999999999999996" customHeight="1" thickBot="1">
      <c r="A19" s="3"/>
      <c r="B19" s="17"/>
      <c r="C19" s="17"/>
      <c r="D19" s="17"/>
      <c r="E19" s="17"/>
      <c r="F19" s="17"/>
      <c r="G19" s="17"/>
      <c r="H19" s="17"/>
      <c r="I19" s="17"/>
      <c r="J19" s="17"/>
      <c r="K19" s="17"/>
      <c r="L19" s="17"/>
      <c r="M19" s="147"/>
    </row>
    <row r="20" spans="1:17" s="8" customFormat="1" ht="11.25" customHeight="1">
      <c r="A20" s="42" t="s">
        <v>52</v>
      </c>
      <c r="B20" s="65">
        <v>31</v>
      </c>
      <c r="C20" s="65">
        <v>28</v>
      </c>
      <c r="D20" s="65">
        <v>31</v>
      </c>
      <c r="E20" s="65">
        <v>30</v>
      </c>
      <c r="F20" s="65">
        <v>31</v>
      </c>
      <c r="G20" s="65">
        <v>30</v>
      </c>
      <c r="H20" s="65">
        <v>31</v>
      </c>
      <c r="I20" s="65">
        <v>31</v>
      </c>
      <c r="J20" s="65">
        <v>30</v>
      </c>
      <c r="K20" s="65">
        <v>31</v>
      </c>
      <c r="L20" s="161">
        <v>30</v>
      </c>
      <c r="M20" s="174">
        <v>31</v>
      </c>
    </row>
    <row r="21" spans="1:17" s="8" customFormat="1" ht="11.25" customHeight="1">
      <c r="A21" s="9" t="s">
        <v>15</v>
      </c>
      <c r="B21" s="66">
        <f>B12/B20</f>
        <v>0.16129032258064516</v>
      </c>
      <c r="C21" s="66">
        <f t="shared" ref="C21:M21" si="5">C12/C20</f>
        <v>0.2857142857142857</v>
      </c>
      <c r="D21" s="66">
        <f>D12/D20</f>
        <v>0.41935483870967744</v>
      </c>
      <c r="E21" s="66">
        <f>E12/E20</f>
        <v>0.4</v>
      </c>
      <c r="F21" s="66">
        <f>F12/F20</f>
        <v>0.19354838709677419</v>
      </c>
      <c r="G21" s="66">
        <f>G12/G20</f>
        <v>0.4</v>
      </c>
      <c r="H21" s="66">
        <f t="shared" si="5"/>
        <v>0.19354838709677419</v>
      </c>
      <c r="I21" s="66">
        <f t="shared" si="5"/>
        <v>0.32258064516129031</v>
      </c>
      <c r="J21" s="66">
        <f t="shared" si="5"/>
        <v>0.36666666666666664</v>
      </c>
      <c r="K21" s="66">
        <f t="shared" si="5"/>
        <v>0.19354838709677419</v>
      </c>
      <c r="L21" s="162">
        <f t="shared" si="5"/>
        <v>0.13333333333333333</v>
      </c>
      <c r="M21" s="175">
        <f t="shared" si="5"/>
        <v>6.4516129032258063E-2</v>
      </c>
    </row>
    <row r="22" spans="1:17" s="8" customFormat="1" ht="11.25" customHeight="1">
      <c r="A22" s="9" t="s">
        <v>130</v>
      </c>
      <c r="B22" s="67">
        <f t="shared" ref="B22:G22" si="6">IFERROR(B12/B7,0)</f>
        <v>0.41666666666666669</v>
      </c>
      <c r="C22" s="67">
        <f t="shared" si="6"/>
        <v>0.61538461538461542</v>
      </c>
      <c r="D22" s="67">
        <f t="shared" si="6"/>
        <v>0.52</v>
      </c>
      <c r="E22" s="67">
        <f t="shared" si="6"/>
        <v>0.70588235294117652</v>
      </c>
      <c r="F22" s="67">
        <f t="shared" si="6"/>
        <v>0.4</v>
      </c>
      <c r="G22" s="67">
        <f t="shared" si="6"/>
        <v>0.63157894736842102</v>
      </c>
      <c r="H22" s="67">
        <f t="shared" ref="H22:M22" si="7">IFERROR(H12/H7,0)</f>
        <v>0.5</v>
      </c>
      <c r="I22" s="67">
        <f t="shared" si="7"/>
        <v>0.4</v>
      </c>
      <c r="J22" s="67">
        <f t="shared" si="7"/>
        <v>0.47826086956521741</v>
      </c>
      <c r="K22" s="116">
        <f t="shared" si="7"/>
        <v>0.35294117647058826</v>
      </c>
      <c r="L22" s="67">
        <f t="shared" si="7"/>
        <v>0.25</v>
      </c>
      <c r="M22" s="176">
        <f t="shared" si="7"/>
        <v>0.125</v>
      </c>
      <c r="N22" s="1"/>
    </row>
    <row r="23" spans="1:17" s="8" customFormat="1" ht="11.25" customHeight="1" thickBot="1">
      <c r="A23" s="9" t="s">
        <v>53</v>
      </c>
      <c r="B23" s="67">
        <f t="shared" ref="B23:G23" si="8">IFERROR(B12/(B11+B12),0)</f>
        <v>0.83333333333333337</v>
      </c>
      <c r="C23" s="67">
        <f t="shared" si="8"/>
        <v>1</v>
      </c>
      <c r="D23" s="67">
        <f t="shared" si="8"/>
        <v>0.9285714285714286</v>
      </c>
      <c r="E23" s="67">
        <f t="shared" si="8"/>
        <v>0.8571428571428571</v>
      </c>
      <c r="F23" s="67">
        <f t="shared" si="8"/>
        <v>0.54545454545454541</v>
      </c>
      <c r="G23" s="67">
        <f t="shared" si="8"/>
        <v>1</v>
      </c>
      <c r="H23" s="67">
        <f t="shared" ref="H23:M23" si="9">IFERROR(H12/(H11+H12),0)</f>
        <v>0.8571428571428571</v>
      </c>
      <c r="I23" s="67">
        <f t="shared" si="9"/>
        <v>1</v>
      </c>
      <c r="J23" s="67">
        <f t="shared" si="9"/>
        <v>0.91666666666666663</v>
      </c>
      <c r="K23" s="117">
        <f t="shared" si="9"/>
        <v>0.66666666666666663</v>
      </c>
      <c r="L23" s="163">
        <f t="shared" si="9"/>
        <v>0.44444444444444442</v>
      </c>
      <c r="M23" s="177">
        <f t="shared" si="9"/>
        <v>0.22222222222222221</v>
      </c>
      <c r="N23" s="4"/>
    </row>
    <row r="24" spans="1:17" s="8" customFormat="1" ht="11.25" customHeight="1" thickBot="1">
      <c r="A24" s="56" t="s">
        <v>21</v>
      </c>
      <c r="B24" s="50">
        <v>41275</v>
      </c>
      <c r="C24" s="47">
        <v>41306</v>
      </c>
      <c r="D24" s="47">
        <v>41334</v>
      </c>
      <c r="E24" s="47">
        <v>41365</v>
      </c>
      <c r="F24" s="47">
        <v>41395</v>
      </c>
      <c r="G24" s="47">
        <v>41426</v>
      </c>
      <c r="H24" s="47">
        <v>41456</v>
      </c>
      <c r="I24" s="47">
        <v>41487</v>
      </c>
      <c r="J24" s="47">
        <v>41518</v>
      </c>
      <c r="K24" s="47">
        <v>41548</v>
      </c>
      <c r="L24" s="47">
        <v>41579</v>
      </c>
      <c r="M24" s="51">
        <v>41609</v>
      </c>
    </row>
    <row r="25" spans="1:17" s="8" customFormat="1" ht="11.25" customHeight="1">
      <c r="A25" s="18" t="s">
        <v>5</v>
      </c>
      <c r="B25" s="68">
        <f>COUNTIFS(Jan!$B:$B,2253,Jan!$J:$J,18)</f>
        <v>1</v>
      </c>
      <c r="C25" s="68">
        <f>COUNTIFS(Feb!$B:$B,2253,Feb!$J:$J,18)</f>
        <v>0</v>
      </c>
      <c r="D25" s="68">
        <f>COUNTIFS(Mar!$B:$B,2253,Mar!$J:$J,18)</f>
        <v>0</v>
      </c>
      <c r="E25" s="68">
        <v>2</v>
      </c>
      <c r="F25" s="68">
        <f>COUNTIFS(May!$B:$B,2253,May!$J:$J,18)</f>
        <v>0</v>
      </c>
      <c r="G25" s="68">
        <v>9</v>
      </c>
      <c r="H25" s="68">
        <v>1</v>
      </c>
      <c r="I25" s="68">
        <v>5</v>
      </c>
      <c r="J25" s="68">
        <v>3</v>
      </c>
      <c r="K25" s="68">
        <v>2</v>
      </c>
      <c r="L25" s="68">
        <v>1</v>
      </c>
      <c r="M25" s="68">
        <v>3</v>
      </c>
    </row>
    <row r="26" spans="1:17" s="8" customFormat="1" ht="11.25" customHeight="1">
      <c r="A26" s="46" t="s">
        <v>40</v>
      </c>
      <c r="B26" s="57">
        <f>COUNTIFS(Jan!$B:$B,2253,Jan!$J:$J,41)</f>
        <v>0</v>
      </c>
      <c r="C26" s="57">
        <f>COUNTIFS(Feb!$B:$B,2253,Feb!$J:$J,41)</f>
        <v>0</v>
      </c>
      <c r="D26" s="57">
        <f>COUNTIFS(Mar!$B:$B,2253,Mar!$J:$J,41)</f>
        <v>0</v>
      </c>
      <c r="E26" s="57">
        <f>COUNTIFS(Apr!$B:$B,2253,Apr!$J:$J,41)</f>
        <v>0</v>
      </c>
      <c r="F26" s="57">
        <f>COUNTIFS(May!$B:$B,2253,May!$J:$J,41)</f>
        <v>0</v>
      </c>
      <c r="G26" s="57">
        <f>COUNTIFS(Jun!$B:$B,2253,Jun!$J:$J,41)</f>
        <v>0</v>
      </c>
      <c r="H26" s="57">
        <f>COUNTIFS(Jul!$B:$B,2253,Jul!$J:$J,41)</f>
        <v>0</v>
      </c>
      <c r="I26" s="57">
        <f>COUNTIFS(Aug!$B:$B,2253,Aug!$J:$J,41)</f>
        <v>0</v>
      </c>
      <c r="J26" s="57">
        <v>2</v>
      </c>
      <c r="K26" s="57">
        <f>COUNTIFS(Oct!$B:$B,2253,Oct!$J:$J,41)</f>
        <v>0</v>
      </c>
      <c r="L26" s="57">
        <f>COUNTIFS(Nov!$B:$B,2253,Nov!$J:$J,41)</f>
        <v>0</v>
      </c>
      <c r="M26" s="57">
        <v>0</v>
      </c>
    </row>
    <row r="27" spans="1:17" s="8" customFormat="1" ht="11.25" customHeight="1">
      <c r="A27" s="9" t="s">
        <v>11</v>
      </c>
      <c r="B27" s="179">
        <f>COUNTIFS(Jan!$B:$B,2253,Jan!$J:$J,17)</f>
        <v>3</v>
      </c>
      <c r="C27" s="206">
        <v>1</v>
      </c>
      <c r="D27" s="206">
        <v>1</v>
      </c>
      <c r="E27" s="206">
        <v>4</v>
      </c>
      <c r="F27" s="206">
        <v>3</v>
      </c>
      <c r="G27" s="206">
        <v>1</v>
      </c>
      <c r="H27" s="206">
        <v>2</v>
      </c>
      <c r="I27" s="206">
        <v>7</v>
      </c>
      <c r="J27" s="206">
        <v>10</v>
      </c>
      <c r="K27" s="179">
        <f>COUNTIFS(Oct!$B:$B,2253,Oct!$J:$J,17)</f>
        <v>0</v>
      </c>
      <c r="L27" s="206">
        <v>2</v>
      </c>
      <c r="M27" s="206">
        <v>3</v>
      </c>
    </row>
    <row r="28" spans="1:17" s="8" customFormat="1" ht="11.25" customHeight="1">
      <c r="A28" s="9" t="s">
        <v>143</v>
      </c>
      <c r="B28" s="59">
        <f>COUNTIFS(Jan!$B:$B,2253,Jan!$F:$F,455)</f>
        <v>0</v>
      </c>
      <c r="C28" s="59">
        <f>COUNTIFS(Feb!$B:$B,2253,Feb!$F:$F,455)</f>
        <v>0</v>
      </c>
      <c r="D28" s="59">
        <f>COUNTIFS(Mar!$B:$B,2253,Mar!$F:$F,455)</f>
        <v>0</v>
      </c>
      <c r="E28" s="59">
        <f>COUNTIFS(Apr!$B:$B,2253,Apr!$F:$F,455)</f>
        <v>0</v>
      </c>
      <c r="F28" s="59">
        <f>COUNTIFS(May!$B:$B,2253,May!$F:$F,455)</f>
        <v>0</v>
      </c>
      <c r="G28" s="59">
        <f>COUNTIFS(Jun!$B:$B,2253,Jun!$F:$F,455)</f>
        <v>0</v>
      </c>
      <c r="H28" s="59">
        <f>COUNTIFS(Jul!$B:$B,2253,Jul!$F:$F,455)</f>
        <v>0</v>
      </c>
      <c r="I28" s="59">
        <f>COUNTIFS(Aug!$B:$B,2253,Aug!$F:$F,455)</f>
        <v>0</v>
      </c>
      <c r="J28" s="59">
        <f>COUNTIFS(Sep!$B:$B,2253,Sep!$F:$F,455)</f>
        <v>0</v>
      </c>
      <c r="K28" s="59">
        <f>COUNTIFS(Oct!$B:$B,2253,Oct!$F:$F,455)</f>
        <v>0</v>
      </c>
      <c r="L28" s="59">
        <f>COUNTIFS(Nov!$B:$B,2253,Nov!$F:$F,455)</f>
        <v>0</v>
      </c>
      <c r="M28" s="59">
        <v>0</v>
      </c>
    </row>
    <row r="29" spans="1:17" s="8" customFormat="1" ht="11.25" customHeight="1">
      <c r="A29" s="9" t="s">
        <v>23</v>
      </c>
      <c r="B29" s="59">
        <f>COUNTIFS(Jan!$B:$B,2253,Jan!$J:$J,31)</f>
        <v>0</v>
      </c>
      <c r="C29" s="59">
        <f>COUNTIFS(Feb!$B:$B,2253,Feb!$J:$J,31)</f>
        <v>0</v>
      </c>
      <c r="D29" s="59">
        <f>COUNTIFS(Mar!$B:$B,2253,Mar!$J:$J,31)</f>
        <v>0</v>
      </c>
      <c r="E29" s="59">
        <f>COUNTIFS(Apr!$B:$B,2253,Apr!$J:$J,31)</f>
        <v>0</v>
      </c>
      <c r="F29" s="59">
        <f>COUNTIFS(May!$B:$B,2253,May!$J:$J,31)</f>
        <v>0</v>
      </c>
      <c r="G29" s="59">
        <f>COUNTIFS(Jun!$B:$B,2253,Jun!$J:$J,31)</f>
        <v>0</v>
      </c>
      <c r="H29" s="59">
        <f>COUNTIFS(Jul!$B:$B,2253,Jul!$J:$J,31)</f>
        <v>0</v>
      </c>
      <c r="I29" s="59">
        <f>COUNTIFS(Aug!$B:$B,2253,Aug!$J:$J,31)</f>
        <v>0</v>
      </c>
      <c r="J29" s="59">
        <f>COUNTIFS(Sep!$B:$B,2253,Sep!$J:$J,31)</f>
        <v>0</v>
      </c>
      <c r="K29" s="59">
        <f>COUNTIFS(Oct!$B:$B,2253,Oct!$J:$J,31)</f>
        <v>0</v>
      </c>
      <c r="L29" s="59">
        <f>COUNTIFS(Nov!$B:$B,2253,Nov!$J:$J,31)</f>
        <v>0</v>
      </c>
      <c r="M29" s="59">
        <v>0</v>
      </c>
    </row>
    <row r="30" spans="1:17" s="8" customFormat="1" ht="11.25" customHeight="1">
      <c r="A30" s="9" t="s">
        <v>37</v>
      </c>
      <c r="B30" s="59">
        <f>COUNTIFS(Jan!$B:$B,2253,Jan!$J:$J,4400)</f>
        <v>0</v>
      </c>
      <c r="C30" s="59">
        <f>COUNTIFS(Feb!$B:$B,2253,Feb!$J:$J,4400)</f>
        <v>0</v>
      </c>
      <c r="D30" s="59">
        <f>COUNTIFS(Mar!$B:$B,2253,Mar!$J:$J,4400)</f>
        <v>0</v>
      </c>
      <c r="E30" s="59">
        <f>COUNTIFS(Apr!$B:$B,2253,Apr!$J:$J,4400)</f>
        <v>0</v>
      </c>
      <c r="F30" s="59">
        <f>COUNTIFS(May!$B:$B,2253,May!$J:$J,4400)</f>
        <v>0</v>
      </c>
      <c r="G30" s="59">
        <f>COUNTIFS(Jun!$B:$B,2253,Jun!$J:$J,4400)</f>
        <v>0</v>
      </c>
      <c r="H30" s="59">
        <f>COUNTIFS(Jul!$B:$B,2253,Jul!$J:$J,4400)</f>
        <v>0</v>
      </c>
      <c r="I30" s="59">
        <f>COUNTIFS(Aug!$B:$B,2253,Aug!$J:$J,4400)</f>
        <v>0</v>
      </c>
      <c r="J30" s="59">
        <f>COUNTIFS(Sep!$B:$B,2253,Sep!$J:$J,4400)</f>
        <v>0</v>
      </c>
      <c r="K30" s="59">
        <f>COUNTIFS(Oct!$B:$B,2253,Oct!$J:$J,4400)</f>
        <v>0</v>
      </c>
      <c r="L30" s="59">
        <f>COUNTIFS(Nov!$B:$B,2253,Nov!$J:$J,4400)</f>
        <v>0</v>
      </c>
      <c r="M30" s="59">
        <v>0</v>
      </c>
    </row>
    <row r="31" spans="1:17" s="8" customFormat="1" ht="11.25" customHeight="1">
      <c r="A31" s="10" t="s">
        <v>24</v>
      </c>
      <c r="B31" s="59">
        <f>COUNTIFS(Jan!$B:$B,2253,Jan!$J:$J,30)</f>
        <v>0</v>
      </c>
      <c r="C31" s="59">
        <f>COUNTIFS(Feb!$B:$B,2253,Feb!$J:$J,30)</f>
        <v>0</v>
      </c>
      <c r="D31" s="59">
        <f>COUNTIFS(Mar!$B:$B,2253,Mar!$J:$J,30)</f>
        <v>0</v>
      </c>
      <c r="E31" s="59">
        <f>COUNTIFS(Apr!$B:$B,2253,Apr!$J:$J,30)</f>
        <v>0</v>
      </c>
      <c r="F31" s="59">
        <f>COUNTIFS(May!$B:$B,2253,May!$J:$J,30)</f>
        <v>0</v>
      </c>
      <c r="G31" s="59">
        <f>COUNTIFS(Jun!$B:$B,2253,Jun!$J:$J,30)</f>
        <v>0</v>
      </c>
      <c r="H31" s="59">
        <f>COUNTIFS(Jul!$B:$B,2253,Jul!$J:$J,30)</f>
        <v>0</v>
      </c>
      <c r="I31" s="59">
        <f>COUNTIFS(Aug!$B:$B,2253,Aug!$J:$J,30)</f>
        <v>0</v>
      </c>
      <c r="J31" s="59">
        <f>COUNTIFS(Sep!$B:$B,2253,Sep!$J:$J,30)</f>
        <v>0</v>
      </c>
      <c r="K31" s="59">
        <f>COUNTIFS(Oct!$B:$B,2253,Oct!$J:$J,30)</f>
        <v>0</v>
      </c>
      <c r="L31" s="59">
        <f>COUNTIFS(Nov!$B:$B,2253,Nov!$J:$J,30)</f>
        <v>0</v>
      </c>
      <c r="M31" s="59">
        <v>0</v>
      </c>
    </row>
    <row r="32" spans="1:17" s="14" customFormat="1" ht="11.25" customHeight="1" thickBot="1">
      <c r="A32" s="2" t="s">
        <v>140</v>
      </c>
      <c r="B32" s="60">
        <f>SUM(B25:B31)</f>
        <v>4</v>
      </c>
      <c r="C32" s="60">
        <f t="shared" ref="C32:M32" si="10">SUM(C25:C31)</f>
        <v>1</v>
      </c>
      <c r="D32" s="60">
        <f>SUM(D25:D31)</f>
        <v>1</v>
      </c>
      <c r="E32" s="60">
        <f>SUM(E25:E31)</f>
        <v>6</v>
      </c>
      <c r="F32" s="60">
        <f>SUM(F25:F31)</f>
        <v>3</v>
      </c>
      <c r="G32" s="60">
        <f>SUM(G25:G31)</f>
        <v>10</v>
      </c>
      <c r="H32" s="60">
        <f t="shared" si="10"/>
        <v>3</v>
      </c>
      <c r="I32" s="60">
        <f t="shared" si="10"/>
        <v>12</v>
      </c>
      <c r="J32" s="60">
        <f t="shared" si="10"/>
        <v>15</v>
      </c>
      <c r="K32" s="60">
        <f t="shared" si="10"/>
        <v>2</v>
      </c>
      <c r="L32" s="159">
        <f t="shared" si="10"/>
        <v>3</v>
      </c>
      <c r="M32" s="170">
        <f t="shared" si="10"/>
        <v>6</v>
      </c>
    </row>
    <row r="33" spans="1:13" ht="12" customHeight="1" thickBot="1">
      <c r="A33" s="55" t="s">
        <v>136</v>
      </c>
      <c r="B33" s="50">
        <v>41275</v>
      </c>
      <c r="C33" s="47">
        <v>41306</v>
      </c>
      <c r="D33" s="47">
        <v>41334</v>
      </c>
      <c r="E33" s="47">
        <v>41365</v>
      </c>
      <c r="F33" s="47">
        <v>41395</v>
      </c>
      <c r="G33" s="47">
        <v>41426</v>
      </c>
      <c r="H33" s="47">
        <v>41456</v>
      </c>
      <c r="I33" s="47">
        <v>41487</v>
      </c>
      <c r="J33" s="47">
        <v>41518</v>
      </c>
      <c r="K33" s="47">
        <v>41548</v>
      </c>
      <c r="L33" s="47">
        <v>41579</v>
      </c>
      <c r="M33" s="51">
        <v>41609</v>
      </c>
    </row>
    <row r="34" spans="1:13" s="8" customFormat="1" ht="11.25" customHeight="1">
      <c r="A34" s="46" t="s">
        <v>33</v>
      </c>
      <c r="B34" s="57">
        <f>COUNTIFS(Jan!$B:$B,2253,Jan!$J:$J,40)</f>
        <v>0</v>
      </c>
      <c r="C34" s="57">
        <f>COUNTIFS(Feb!$B:$B,2253,Feb!$J:$J,40)</f>
        <v>0</v>
      </c>
      <c r="D34" s="57">
        <f>COUNTIFS(Mar!$B:$B,2253,Mar!$J:$J,40)</f>
        <v>0</v>
      </c>
      <c r="E34" s="57">
        <f>COUNTIFS(Apr!$B:$B,2253,Apr!$J:$J,40)</f>
        <v>0</v>
      </c>
      <c r="F34" s="57">
        <f>COUNTIFS(May!$B:$B,2253,May!$J:$J,40)</f>
        <v>0</v>
      </c>
      <c r="G34" s="57">
        <f>COUNTIFS(Jun!$B:$B,2253,Jun!$J:$J,40)</f>
        <v>0</v>
      </c>
      <c r="H34" s="57">
        <f>COUNTIFS(Jul!$B:$B,2253,Jul!$J:$J,40)</f>
        <v>0</v>
      </c>
      <c r="I34" s="57">
        <f>COUNTIFS(Aug!$B:$B,2253,Aug!$J:$J,40)</f>
        <v>0</v>
      </c>
      <c r="J34" s="57">
        <f>COUNTIFS(Sep!$B:$B,2253,Sep!$J:$J,40)</f>
        <v>0</v>
      </c>
      <c r="K34" s="57">
        <f>COUNTIFS(Oct!$B:$B,2253,Oct!$J:$J,40)</f>
        <v>0</v>
      </c>
      <c r="L34" s="57">
        <f>COUNTIFS(Nov!$B:$B,2253,Nov!$J:$J,40)</f>
        <v>0</v>
      </c>
      <c r="M34" s="57">
        <v>0</v>
      </c>
    </row>
    <row r="35" spans="1:13" s="8" customFormat="1" ht="11.25" customHeight="1">
      <c r="A35" s="10" t="s">
        <v>4</v>
      </c>
      <c r="B35" s="59">
        <f>COUNTIFS(Jan!$B:$B,2253,Jan!$J:$J,15)</f>
        <v>0</v>
      </c>
      <c r="C35" s="59">
        <f>COUNTIFS(Feb!$B:$B,2253,Feb!$J:$J,15)</f>
        <v>0</v>
      </c>
      <c r="D35" s="59">
        <f>COUNTIFS(Mar!$B:$B,2253,Mar!$J:$J,15)</f>
        <v>0</v>
      </c>
      <c r="E35" s="59">
        <f>COUNTIFS(Apr!$B:$B,2253,Apr!$J:$J,15)</f>
        <v>0</v>
      </c>
      <c r="F35" s="59">
        <f>COUNTIFS(May!$B:$B,2253,May!$J:$J,15)</f>
        <v>0</v>
      </c>
      <c r="G35" s="59">
        <f>COUNTIFS(Jun!$B:$B,2253,Jun!$J:$J,15)</f>
        <v>0</v>
      </c>
      <c r="H35" s="59">
        <f>COUNTIFS(Jul!$B:$B,2253,Jul!$J:$J,15)</f>
        <v>0</v>
      </c>
      <c r="I35" s="59">
        <f>COUNTIFS(Aug!$B:$B,2253,Aug!$J:$J,15)</f>
        <v>0</v>
      </c>
      <c r="J35" s="59">
        <f>COUNTIFS(Sep!$B:$B,2253,Sep!$J:$J,15)</f>
        <v>0</v>
      </c>
      <c r="K35" s="59">
        <f>COUNTIFS(Oct!$B:$B,2253,Oct!$J:$J,15)</f>
        <v>0</v>
      </c>
      <c r="L35" s="59">
        <f>COUNTIFS(Nov!$B:$B,2253,Nov!$J:$J,15)</f>
        <v>0</v>
      </c>
      <c r="M35" s="59">
        <v>0</v>
      </c>
    </row>
    <row r="36" spans="1:13" s="8" customFormat="1" ht="11.25" customHeight="1">
      <c r="A36" s="10" t="s">
        <v>39</v>
      </c>
      <c r="B36" s="59">
        <f>COUNTIFS(Jan!$B:$B,2253,Jan!$J:$J,29)</f>
        <v>0</v>
      </c>
      <c r="C36" s="59">
        <v>1</v>
      </c>
      <c r="D36" s="59">
        <v>2</v>
      </c>
      <c r="E36" s="59">
        <v>3</v>
      </c>
      <c r="F36" s="59">
        <f>COUNTIFS(May!$B:$B,2253,May!$J:$J,29)</f>
        <v>0</v>
      </c>
      <c r="G36" s="59">
        <f>COUNTIFS(Jun!$B:$B,2253,Jun!$J:$J,29)</f>
        <v>0</v>
      </c>
      <c r="H36" s="59">
        <v>2</v>
      </c>
      <c r="I36" s="59">
        <v>1</v>
      </c>
      <c r="J36" s="59">
        <f>COUNTIFS(Sep!$B:$B,2253,Sep!$J:$J,29)</f>
        <v>0</v>
      </c>
      <c r="K36" s="59">
        <v>2</v>
      </c>
      <c r="L36" s="59">
        <v>1</v>
      </c>
      <c r="M36" s="59">
        <v>1</v>
      </c>
    </row>
    <row r="37" spans="1:13" s="8" customFormat="1" ht="11.25" customHeight="1">
      <c r="A37" s="10" t="s">
        <v>3</v>
      </c>
      <c r="B37" s="59">
        <f>COUNTIFS(Jan!$B:$B,2253,Jan!$J:$J,13)</f>
        <v>0</v>
      </c>
      <c r="C37" s="59">
        <f>COUNTIFS(Feb!$B:$B,2253,Feb!$J:$J,13)</f>
        <v>0</v>
      </c>
      <c r="D37" s="59">
        <f>COUNTIFS(Mar!$B:$B,2253,Mar!$J:$J,13)</f>
        <v>0</v>
      </c>
      <c r="E37" s="59">
        <f>COUNTIFS(Apr!$B:$B,2253,Apr!$J:$J,13)</f>
        <v>0</v>
      </c>
      <c r="F37" s="59">
        <f>COUNTIFS(May!$B:$B,2253,May!$J:$J,13)</f>
        <v>0</v>
      </c>
      <c r="G37" s="59">
        <f>COUNTIFS(Jun!$B:$B,2253,Jun!$J:$J,13)</f>
        <v>0</v>
      </c>
      <c r="H37" s="59">
        <f>COUNTIFS(Jul!$B:$B,2253,Jul!$J:$J,13)</f>
        <v>0</v>
      </c>
      <c r="I37" s="59">
        <f>COUNTIFS(Aug!$B:$B,2253,Aug!$J:$J,13)</f>
        <v>0</v>
      </c>
      <c r="J37" s="59">
        <f>COUNTIFS(Sep!$B:$B,2253,Sep!$J:$J,13)</f>
        <v>0</v>
      </c>
      <c r="K37" s="59">
        <v>1</v>
      </c>
      <c r="L37" s="59">
        <f>COUNTIFS(Nov!$B:$B,2253,Nov!$J:$J,13)</f>
        <v>0</v>
      </c>
      <c r="M37" s="59">
        <v>0</v>
      </c>
    </row>
    <row r="38" spans="1:13" s="8" customFormat="1" ht="11.25" customHeight="1">
      <c r="A38" s="9" t="s">
        <v>218</v>
      </c>
      <c r="B38" s="59">
        <f>COUNTIFS(Jan!$B:$B,2253,Jan!$J:$J,43)</f>
        <v>2</v>
      </c>
      <c r="C38" s="59">
        <f>COUNTIFS(Feb!$B:$B,2253,Feb!$J:$J,43)</f>
        <v>0</v>
      </c>
      <c r="D38" s="59">
        <v>1</v>
      </c>
      <c r="E38" s="59">
        <f>COUNTIFS(Apr!$B:$B,2253,Apr!$J:$J,43)</f>
        <v>0</v>
      </c>
      <c r="F38" s="59">
        <f>COUNTIFS(May!$B:$B,2253,May!$J:$J,43)</f>
        <v>0</v>
      </c>
      <c r="G38" s="59">
        <v>1</v>
      </c>
      <c r="H38" s="59">
        <v>1</v>
      </c>
      <c r="I38" s="59">
        <v>2</v>
      </c>
      <c r="J38" s="59">
        <v>3</v>
      </c>
      <c r="K38" s="59">
        <v>2</v>
      </c>
      <c r="L38" s="59">
        <f>COUNTIFS(Nov!$B:$B,2253,Nov!$J:$J,43)</f>
        <v>0</v>
      </c>
      <c r="M38" s="59">
        <v>0</v>
      </c>
    </row>
    <row r="39" spans="1:13" s="8" customFormat="1" ht="11.25" customHeight="1">
      <c r="A39" s="10" t="s">
        <v>25</v>
      </c>
      <c r="B39" s="59">
        <f>COUNTIFS(Jan!$B:$B,2253,Jan!$J:$J,24)</f>
        <v>3</v>
      </c>
      <c r="C39" s="59">
        <f>COUNTIFS(Feb!$B:$B,2253,Feb!$J:$J,24)</f>
        <v>0</v>
      </c>
      <c r="D39" s="59">
        <v>4</v>
      </c>
      <c r="E39" s="59">
        <f>COUNTIFS(Apr!$B:$B,2253,Apr!$J:$J,24)</f>
        <v>0</v>
      </c>
      <c r="F39" s="59">
        <f>COUNTIFS(May!$B:$B,2253,May!$J:$J,24)</f>
        <v>0</v>
      </c>
      <c r="G39" s="59">
        <v>1</v>
      </c>
      <c r="H39" s="59">
        <v>1</v>
      </c>
      <c r="I39" s="59">
        <v>3</v>
      </c>
      <c r="J39" s="59">
        <v>1</v>
      </c>
      <c r="K39" s="59">
        <v>2</v>
      </c>
      <c r="L39" s="59">
        <f>COUNTIFS(Nov!$B:$B,2253,Nov!$J:$J,24)</f>
        <v>0</v>
      </c>
      <c r="M39" s="59">
        <v>1</v>
      </c>
    </row>
    <row r="40" spans="1:13" s="8" customFormat="1" ht="11.25" customHeight="1">
      <c r="A40" s="10" t="s">
        <v>34</v>
      </c>
      <c r="B40" s="59">
        <f>COUNTIFS(Jan!$B:$B,2253,Jan!$J:$J,9)</f>
        <v>0</v>
      </c>
      <c r="C40" s="59">
        <f>COUNTIFS(Feb!$B:$B,2253,Feb!$J:$J,9)</f>
        <v>0</v>
      </c>
      <c r="D40" s="59">
        <f>COUNTIFS(Mar!$B:$B,2253,Mar!$J:$J,9)</f>
        <v>0</v>
      </c>
      <c r="E40" s="59">
        <f>COUNTIFS(Apr!$B:$B,2253,Apr!$J:$J,9)</f>
        <v>0</v>
      </c>
      <c r="F40" s="59">
        <f>COUNTIFS(May!$B:$B,2253,May!$J:$J,9)</f>
        <v>0</v>
      </c>
      <c r="G40" s="59">
        <f>COUNTIFS(Jun!$B:$B,2253,Jun!$J:$J,9)</f>
        <v>0</v>
      </c>
      <c r="H40" s="59">
        <f>COUNTIFS(Jul!$B:$B,2253,Jul!$J:$J,9)</f>
        <v>0</v>
      </c>
      <c r="I40" s="59">
        <f>COUNTIFS(Aug!$B:$B,2253,Aug!$J:$J,9)</f>
        <v>0</v>
      </c>
      <c r="J40" s="59">
        <f>COUNTIFS(Sep!$B:$B,2253,Sep!$J:$J,9)</f>
        <v>0</v>
      </c>
      <c r="K40" s="59">
        <f>COUNTIFS(Oct!$B:$B,2253,Oct!$J:$J,9)</f>
        <v>0</v>
      </c>
      <c r="L40" s="59">
        <f>COUNTIFS(Nov!$B:$B,2253,Nov!$J:$J,9)</f>
        <v>0</v>
      </c>
      <c r="M40" s="59">
        <v>0</v>
      </c>
    </row>
    <row r="41" spans="1:13" s="8" customFormat="1" ht="11.25" customHeight="1">
      <c r="A41" s="10" t="s">
        <v>31</v>
      </c>
      <c r="B41" s="59">
        <f>COUNTIFS(Jan!$B:$B,2253,Jan!$J:$J,10)</f>
        <v>0</v>
      </c>
      <c r="C41" s="59">
        <f>COUNTIFS(Feb!$B:$B,2253,Feb!$J:$J,10)</f>
        <v>0</v>
      </c>
      <c r="D41" s="59">
        <v>1</v>
      </c>
      <c r="E41" s="59">
        <f>COUNTIFS(Apr!$B:$B,2253,Apr!$J:$J,10)</f>
        <v>0</v>
      </c>
      <c r="F41" s="59">
        <f>COUNTIFS(May!$B:$B,2253,May!$J:$J,10)</f>
        <v>0</v>
      </c>
      <c r="G41" s="59">
        <v>1</v>
      </c>
      <c r="H41" s="59">
        <f>COUNTIFS(Jul!$B:$B,2253,Jul!$J:$J,10)</f>
        <v>0</v>
      </c>
      <c r="I41" s="59">
        <v>1</v>
      </c>
      <c r="J41" s="59">
        <v>2</v>
      </c>
      <c r="K41" s="59">
        <f>COUNTIFS(Oct!$B:$B,2253,Oct!$J:$J,10)</f>
        <v>0</v>
      </c>
      <c r="L41" s="59">
        <v>2</v>
      </c>
      <c r="M41" s="59">
        <v>0</v>
      </c>
    </row>
    <row r="42" spans="1:13" s="8" customFormat="1" ht="11.25" customHeight="1">
      <c r="A42" s="10" t="s">
        <v>144</v>
      </c>
      <c r="B42" s="59">
        <f>COUNTIFS(Jan!$B:$B,2253,Jan!$F:$F,462)</f>
        <v>0</v>
      </c>
      <c r="C42" s="59">
        <f>COUNTIFS(Feb!$B:$B,2253,Feb!$F:$F,462)</f>
        <v>0</v>
      </c>
      <c r="D42" s="59">
        <f>COUNTIFS(Mar!$B:$B,2253,Mar!$F:$F,462)</f>
        <v>0</v>
      </c>
      <c r="E42" s="59">
        <f>COUNTIFS(Apr!$B:$B,2253,Apr!$F:$F,462)</f>
        <v>0</v>
      </c>
      <c r="F42" s="59">
        <f>COUNTIFS(May!$B:$B,2253,May!$F:$F,462)</f>
        <v>0</v>
      </c>
      <c r="G42" s="59">
        <f>COUNTIFS(Jun!$B:$B,2253,Jun!$F:$F,462)</f>
        <v>0</v>
      </c>
      <c r="H42" s="59">
        <f>COUNTIFS(Jul!$B:$B,2253,Jul!$F:$F,462)</f>
        <v>0</v>
      </c>
      <c r="I42" s="59">
        <f>COUNTIFS(Aug!$B:$B,2253,Aug!$F:$F,462)</f>
        <v>0</v>
      </c>
      <c r="J42" s="59">
        <f>COUNTIFS(Sep!$B:$B,2253,Sep!$F:$F,462)</f>
        <v>0</v>
      </c>
      <c r="K42" s="59">
        <f>COUNTIFS(Oct!$B:$B,2253,Oct!$F:$F,462)</f>
        <v>0</v>
      </c>
      <c r="L42" s="59">
        <f>COUNTIFS(Nov!$B:$B,2253,Nov!$F:$F,462)</f>
        <v>0</v>
      </c>
      <c r="M42" s="59">
        <v>0</v>
      </c>
    </row>
    <row r="43" spans="1:13" s="8" customFormat="1" ht="11.25" customHeight="1">
      <c r="A43" s="10" t="s">
        <v>1</v>
      </c>
      <c r="B43" s="59">
        <f>COUNTIFS(Jan!$B:$B,2253,Jan!$J:$J,11)</f>
        <v>0</v>
      </c>
      <c r="C43" s="59">
        <f>COUNTIFS(Feb!$B:$B,2253,Feb!$J:$J,11)</f>
        <v>0</v>
      </c>
      <c r="D43" s="59">
        <f>COUNTIFS(Mar!$B:$B,2253,Mar!$J:$J,11)</f>
        <v>0</v>
      </c>
      <c r="E43" s="59">
        <f>COUNTIFS(Apr!$B:$B,2253,Apr!$J:$J,11)</f>
        <v>0</v>
      </c>
      <c r="F43" s="59">
        <f>COUNTIFS(May!$B:$B,2253,May!$J:$J,11)</f>
        <v>0</v>
      </c>
      <c r="G43" s="59">
        <f>COUNTIFS(Jun!$B:$B,2253,Jun!$J:$J,11)</f>
        <v>0</v>
      </c>
      <c r="H43" s="59">
        <f>COUNTIFS(Jul!$B:$B,2253,Jul!$J:$J,11)</f>
        <v>0</v>
      </c>
      <c r="I43" s="59">
        <f>COUNTIFS(Aug!$B:$B,2253,Aug!$J:$J,11)</f>
        <v>0</v>
      </c>
      <c r="J43" s="59">
        <f>COUNTIFS(Sep!$B:$B,2253,Sep!$J:$J,11)</f>
        <v>0</v>
      </c>
      <c r="K43" s="59">
        <f>COUNTIFS(Oct!$B:$B,2253,Oct!$J:$J,11)</f>
        <v>0</v>
      </c>
      <c r="L43" s="59">
        <v>1</v>
      </c>
      <c r="M43" s="59">
        <v>0</v>
      </c>
    </row>
    <row r="44" spans="1:13" s="8" customFormat="1" ht="11.25" customHeight="1">
      <c r="A44" s="10" t="s">
        <v>26</v>
      </c>
      <c r="B44" s="59">
        <f>COUNTIFS(Jan!$B:$B,2253,Jan!$J:$J,20)</f>
        <v>0</v>
      </c>
      <c r="C44" s="59">
        <f>COUNTIFS(Feb!$B:$B,2253,Feb!$J:$J,20)</f>
        <v>0</v>
      </c>
      <c r="D44" s="59">
        <f>COUNTIFS(Mar!$B:$B,2253,Mar!$J:$J,20)</f>
        <v>0</v>
      </c>
      <c r="E44" s="59">
        <f>COUNTIFS(Apr!$B:$B,2253,Apr!$J:$J,20)</f>
        <v>0</v>
      </c>
      <c r="F44" s="59">
        <f>COUNTIFS(May!$B:$B,2253,May!$J:$J,20)</f>
        <v>0</v>
      </c>
      <c r="G44" s="59">
        <f>COUNTIFS(Jun!$B:$B,2253,Jun!$J:$J,20)</f>
        <v>0</v>
      </c>
      <c r="H44" s="59">
        <f>COUNTIFS(Jul!$B:$B,2253,Jul!$J:$J,20)</f>
        <v>0</v>
      </c>
      <c r="I44" s="59">
        <f>COUNTIFS(Aug!$B:$B,2253,Aug!$J:$J,20)</f>
        <v>0</v>
      </c>
      <c r="J44" s="59">
        <f>COUNTIFS(Sep!$B:$B,2253,Sep!$J:$J,20)</f>
        <v>0</v>
      </c>
      <c r="K44" s="59">
        <f>COUNTIFS(Oct!$B:$B,2253,Oct!$J:$J,20)</f>
        <v>0</v>
      </c>
      <c r="L44" s="59">
        <f>COUNTIFS(Nov!$B:$B,2253,Nov!$J:$J,20)</f>
        <v>0</v>
      </c>
      <c r="M44" s="59">
        <v>0</v>
      </c>
    </row>
    <row r="45" spans="1:13" s="8" customFormat="1" ht="11.25" customHeight="1">
      <c r="A45" s="10" t="s">
        <v>32</v>
      </c>
      <c r="B45" s="59">
        <f>COUNTIFS(Jan!$B:$B,2253,Jan!$J:$J,2)</f>
        <v>1</v>
      </c>
      <c r="C45" s="59">
        <v>3</v>
      </c>
      <c r="D45" s="59">
        <v>3</v>
      </c>
      <c r="E45" s="59">
        <f>COUNTIFS(Apr!$B:$B,2253,Apr!$J:$J,2)</f>
        <v>0</v>
      </c>
      <c r="F45" s="59">
        <v>1</v>
      </c>
      <c r="G45" s="59">
        <v>2</v>
      </c>
      <c r="H45" s="59">
        <v>1</v>
      </c>
      <c r="I45" s="59">
        <v>7</v>
      </c>
      <c r="J45" s="59">
        <v>4</v>
      </c>
      <c r="K45" s="59">
        <v>1</v>
      </c>
      <c r="L45" s="59">
        <v>2</v>
      </c>
      <c r="M45" s="59">
        <v>3</v>
      </c>
    </row>
    <row r="46" spans="1:13" s="8" customFormat="1" ht="11.25" customHeight="1">
      <c r="A46" s="10" t="s">
        <v>28</v>
      </c>
      <c r="B46" s="59">
        <f>COUNTIFS(Jan!$B:$B,2253,Jan!$J:$J,1700)+COUNTIFS(Jan!$B:$B,2253,Jan!$F:$F,1700)+COUNTIFS(Jan!$B:$B,2253,Jan!$J:$J,19)</f>
        <v>0</v>
      </c>
      <c r="C46" s="59">
        <f>COUNTIFS(Feb!$B:$B,2253,Feb!$J:$J,1700)+COUNTIFS(Feb!$B:$B,2253,Feb!$F:$F,1700)+COUNTIFS(Feb!$B:$B,2253,Feb!$J:$J,19)</f>
        <v>0</v>
      </c>
      <c r="D46" s="59">
        <f>COUNTIFS(Mar!$B:$B,2253,Mar!$J:$J,1700)+COUNTIFS(Mar!$B:$B,2253,Mar!$F:$F,1700)+COUNTIFS(Mar!$B:$B,2253,Mar!$J:$J,19)</f>
        <v>0</v>
      </c>
      <c r="E46" s="59">
        <f>COUNTIFS(Apr!$B:$B,2253,Apr!$J:$J,1700)+COUNTIFS(Apr!$B:$B,2253,Apr!$F:$F,1700)+COUNTIFS(Apr!$B:$B,2253,Apr!$J:$J,19)</f>
        <v>0</v>
      </c>
      <c r="F46" s="59">
        <f>COUNTIFS(May!$B:$B,2253,May!$J:$J,1700)+COUNTIFS(May!$B:$B,2253,May!$F:$F,1700)+COUNTIFS(May!$B:$B,2253,May!$J:$J,19)</f>
        <v>0</v>
      </c>
      <c r="G46" s="59">
        <f>COUNTIFS(Jun!$B:$B,2253,Jun!$J:$J,1700)+COUNTIFS(Jun!$B:$B,2253,Jun!$F:$F,1700)+COUNTIFS(Jun!$B:$B,2253,Jun!$J:$J,19)</f>
        <v>0</v>
      </c>
      <c r="H46" s="59">
        <f>COUNTIFS(Jul!$B:$B,2253,Jul!$J:$J,1700)+COUNTIFS(Jul!$B:$B,2253,Jul!$F:$F,1700)+COUNTIFS(Jul!$B:$B,2253,Jul!$J:$J,19)</f>
        <v>0</v>
      </c>
      <c r="I46" s="59">
        <f>COUNTIFS(Aug!$B:$B,2253,Aug!$J:$J,1700)+COUNTIFS(Aug!$B:$B,2253,Aug!$F:$F,1700)+COUNTIFS(Aug!$B:$B,2253,Aug!$J:$J,19)</f>
        <v>0</v>
      </c>
      <c r="J46" s="59">
        <f>COUNTIFS(Sep!$B:$B,2253,Sep!$J:$J,1700)+COUNTIFS(Sep!$B:$B,2253,Sep!$F:$F,1700)+COUNTIFS(Sep!$B:$B,2253,Sep!$J:$J,19)</f>
        <v>0</v>
      </c>
      <c r="K46" s="59">
        <f>COUNTIFS(Oct!$B:$B,2253,Oct!$J:$J,1700)+COUNTIFS(Oct!$B:$B,2253,Oct!$F:$F,1700)+COUNTIFS(Oct!$B:$B,2253,Oct!$J:$J,19)</f>
        <v>0</v>
      </c>
      <c r="L46" s="59">
        <v>1</v>
      </c>
      <c r="M46" s="59">
        <v>0</v>
      </c>
    </row>
    <row r="47" spans="1:13" s="8" customFormat="1" ht="11.25" customHeight="1">
      <c r="A47" s="10" t="s">
        <v>0</v>
      </c>
      <c r="B47" s="59">
        <f>COUNTIFS(Jan!$B:$B,2253,Jan!$J:$J,3)</f>
        <v>0</v>
      </c>
      <c r="C47" s="59">
        <f>COUNTIFS(Feb!$B:$B,2253,Feb!$J:$J,3)</f>
        <v>0</v>
      </c>
      <c r="D47" s="59">
        <f>COUNTIFS(Mar!$B:$B,2253,Mar!$J:$J,3)</f>
        <v>0</v>
      </c>
      <c r="E47" s="59">
        <f>COUNTIFS(Apr!$B:$B,2253,Apr!$J:$J,3)</f>
        <v>0</v>
      </c>
      <c r="F47" s="59">
        <v>1</v>
      </c>
      <c r="G47" s="59">
        <v>1</v>
      </c>
      <c r="H47" s="59">
        <f>COUNTIFS(Jul!$B:$B,2253,Jul!$J:$J,3)</f>
        <v>0</v>
      </c>
      <c r="I47" s="59">
        <v>1</v>
      </c>
      <c r="J47" s="59">
        <v>1</v>
      </c>
      <c r="K47" s="59">
        <f>COUNTIFS(Oct!$B:$B,2253,Oct!$J:$J,3)</f>
        <v>0</v>
      </c>
      <c r="L47" s="59">
        <f>COUNTIFS(Nov!$B:$B,2253,Nov!$J:$J,3)</f>
        <v>0</v>
      </c>
      <c r="M47" s="59">
        <v>0</v>
      </c>
    </row>
    <row r="48" spans="1:13" s="8" customFormat="1" ht="11.25" customHeight="1">
      <c r="A48" s="10" t="s">
        <v>35</v>
      </c>
      <c r="B48" s="59">
        <f>COUNTIFS(Jan!$B:$B,2253,Jan!$J:$J,7400)</f>
        <v>0</v>
      </c>
      <c r="C48" s="59">
        <f>COUNTIFS(Feb!$B:$B,2253,Feb!$J:$J,7400)</f>
        <v>0</v>
      </c>
      <c r="D48" s="59">
        <f>COUNTIFS(Mar!$B:$B,2253,Mar!$J:$J,7400)</f>
        <v>0</v>
      </c>
      <c r="E48" s="59">
        <f>COUNTIFS(Apr!$B:$B,2253,Apr!$J:$J,7400)</f>
        <v>0</v>
      </c>
      <c r="F48" s="59">
        <f>COUNTIFS(May!$B:$B,2253,May!$J:$J,7400)</f>
        <v>0</v>
      </c>
      <c r="G48" s="59">
        <f>COUNTIFS(Jun!$B:$B,2253,Jun!$J:$J,7400)</f>
        <v>0</v>
      </c>
      <c r="H48" s="59">
        <f>COUNTIFS(Jul!$B:$B,2253,Jul!$J:$J,7400)</f>
        <v>0</v>
      </c>
      <c r="I48" s="59">
        <f>COUNTIFS(Aug!$B:$B,2253,Aug!$J:$J,7400)</f>
        <v>0</v>
      </c>
      <c r="J48" s="59">
        <f>COUNTIFS(Sep!$B:$B,2253,Sep!$J:$J,7400)</f>
        <v>0</v>
      </c>
      <c r="K48" s="59">
        <f>COUNTIFS(Oct!$B:$B,2253,Oct!$J:$J,7400)</f>
        <v>0</v>
      </c>
      <c r="L48" s="59">
        <f>COUNTIFS(Nov!$B:$B,2253,Nov!$J:$J,7400)</f>
        <v>0</v>
      </c>
      <c r="M48" s="59">
        <v>0</v>
      </c>
    </row>
    <row r="49" spans="1:13" s="8" customFormat="1" ht="11.25" customHeight="1">
      <c r="A49" s="10" t="s">
        <v>2</v>
      </c>
      <c r="B49" s="59">
        <f>COUNTIFS(Jan!$B:$B,2253,Jan!$J:$J,14)</f>
        <v>0</v>
      </c>
      <c r="C49" s="59">
        <f>COUNTIFS(Feb!$B:$B,2253,Feb!$J:$J,14)</f>
        <v>0</v>
      </c>
      <c r="D49" s="59">
        <f>COUNTIFS(Mar!$B:$B,2253,Mar!$J:$J,14)</f>
        <v>0</v>
      </c>
      <c r="E49" s="59">
        <f>COUNTIFS(Apr!$B:$B,2253,Apr!$J:$J,14)</f>
        <v>0</v>
      </c>
      <c r="F49" s="59">
        <f>COUNTIFS(May!$B:$B,2253,May!$J:$J,14)</f>
        <v>0</v>
      </c>
      <c r="G49" s="59">
        <f>COUNTIFS(Jun!$B:$B,2253,Jun!$J:$J,14)</f>
        <v>0</v>
      </c>
      <c r="H49" s="59">
        <f>COUNTIFS(Jul!$B:$B,2253,Jul!$J:$J,14)</f>
        <v>0</v>
      </c>
      <c r="I49" s="59">
        <f>COUNTIFS(Aug!$B:$B,2253,Aug!$J:$J,14)</f>
        <v>0</v>
      </c>
      <c r="J49" s="59">
        <f>COUNTIFS(Sep!$B:$B,2253,Sep!$J:$J,14)</f>
        <v>0</v>
      </c>
      <c r="K49" s="59">
        <f>COUNTIFS(Oct!$B:$B,2253,Oct!$J:$J,14)</f>
        <v>0</v>
      </c>
      <c r="L49" s="59">
        <f>COUNTIFS(Nov!$B:$B,2253,Nov!$J:$J,14)</f>
        <v>0</v>
      </c>
      <c r="M49" s="59">
        <v>0</v>
      </c>
    </row>
    <row r="50" spans="1:13" s="8" customFormat="1" ht="11.25" customHeight="1">
      <c r="A50" s="10" t="s">
        <v>142</v>
      </c>
      <c r="B50" s="59">
        <f>COUNTIFS(Jan!$B:$B,2253,Jan!$F:$F,466)</f>
        <v>0</v>
      </c>
      <c r="C50" s="59">
        <v>1</v>
      </c>
      <c r="D50" s="59">
        <f>COUNTIFS(Mar!$B:$B,2253,Mar!$F:$F,466)</f>
        <v>0</v>
      </c>
      <c r="E50" s="59">
        <f>COUNTIFS(Apr!$B:$B,2253,Apr!$F:$F,466)</f>
        <v>0</v>
      </c>
      <c r="F50" s="59">
        <v>2</v>
      </c>
      <c r="G50" s="59">
        <v>1</v>
      </c>
      <c r="H50" s="59">
        <f>COUNTIFS(Jul!$B:$B,2253,Jul!$F:$F,466)</f>
        <v>0</v>
      </c>
      <c r="I50" s="59">
        <f>COUNTIFS(Aug!$B:$B,2253,Aug!$F:$F,466)</f>
        <v>0</v>
      </c>
      <c r="J50" s="59">
        <f>COUNTIFS(Sep!$B:$B,2253,Sep!$F:$F,466)</f>
        <v>0</v>
      </c>
      <c r="K50" s="59">
        <f>COUNTIFS(Oct!$B:$B,2253,Oct!$F:$F,466)</f>
        <v>0</v>
      </c>
      <c r="L50" s="59">
        <f>COUNTIFS(Nov!$B:$B,2253,Nov!$F:$F,466)</f>
        <v>0</v>
      </c>
      <c r="M50" s="59">
        <v>2</v>
      </c>
    </row>
    <row r="51" spans="1:13" s="8" customFormat="1" ht="11.25" customHeight="1">
      <c r="A51" s="10" t="s">
        <v>27</v>
      </c>
      <c r="B51" s="59">
        <f>COUNTIFS(Jan!$B:$B,2253,Jan!$J:$J,25)</f>
        <v>0</v>
      </c>
      <c r="C51" s="59">
        <f>COUNTIFS(Feb!$B:$B,2253,Feb!$J:$J,25)</f>
        <v>0</v>
      </c>
      <c r="D51" s="59">
        <f>COUNTIFS(Mar!$B:$B,2253,Mar!$J:$J,25)</f>
        <v>0</v>
      </c>
      <c r="E51" s="59">
        <f>COUNTIFS(Apr!$B:$B,2253,Apr!$J:$J,25)</f>
        <v>0</v>
      </c>
      <c r="F51" s="59">
        <f>COUNTIFS(May!$B:$B,2253,May!$J:$J,25)</f>
        <v>0</v>
      </c>
      <c r="G51" s="59">
        <f>COUNTIFS(Jun!$B:$B,2253,Jun!$J:$J,25)</f>
        <v>0</v>
      </c>
      <c r="H51" s="59">
        <f>COUNTIFS(Jul!$B:$B,2253,Jul!$J:$J,25)</f>
        <v>0</v>
      </c>
      <c r="I51" s="59">
        <f>COUNTIFS(Aug!$B:$B,2253,Aug!$J:$J,25)</f>
        <v>0</v>
      </c>
      <c r="J51" s="59">
        <f>COUNTIFS(Sep!$B:$B,2253,Sep!$J:$J,25)</f>
        <v>0</v>
      </c>
      <c r="K51" s="59">
        <f>COUNTIFS(Oct!$B:$B,2253,Oct!$J:$J,25)</f>
        <v>0</v>
      </c>
      <c r="L51" s="59">
        <f>COUNTIFS(Nov!$B:$B,2253,Nov!$J:$J,25)</f>
        <v>0</v>
      </c>
      <c r="M51" s="59">
        <v>0</v>
      </c>
    </row>
    <row r="52" spans="1:13" s="8" customFormat="1" ht="11.25" customHeight="1" thickBot="1">
      <c r="A52" s="11" t="s">
        <v>16</v>
      </c>
      <c r="B52" s="60">
        <f>SUM(B34:B51)</f>
        <v>6</v>
      </c>
      <c r="C52" s="60">
        <f t="shared" ref="C52:M52" si="11">SUM(C34:C51)</f>
        <v>5</v>
      </c>
      <c r="D52" s="60">
        <f>SUM(D34:D51)</f>
        <v>11</v>
      </c>
      <c r="E52" s="60">
        <f>SUM(E34:E51)</f>
        <v>3</v>
      </c>
      <c r="F52" s="60">
        <f>SUM(F34:F51)</f>
        <v>4</v>
      </c>
      <c r="G52" s="60">
        <f>SUM(G34:G51)</f>
        <v>7</v>
      </c>
      <c r="H52" s="60">
        <f t="shared" si="11"/>
        <v>5</v>
      </c>
      <c r="I52" s="60">
        <f t="shared" si="11"/>
        <v>15</v>
      </c>
      <c r="J52" s="60">
        <f t="shared" si="11"/>
        <v>11</v>
      </c>
      <c r="K52" s="60">
        <f t="shared" si="11"/>
        <v>8</v>
      </c>
      <c r="L52" s="159">
        <f t="shared" si="11"/>
        <v>7</v>
      </c>
      <c r="M52" s="170">
        <f t="shared" si="11"/>
        <v>7</v>
      </c>
    </row>
    <row r="53" spans="1:13" ht="12" customHeight="1" thickBot="1">
      <c r="A53" s="55" t="s">
        <v>137</v>
      </c>
      <c r="B53" s="50">
        <v>41275</v>
      </c>
      <c r="C53" s="47">
        <v>41306</v>
      </c>
      <c r="D53" s="47">
        <v>41334</v>
      </c>
      <c r="E53" s="47">
        <v>41365</v>
      </c>
      <c r="F53" s="47">
        <v>41395</v>
      </c>
      <c r="G53" s="47">
        <v>41426</v>
      </c>
      <c r="H53" s="47">
        <v>41456</v>
      </c>
      <c r="I53" s="47">
        <v>41487</v>
      </c>
      <c r="J53" s="47">
        <v>41518</v>
      </c>
      <c r="K53" s="47">
        <v>41548</v>
      </c>
      <c r="L53" s="47">
        <v>41579</v>
      </c>
      <c r="M53" s="51">
        <v>41609</v>
      </c>
    </row>
    <row r="54" spans="1:13" s="8" customFormat="1" ht="11.25" customHeight="1">
      <c r="A54" s="10" t="s">
        <v>30</v>
      </c>
      <c r="B54" s="57">
        <f>COUNTIFS(Jan!$B:$B,2253,Jan!$J:$J,7)</f>
        <v>0</v>
      </c>
      <c r="C54" s="57">
        <f>COUNTIFS(Feb!$B:$B,2253,Feb!$J:$J,7)</f>
        <v>0</v>
      </c>
      <c r="D54" s="57">
        <f>COUNTIFS(Mar!$B:$B,2253,Mar!$J:$J,7)</f>
        <v>0</v>
      </c>
      <c r="E54" s="57">
        <f>COUNTIFS(Apr!$B:$B,2253,Apr!$J:$J,7)</f>
        <v>0</v>
      </c>
      <c r="F54" s="57">
        <v>1</v>
      </c>
      <c r="G54" s="57">
        <f>COUNTIFS(Jun!$B:$B,2253,Jun!$J:$J,7)</f>
        <v>0</v>
      </c>
      <c r="H54" s="57">
        <f>COUNTIFS(Jul!$B:$B,2253,Jul!$J:$J,7)</f>
        <v>0</v>
      </c>
      <c r="I54" s="57">
        <f>COUNTIFS(Aug!$B:$B,2253,Aug!$J:$J,7)</f>
        <v>0</v>
      </c>
      <c r="J54" s="57">
        <v>1</v>
      </c>
      <c r="K54" s="57">
        <f>COUNTIFS(Oct!$B:$B,2253,Oct!$J:$J,7)</f>
        <v>0</v>
      </c>
      <c r="L54" s="57">
        <v>1</v>
      </c>
      <c r="M54" s="57">
        <v>0</v>
      </c>
    </row>
    <row r="55" spans="1:13" s="8" customFormat="1" ht="11.25" customHeight="1">
      <c r="A55" s="10" t="s">
        <v>29</v>
      </c>
      <c r="B55" s="59">
        <f>COUNTIFS(Jan!$B:$B,2253,Jan!$J:$J,8)</f>
        <v>0</v>
      </c>
      <c r="C55" s="59">
        <f>COUNTIFS(Feb!$B:$B,2253,Feb!$J:$J,8)</f>
        <v>0</v>
      </c>
      <c r="D55" s="59">
        <f>COUNTIFS(Mar!$B:$B,2253,Mar!$J:$J,8)</f>
        <v>0</v>
      </c>
      <c r="E55" s="59">
        <f>COUNTIFS(Apr!$B:$B,2253,Apr!$J:$J,8)</f>
        <v>0</v>
      </c>
      <c r="F55" s="59">
        <f>COUNTIFS(May!$B:$B,2253,May!$J:$J,8)</f>
        <v>0</v>
      </c>
      <c r="G55" s="59">
        <f>COUNTIFS(Jun!$B:$B,2253,Jun!$J:$J,8)</f>
        <v>0</v>
      </c>
      <c r="H55" s="59">
        <f>COUNTIFS(Jul!$B:$B,2253,Jul!$J:$J,8)</f>
        <v>0</v>
      </c>
      <c r="I55" s="59">
        <f>COUNTIFS(Aug!$B:$B,2253,Aug!$J:$J,8)</f>
        <v>0</v>
      </c>
      <c r="J55" s="59">
        <f>COUNTIFS(Sep!$B:$B,2253,Sep!$J:$J,8)</f>
        <v>0</v>
      </c>
      <c r="K55" s="59">
        <f>COUNTIFS(Oct!$B:$B,2253,Oct!$J:$J,8)</f>
        <v>0</v>
      </c>
      <c r="L55" s="59">
        <f>COUNTIFS(Nov!$B:$B,2253,Nov!$J:$J,8)</f>
        <v>0</v>
      </c>
      <c r="M55" s="59">
        <v>0</v>
      </c>
    </row>
    <row r="56" spans="1:13" s="8" customFormat="1" ht="11.25" customHeight="1">
      <c r="A56" s="10" t="s">
        <v>7</v>
      </c>
      <c r="B56" s="59">
        <f>COUNTIFS(Jan!$B:$B,2253,Jan!$J:$J,12)</f>
        <v>1</v>
      </c>
      <c r="C56" s="59">
        <f>COUNTIFS(Feb!$B:$B,2253,Feb!$J:$J,12)</f>
        <v>0</v>
      </c>
      <c r="D56" s="59">
        <v>1</v>
      </c>
      <c r="E56" s="59">
        <f>COUNTIFS(Apr!$B:$B,2253,Apr!$J:$J,12)</f>
        <v>0</v>
      </c>
      <c r="F56" s="59">
        <f>COUNTIFS(May!$B:$B,2253,May!$J:$J,12)</f>
        <v>0</v>
      </c>
      <c r="G56" s="59">
        <f>COUNTIFS(Jun!$B:$B,2253,Jun!$J:$J,12)</f>
        <v>0</v>
      </c>
      <c r="H56" s="59">
        <f>COUNTIFS(Jul!$B:$B,2253,Jul!$J:$J,12)</f>
        <v>0</v>
      </c>
      <c r="I56" s="59">
        <f>COUNTIFS(Aug!$B:$B,2253,Aug!$J:$J,12)</f>
        <v>0</v>
      </c>
      <c r="J56" s="59">
        <f>COUNTIFS(Sep!$B:$B,2253,Sep!$J:$J,12)</f>
        <v>0</v>
      </c>
      <c r="K56" s="59">
        <v>1</v>
      </c>
      <c r="L56" s="59">
        <v>2</v>
      </c>
      <c r="M56" s="59">
        <v>7</v>
      </c>
    </row>
    <row r="57" spans="1:13" s="8" customFormat="1" ht="11.25" customHeight="1">
      <c r="A57" s="10" t="s">
        <v>10</v>
      </c>
      <c r="B57" s="59">
        <f>COUNTIFS(Jan!$B:$B,2253,Jan!$J:$J,5100)</f>
        <v>0</v>
      </c>
      <c r="C57" s="59">
        <f>COUNTIFS(Feb!$B:$B,2253,Feb!$J:$J,5100)</f>
        <v>0</v>
      </c>
      <c r="D57" s="59">
        <f>COUNTIFS(Mar!$B:$B,2253,Mar!$J:$J,5100)</f>
        <v>0</v>
      </c>
      <c r="E57" s="59">
        <f>COUNTIFS(Apr!$B:$B,2253,Apr!$J:$J,5100)</f>
        <v>0</v>
      </c>
      <c r="F57" s="59">
        <f>COUNTIFS(May!$B:$B,2253,May!$J:$J,5100)</f>
        <v>0</v>
      </c>
      <c r="G57" s="59">
        <f>COUNTIFS(Jun!$B:$B,2253,Jun!$J:$J,5100)</f>
        <v>0</v>
      </c>
      <c r="H57" s="59">
        <f>COUNTIFS(Jul!$B:$B,2253,Jul!$J:$J,5100)</f>
        <v>0</v>
      </c>
      <c r="I57" s="59">
        <f>COUNTIFS(Aug!$B:$B,2253,Aug!$J:$J,5100)</f>
        <v>0</v>
      </c>
      <c r="J57" s="59">
        <f>COUNTIFS(Sep!$B:$B,2253,Sep!$J:$J,5100)</f>
        <v>0</v>
      </c>
      <c r="K57" s="59">
        <f>COUNTIFS(Oct!$B:$B,2253,Oct!$J:$J,5100)</f>
        <v>0</v>
      </c>
      <c r="L57" s="59">
        <f>COUNTIFS(Nov!$B:$B,2253,Nov!$J:$J,5100)</f>
        <v>0</v>
      </c>
      <c r="M57" s="59">
        <v>0</v>
      </c>
    </row>
    <row r="58" spans="1:13" s="8" customFormat="1" ht="11.25" customHeight="1">
      <c r="A58" s="10" t="s">
        <v>36</v>
      </c>
      <c r="B58" s="59">
        <f>COUNTIFS(Jan!$B:$B,2253,Jan!$J:$J,6200)</f>
        <v>0</v>
      </c>
      <c r="C58" s="59">
        <f>COUNTIFS(Feb!$B:$B,2253,Feb!$J:$J,6200)</f>
        <v>0</v>
      </c>
      <c r="D58" s="59">
        <f>COUNTIFS(Mar!$B:$B,2253,Mar!$J:$J,6200)</f>
        <v>0</v>
      </c>
      <c r="E58" s="59">
        <f>COUNTIFS(Apr!$B:$B,2253,Apr!$J:$J,6200)</f>
        <v>0</v>
      </c>
      <c r="F58" s="59">
        <f>COUNTIFS(May!$B:$B,2253,May!$J:$J,6200)</f>
        <v>0</v>
      </c>
      <c r="G58" s="59">
        <f>COUNTIFS(Jun!$B:$B,2253,Jun!$J:$J,6200)</f>
        <v>0</v>
      </c>
      <c r="H58" s="59">
        <f>COUNTIFS(Jul!$B:$B,2253,Jul!$J:$J,6200)</f>
        <v>0</v>
      </c>
      <c r="I58" s="59">
        <f>COUNTIFS(Aug!$B:$B,2253,Aug!$J:$J,6200)</f>
        <v>0</v>
      </c>
      <c r="J58" s="59">
        <f>COUNTIFS(Sep!$B:$B,2253,Sep!$J:$J,6200)</f>
        <v>0</v>
      </c>
      <c r="K58" s="59">
        <f>COUNTIFS(Oct!$B:$B,2253,Oct!$J:$J,6200)</f>
        <v>0</v>
      </c>
      <c r="L58" s="59">
        <v>2</v>
      </c>
      <c r="M58" s="59">
        <v>0</v>
      </c>
    </row>
    <row r="59" spans="1:13" s="8" customFormat="1" ht="11.25" customHeight="1">
      <c r="A59" s="10" t="s">
        <v>145</v>
      </c>
      <c r="B59" s="59">
        <f>COUNTIFS(Jan!$B:$B,2253,Jan!$J:$J,28)</f>
        <v>0</v>
      </c>
      <c r="C59" s="59">
        <f>COUNTIFS(Feb!$B:$B,2253,Feb!$J:$J,28)</f>
        <v>0</v>
      </c>
      <c r="D59" s="59">
        <f>COUNTIFS(Mar!$B:$B,2253,Mar!$J:$J,28)</f>
        <v>0</v>
      </c>
      <c r="E59" s="59">
        <f>COUNTIFS(Apr!$B:$B,2253,Apr!$J:$J,28)</f>
        <v>0</v>
      </c>
      <c r="F59" s="59">
        <f>COUNTIFS(May!$B:$B,2253,May!$J:$J,28)</f>
        <v>0</v>
      </c>
      <c r="G59" s="59">
        <f>COUNTIFS(Jun!$B:$B,2253,Jun!$J:$J,28)</f>
        <v>0</v>
      </c>
      <c r="H59" s="59">
        <f>COUNTIFS(Jul!$B:$B,2253,Jul!$J:$J,28)</f>
        <v>0</v>
      </c>
      <c r="I59" s="59">
        <f>COUNTIFS(Aug!$B:$B,2253,Aug!$J:$J,28)</f>
        <v>0</v>
      </c>
      <c r="J59" s="59">
        <f>COUNTIFS(Sep!$B:$B,2253,Sep!$J:$J,28)</f>
        <v>0</v>
      </c>
      <c r="K59" s="59">
        <f>COUNTIFS(Oct!$B:$B,2253,Oct!$J:$J,28)</f>
        <v>0</v>
      </c>
      <c r="L59" s="59">
        <f>COUNTIFS(Nov!$B:$B,2253,Nov!$J:$J,28)</f>
        <v>0</v>
      </c>
      <c r="M59" s="59">
        <v>0</v>
      </c>
    </row>
    <row r="60" spans="1:13" s="8" customFormat="1" ht="11.25" customHeight="1">
      <c r="A60" s="10" t="s">
        <v>38</v>
      </c>
      <c r="B60" s="59">
        <f>COUNTIFS(Jan!$B:$B,2253,Jan!$J:$J,6100)</f>
        <v>0</v>
      </c>
      <c r="C60" s="59">
        <f>COUNTIFS(Feb!$B:$B,2253,Feb!$J:$J,6100)</f>
        <v>0</v>
      </c>
      <c r="D60" s="59">
        <f>COUNTIFS(Mar!$B:$B,2253,Mar!$J:$J,6100)</f>
        <v>0</v>
      </c>
      <c r="E60" s="59">
        <v>2</v>
      </c>
      <c r="F60" s="59">
        <v>3</v>
      </c>
      <c r="G60" s="59">
        <f>COUNTIFS(Jun!$B:$B,2253,Jun!$J:$J,6100)</f>
        <v>0</v>
      </c>
      <c r="H60" s="59">
        <v>1</v>
      </c>
      <c r="I60" s="59">
        <f>COUNTIFS(Aug!$B:$B,2253,Aug!$J:$J,6100)</f>
        <v>0</v>
      </c>
      <c r="J60" s="59">
        <f>COUNTIFS(Sep!$B:$B,2253,Sep!$J:$J,6100)</f>
        <v>0</v>
      </c>
      <c r="K60" s="59">
        <v>2</v>
      </c>
      <c r="L60" s="59">
        <f>COUNTIFS(Nov!$B:$B,2253,Nov!$J:$J,6100)</f>
        <v>0</v>
      </c>
      <c r="M60" s="59">
        <v>0</v>
      </c>
    </row>
    <row r="61" spans="1:13" s="8" customFormat="1" ht="11.25" customHeight="1">
      <c r="A61" s="10" t="s">
        <v>9</v>
      </c>
      <c r="B61" s="59">
        <f>COUNTIFS(Jan!$B:$B,2253,Jan!$J:$J,6)</f>
        <v>0</v>
      </c>
      <c r="C61" s="59">
        <f>COUNTIFS(Feb!$B:$B,2253,Feb!$J:$J,6)</f>
        <v>0</v>
      </c>
      <c r="D61" s="59">
        <f>COUNTIFS(Mar!$B:$B,2253,Mar!$J:$J,6)</f>
        <v>0</v>
      </c>
      <c r="E61" s="59">
        <f>COUNTIFS(Apr!$B:$B,2253,Apr!$J:$J,6)</f>
        <v>0</v>
      </c>
      <c r="F61" s="59">
        <f>COUNTIFS(May!$B:$B,2253,May!$J:$J,6)</f>
        <v>0</v>
      </c>
      <c r="G61" s="59">
        <f>COUNTIFS(Jun!$B:$B,2253,Jun!$J:$J,6)</f>
        <v>0</v>
      </c>
      <c r="H61" s="59">
        <f>COUNTIFS(Jul!$B:$B,2253,Jul!$J:$J,6)</f>
        <v>0</v>
      </c>
      <c r="I61" s="59">
        <f>COUNTIFS(Aug!$B:$B,2253,Aug!$J:$J,6)</f>
        <v>0</v>
      </c>
      <c r="J61" s="59">
        <f>COUNTIFS(Sep!$B:$B,2253,Sep!$J:$J,6)</f>
        <v>0</v>
      </c>
      <c r="K61" s="59">
        <f>COUNTIFS(Oct!$B:$B,2253,Oct!$J:$J,6)</f>
        <v>0</v>
      </c>
      <c r="L61" s="59">
        <f>COUNTIFS(Nov!$B:$B,2253,Nov!$J:$J,6)</f>
        <v>0</v>
      </c>
      <c r="M61" s="59">
        <v>0</v>
      </c>
    </row>
    <row r="62" spans="1:13" s="8" customFormat="1" ht="11.25" customHeight="1">
      <c r="A62" s="10" t="s">
        <v>8</v>
      </c>
      <c r="B62" s="59">
        <f>COUNTIFS(Jan!$B:$B,2253,Jan!$J:$J,4)</f>
        <v>0</v>
      </c>
      <c r="C62" s="59">
        <f>COUNTIFS(Feb!$B:$B,2253,Feb!$J:$J,4)</f>
        <v>0</v>
      </c>
      <c r="D62" s="59">
        <f>COUNTIFS(Mar!$B:$B,2253,Mar!$J:$J,4)</f>
        <v>0</v>
      </c>
      <c r="E62" s="59">
        <f>COUNTIFS(Apr!$B:$B,2253,Apr!$J:$J,4)</f>
        <v>0</v>
      </c>
      <c r="F62" s="59">
        <f>COUNTIFS(May!$B:$B,2253,May!$J:$J,4)</f>
        <v>0</v>
      </c>
      <c r="G62" s="59">
        <f>COUNTIFS(Jun!$B:$B,2253,Jun!$J:$J,4)</f>
        <v>0</v>
      </c>
      <c r="H62" s="59">
        <f>COUNTIFS(Jul!$B:$B,2253,Jul!$J:$J,4)</f>
        <v>0</v>
      </c>
      <c r="I62" s="59">
        <f>COUNTIFS(Aug!$B:$B,2253,Aug!$J:$J,4)</f>
        <v>0</v>
      </c>
      <c r="J62" s="59">
        <f>COUNTIFS(Sep!$B:$B,2253,Sep!$J:$J,4)</f>
        <v>0</v>
      </c>
      <c r="K62" s="59">
        <f>COUNTIFS(Oct!$B:$B,2253,Oct!$J:$J,4)</f>
        <v>0</v>
      </c>
      <c r="L62" s="59">
        <f>COUNTIFS(Nov!$B:$B,2253,Nov!$J:$J,4)</f>
        <v>0</v>
      </c>
      <c r="M62" s="59">
        <v>0</v>
      </c>
    </row>
    <row r="63" spans="1:13" s="8" customFormat="1" ht="11.25" customHeight="1">
      <c r="A63" s="10" t="s">
        <v>6</v>
      </c>
      <c r="B63" s="59">
        <f>COUNTIFS(Jan!$B:$B,2253,Jan!$J:$J,5)</f>
        <v>0</v>
      </c>
      <c r="C63" s="59">
        <f>COUNTIFS(Feb!$B:$B,2253,Feb!$J:$J,5)</f>
        <v>0</v>
      </c>
      <c r="D63" s="59">
        <f>COUNTIFS(Mar!$B:$B,2253,Mar!$J:$J,5)</f>
        <v>0</v>
      </c>
      <c r="E63" s="59">
        <f>COUNTIFS(Apr!$B:$B,2253,Apr!$J:$J,5)</f>
        <v>0</v>
      </c>
      <c r="F63" s="59">
        <f>COUNTIFS(May!$B:$B,2253,May!$J:$J,5)</f>
        <v>0</v>
      </c>
      <c r="G63" s="59">
        <f>COUNTIFS(Jun!$B:$B,2253,Jun!$J:$J,5)</f>
        <v>0</v>
      </c>
      <c r="H63" s="59">
        <f>COUNTIFS(Jul!$B:$B,2253,Jul!$J:$J,5)</f>
        <v>0</v>
      </c>
      <c r="I63" s="59">
        <f>COUNTIFS(Aug!$B:$B,2253,Aug!$J:$J,5)</f>
        <v>0</v>
      </c>
      <c r="J63" s="59">
        <f>COUNTIFS(Sep!$B:$B,2253,Sep!$J:$J,5)</f>
        <v>0</v>
      </c>
      <c r="K63" s="59">
        <f>COUNTIFS(Oct!$B:$B,2253,Oct!$J:$J,5)</f>
        <v>0</v>
      </c>
      <c r="L63" s="59">
        <f>COUNTIFS(Nov!$B:$B,2253,Nov!$J:$J,5)</f>
        <v>0</v>
      </c>
      <c r="M63" s="59">
        <v>0</v>
      </c>
    </row>
    <row r="64" spans="1:13" s="8" customFormat="1" ht="11.25" customHeight="1">
      <c r="A64" s="52" t="s">
        <v>141</v>
      </c>
      <c r="B64" s="69">
        <f>COUNTIFS(Jan!$B:$B,2253,Jan!$F:$F,456)</f>
        <v>0</v>
      </c>
      <c r="C64" s="69">
        <f>COUNTIFS(Feb!$B:$B,2253,Feb!$F:$F,456)</f>
        <v>0</v>
      </c>
      <c r="D64" s="69">
        <f>COUNTIFS(Mar!$B:$B,2253,Mar!$F:$F,456)</f>
        <v>0</v>
      </c>
      <c r="E64" s="69">
        <f>COUNTIFS(Apr!$B:$B,2253,Apr!$F:$F,456)</f>
        <v>0</v>
      </c>
      <c r="F64" s="69">
        <v>1</v>
      </c>
      <c r="G64" s="69">
        <f>COUNTIFS(Jun!$B:$B,2253,Jun!$F:$F,456)</f>
        <v>0</v>
      </c>
      <c r="H64" s="69">
        <f>COUNTIFS(Jul!$B:$B,2253,Jul!$F:$F,456)</f>
        <v>0</v>
      </c>
      <c r="I64" s="69">
        <f>COUNTIFS(Aug!$B:$B,2253,Aug!$F:$F,456)</f>
        <v>0</v>
      </c>
      <c r="J64" s="69">
        <f>COUNTIFS(Sep!$B:$B,2253,Sep!$F:$F,456)</f>
        <v>0</v>
      </c>
      <c r="K64" s="69">
        <f>COUNTIFS(Oct!$B:$B,2253,Oct!$F:$F,456)</f>
        <v>0</v>
      </c>
      <c r="L64" s="69">
        <f>COUNTIFS(Nov!$B:$B,2253,Nov!$F:$F,456)</f>
        <v>0</v>
      </c>
      <c r="M64" s="69">
        <v>0</v>
      </c>
    </row>
    <row r="65" spans="1:13" s="8" customFormat="1" ht="11.25" customHeight="1" thickBot="1">
      <c r="A65" s="12" t="s">
        <v>16</v>
      </c>
      <c r="B65" s="70">
        <f>SUM(B54:B64)</f>
        <v>1</v>
      </c>
      <c r="C65" s="70">
        <f t="shared" ref="C65:M65" si="12">SUM(C54:C64)</f>
        <v>0</v>
      </c>
      <c r="D65" s="70">
        <f t="shared" si="12"/>
        <v>1</v>
      </c>
      <c r="E65" s="70">
        <f t="shared" si="12"/>
        <v>2</v>
      </c>
      <c r="F65" s="70">
        <f t="shared" si="12"/>
        <v>5</v>
      </c>
      <c r="G65" s="70">
        <f t="shared" si="12"/>
        <v>0</v>
      </c>
      <c r="H65" s="70">
        <f t="shared" si="12"/>
        <v>1</v>
      </c>
      <c r="I65" s="70">
        <f t="shared" si="12"/>
        <v>0</v>
      </c>
      <c r="J65" s="70">
        <f t="shared" si="12"/>
        <v>1</v>
      </c>
      <c r="K65" s="70">
        <f t="shared" si="12"/>
        <v>3</v>
      </c>
      <c r="L65" s="165">
        <f t="shared" si="12"/>
        <v>5</v>
      </c>
      <c r="M65" s="170">
        <f t="shared" si="12"/>
        <v>7</v>
      </c>
    </row>
    <row r="66" spans="1:13" s="8" customFormat="1" ht="15.75" customHeight="1">
      <c r="A66" s="6"/>
      <c r="B66" s="7"/>
      <c r="C66" s="7"/>
      <c r="D66" s="7"/>
      <c r="E66" s="7"/>
      <c r="F66" s="7"/>
      <c r="G66" s="7"/>
      <c r="H66" s="7"/>
      <c r="I66" s="7"/>
      <c r="J66" s="7"/>
      <c r="K66" s="7"/>
      <c r="L66" s="7"/>
      <c r="M66" s="7"/>
    </row>
    <row r="67" spans="1:13" ht="12" customHeight="1">
      <c r="A67" s="6"/>
      <c r="B67" s="7"/>
      <c r="C67" s="7"/>
      <c r="D67" s="7"/>
      <c r="E67" s="7"/>
      <c r="F67" s="7"/>
      <c r="G67" s="7"/>
      <c r="H67" s="7"/>
      <c r="I67" s="7"/>
      <c r="J67" s="7"/>
      <c r="K67" s="7"/>
      <c r="L67" s="7"/>
      <c r="M67" s="7"/>
    </row>
  </sheetData>
  <phoneticPr fontId="0" type="noConversion"/>
  <printOptions horizontalCentered="1" verticalCentered="1"/>
  <pageMargins left="0.14000000000000001" right="0.16" top="0.25" bottom="0.5" header="0.5" footer="0.25"/>
  <pageSetup scale="95" firstPageNumber="3" orientation="portrait" useFirstPageNumber="1" r:id="rId1"/>
  <headerFooter alignWithMargins="0">
    <oddFooter>&amp;R44 of 51</oddFooter>
  </headerFooter>
  <ignoredErrors>
    <ignoredError sqref="M32 M52 M65" formulaRange="1"/>
  </ignoredErrors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67"/>
  <sheetViews>
    <sheetView view="pageBreakPreview" zoomScale="90" zoomScaleNormal="100" zoomScaleSheetLayoutView="90" workbookViewId="0">
      <selection activeCell="M65" sqref="M65"/>
    </sheetView>
  </sheetViews>
  <sheetFormatPr defaultRowHeight="12.75"/>
  <cols>
    <col min="1" max="1" width="22.85546875" style="1" customWidth="1"/>
    <col min="2" max="13" width="7.140625" style="1" customWidth="1"/>
    <col min="14" max="14" width="4.42578125" style="1" customWidth="1"/>
    <col min="15" max="16384" width="9.140625" style="1"/>
  </cols>
  <sheetData>
    <row r="1" spans="1:21" ht="18" customHeight="1">
      <c r="A1" s="130"/>
      <c r="B1" s="131"/>
      <c r="C1" s="131"/>
      <c r="D1" s="131"/>
      <c r="E1" s="131"/>
      <c r="F1" s="131"/>
      <c r="G1" s="130"/>
      <c r="H1" s="130"/>
      <c r="I1" s="131"/>
      <c r="J1" s="131"/>
      <c r="K1" s="131"/>
      <c r="L1" s="130"/>
      <c r="M1" s="143" t="s">
        <v>22</v>
      </c>
    </row>
    <row r="2" spans="1:21" ht="18" customHeight="1">
      <c r="A2" s="130"/>
      <c r="B2" s="135"/>
      <c r="C2" s="135"/>
      <c r="D2" s="135"/>
      <c r="E2" s="135"/>
      <c r="F2" s="135"/>
      <c r="G2" s="130"/>
      <c r="H2" s="130"/>
      <c r="I2" s="135"/>
      <c r="J2" s="135"/>
      <c r="K2" s="135"/>
      <c r="L2" s="130"/>
      <c r="M2" s="155" t="s">
        <v>13</v>
      </c>
    </row>
    <row r="3" spans="1:21" s="5" customFormat="1" ht="18" customHeight="1">
      <c r="A3" s="133"/>
      <c r="B3" s="133"/>
      <c r="C3" s="133"/>
      <c r="D3" s="133"/>
      <c r="E3" s="133"/>
      <c r="F3" s="133"/>
      <c r="G3" s="133"/>
      <c r="H3" s="133"/>
      <c r="I3" s="133"/>
      <c r="J3" s="136"/>
      <c r="K3" s="136"/>
      <c r="L3" s="133"/>
      <c r="M3" s="155" t="s">
        <v>84</v>
      </c>
      <c r="N3" s="134"/>
      <c r="O3" s="134"/>
      <c r="P3" s="134"/>
      <c r="Q3" s="134"/>
      <c r="R3" s="134"/>
      <c r="S3" s="134"/>
      <c r="T3" s="134"/>
      <c r="U3" s="134"/>
    </row>
    <row r="4" spans="1:21" s="8" customFormat="1" ht="6.75" customHeight="1" thickBot="1">
      <c r="A4" s="38"/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</row>
    <row r="5" spans="1:21" s="8" customFormat="1" ht="11.25" customHeight="1" thickBot="1">
      <c r="A5" s="53" t="s">
        <v>19</v>
      </c>
      <c r="B5" s="50">
        <v>41275</v>
      </c>
      <c r="C5" s="47">
        <v>41306</v>
      </c>
      <c r="D5" s="47">
        <v>41334</v>
      </c>
      <c r="E5" s="47">
        <v>41365</v>
      </c>
      <c r="F5" s="47">
        <v>41395</v>
      </c>
      <c r="G5" s="47">
        <v>41426</v>
      </c>
      <c r="H5" s="47">
        <v>41456</v>
      </c>
      <c r="I5" s="47">
        <v>41487</v>
      </c>
      <c r="J5" s="47">
        <v>41518</v>
      </c>
      <c r="K5" s="47">
        <v>41548</v>
      </c>
      <c r="L5" s="47">
        <v>41579</v>
      </c>
      <c r="M5" s="51">
        <v>41609</v>
      </c>
    </row>
    <row r="6" spans="1:21" s="8" customFormat="1" ht="11.25" customHeight="1">
      <c r="A6" s="41" t="s">
        <v>129</v>
      </c>
      <c r="B6" s="57">
        <f t="shared" ref="B6:M6" si="0">B32</f>
        <v>49</v>
      </c>
      <c r="C6" s="57">
        <f t="shared" si="0"/>
        <v>19</v>
      </c>
      <c r="D6" s="57">
        <f t="shared" si="0"/>
        <v>31</v>
      </c>
      <c r="E6" s="57">
        <f t="shared" si="0"/>
        <v>18</v>
      </c>
      <c r="F6" s="57">
        <f t="shared" si="0"/>
        <v>23</v>
      </c>
      <c r="G6" s="57">
        <f t="shared" si="0"/>
        <v>28</v>
      </c>
      <c r="H6" s="57">
        <f t="shared" si="0"/>
        <v>25</v>
      </c>
      <c r="I6" s="57">
        <f t="shared" si="0"/>
        <v>28</v>
      </c>
      <c r="J6" s="57">
        <f t="shared" si="0"/>
        <v>25</v>
      </c>
      <c r="K6" s="57">
        <f t="shared" si="0"/>
        <v>11</v>
      </c>
      <c r="L6" s="156">
        <f t="shared" si="0"/>
        <v>20</v>
      </c>
      <c r="M6" s="168">
        <f t="shared" si="0"/>
        <v>51</v>
      </c>
    </row>
    <row r="7" spans="1:21" s="8" customFormat="1" ht="11.25" customHeight="1">
      <c r="A7" s="42" t="s">
        <v>18</v>
      </c>
      <c r="B7" s="57">
        <f t="shared" ref="B7:M7" si="1">SUM(B10:B12)</f>
        <v>84</v>
      </c>
      <c r="C7" s="57">
        <f t="shared" si="1"/>
        <v>37</v>
      </c>
      <c r="D7" s="57">
        <f t="shared" si="1"/>
        <v>38</v>
      </c>
      <c r="E7" s="57">
        <f t="shared" si="1"/>
        <v>38</v>
      </c>
      <c r="F7" s="57">
        <f t="shared" si="1"/>
        <v>41</v>
      </c>
      <c r="G7" s="57">
        <f t="shared" si="1"/>
        <v>42</v>
      </c>
      <c r="H7" s="57">
        <f t="shared" si="1"/>
        <v>45</v>
      </c>
      <c r="I7" s="57">
        <f t="shared" si="1"/>
        <v>62</v>
      </c>
      <c r="J7" s="57">
        <f t="shared" si="1"/>
        <v>61</v>
      </c>
      <c r="K7" s="57">
        <f t="shared" si="1"/>
        <v>31</v>
      </c>
      <c r="L7" s="156">
        <f t="shared" si="1"/>
        <v>60</v>
      </c>
      <c r="M7" s="171">
        <f t="shared" si="1"/>
        <v>83</v>
      </c>
    </row>
    <row r="8" spans="1:21" s="8" customFormat="1" ht="11.25" customHeight="1" thickBot="1">
      <c r="A8" s="43" t="s">
        <v>14</v>
      </c>
      <c r="B8" s="58">
        <f t="shared" ref="B8:M8" si="2">SUM(B6:B7)</f>
        <v>133</v>
      </c>
      <c r="C8" s="58">
        <f t="shared" si="2"/>
        <v>56</v>
      </c>
      <c r="D8" s="58">
        <f t="shared" si="2"/>
        <v>69</v>
      </c>
      <c r="E8" s="58">
        <f t="shared" si="2"/>
        <v>56</v>
      </c>
      <c r="F8" s="58">
        <f t="shared" si="2"/>
        <v>64</v>
      </c>
      <c r="G8" s="58">
        <f t="shared" si="2"/>
        <v>70</v>
      </c>
      <c r="H8" s="58">
        <f t="shared" si="2"/>
        <v>70</v>
      </c>
      <c r="I8" s="58">
        <f t="shared" si="2"/>
        <v>90</v>
      </c>
      <c r="J8" s="58">
        <f t="shared" si="2"/>
        <v>86</v>
      </c>
      <c r="K8" s="58">
        <f t="shared" si="2"/>
        <v>42</v>
      </c>
      <c r="L8" s="157">
        <f t="shared" si="2"/>
        <v>80</v>
      </c>
      <c r="M8" s="172">
        <f t="shared" si="2"/>
        <v>134</v>
      </c>
    </row>
    <row r="9" spans="1:21" s="8" customFormat="1" ht="11.25" customHeight="1" thickBot="1">
      <c r="A9" s="54" t="s">
        <v>18</v>
      </c>
      <c r="B9" s="50">
        <v>41275</v>
      </c>
      <c r="C9" s="47">
        <v>41306</v>
      </c>
      <c r="D9" s="47">
        <v>41334</v>
      </c>
      <c r="E9" s="47">
        <v>41365</v>
      </c>
      <c r="F9" s="47">
        <v>41395</v>
      </c>
      <c r="G9" s="47">
        <v>41426</v>
      </c>
      <c r="H9" s="47">
        <v>41456</v>
      </c>
      <c r="I9" s="47">
        <v>41487</v>
      </c>
      <c r="J9" s="47">
        <v>41518</v>
      </c>
      <c r="K9" s="47">
        <v>41548</v>
      </c>
      <c r="L9" s="47">
        <v>41579</v>
      </c>
      <c r="M9" s="51">
        <v>41609</v>
      </c>
    </row>
    <row r="10" spans="1:21" s="8" customFormat="1" ht="11.25" customHeight="1">
      <c r="A10" s="9" t="s">
        <v>128</v>
      </c>
      <c r="B10" s="57">
        <f t="shared" ref="B10:M10" si="3">B52</f>
        <v>58</v>
      </c>
      <c r="C10" s="57">
        <f t="shared" si="3"/>
        <v>22</v>
      </c>
      <c r="D10" s="57">
        <f t="shared" si="3"/>
        <v>23</v>
      </c>
      <c r="E10" s="57">
        <f t="shared" si="3"/>
        <v>28</v>
      </c>
      <c r="F10" s="57">
        <f t="shared" si="3"/>
        <v>26</v>
      </c>
      <c r="G10" s="59">
        <f t="shared" si="3"/>
        <v>28</v>
      </c>
      <c r="H10" s="59">
        <f t="shared" si="3"/>
        <v>29</v>
      </c>
      <c r="I10" s="59">
        <f t="shared" si="3"/>
        <v>44</v>
      </c>
      <c r="J10" s="59">
        <f t="shared" si="3"/>
        <v>41</v>
      </c>
      <c r="K10" s="59">
        <f t="shared" si="3"/>
        <v>23</v>
      </c>
      <c r="L10" s="158">
        <f t="shared" si="3"/>
        <v>46</v>
      </c>
      <c r="M10" s="168">
        <f t="shared" si="3"/>
        <v>71</v>
      </c>
    </row>
    <row r="11" spans="1:21" s="8" customFormat="1" ht="11.25" customHeight="1">
      <c r="A11" s="9" t="s">
        <v>127</v>
      </c>
      <c r="B11" s="59">
        <f t="shared" ref="B11:M11" si="4">B65</f>
        <v>7</v>
      </c>
      <c r="C11" s="59">
        <f t="shared" si="4"/>
        <v>1</v>
      </c>
      <c r="D11" s="59">
        <f t="shared" si="4"/>
        <v>3</v>
      </c>
      <c r="E11" s="59">
        <f t="shared" si="4"/>
        <v>4</v>
      </c>
      <c r="F11" s="59">
        <f t="shared" si="4"/>
        <v>5</v>
      </c>
      <c r="G11" s="59">
        <f t="shared" si="4"/>
        <v>0</v>
      </c>
      <c r="H11" s="59">
        <f t="shared" si="4"/>
        <v>5</v>
      </c>
      <c r="I11" s="59">
        <f t="shared" si="4"/>
        <v>3</v>
      </c>
      <c r="J11" s="59">
        <f t="shared" si="4"/>
        <v>4</v>
      </c>
      <c r="K11" s="59">
        <f t="shared" si="4"/>
        <v>0</v>
      </c>
      <c r="L11" s="158">
        <f t="shared" si="4"/>
        <v>6</v>
      </c>
      <c r="M11" s="169">
        <f t="shared" si="4"/>
        <v>0</v>
      </c>
    </row>
    <row r="12" spans="1:21" s="8" customFormat="1" ht="11.25" customHeight="1" thickBot="1">
      <c r="A12" s="2" t="s">
        <v>12</v>
      </c>
      <c r="B12" s="60">
        <f>COUNTIFS(Jan!$B:$B,2263,Jan!$F:$F,800)</f>
        <v>19</v>
      </c>
      <c r="C12" s="60">
        <v>14</v>
      </c>
      <c r="D12" s="60">
        <v>12</v>
      </c>
      <c r="E12" s="60">
        <v>6</v>
      </c>
      <c r="F12" s="60">
        <v>10</v>
      </c>
      <c r="G12" s="60">
        <v>14</v>
      </c>
      <c r="H12" s="60">
        <v>11</v>
      </c>
      <c r="I12" s="60">
        <v>15</v>
      </c>
      <c r="J12" s="60">
        <v>16</v>
      </c>
      <c r="K12" s="60">
        <v>8</v>
      </c>
      <c r="L12" s="60">
        <v>8</v>
      </c>
      <c r="M12" s="60">
        <v>12</v>
      </c>
    </row>
    <row r="13" spans="1:21" s="8" customFormat="1" ht="5.0999999999999996" customHeight="1" thickBot="1">
      <c r="A13" s="3"/>
      <c r="B13" s="17"/>
      <c r="C13" s="17"/>
      <c r="D13" s="17"/>
      <c r="E13" s="17"/>
      <c r="F13" s="17"/>
      <c r="G13" s="17"/>
      <c r="H13" s="17"/>
      <c r="I13" s="17"/>
      <c r="J13" s="17"/>
      <c r="K13" s="17"/>
      <c r="L13" s="17"/>
      <c r="M13" s="147"/>
    </row>
    <row r="14" spans="1:21" s="16" customFormat="1" ht="11.25" customHeight="1">
      <c r="A14" s="44" t="s">
        <v>131</v>
      </c>
      <c r="B14" s="120">
        <v>21413</v>
      </c>
      <c r="C14" s="120">
        <v>22122</v>
      </c>
      <c r="D14" s="120">
        <v>23489</v>
      </c>
      <c r="E14" s="120">
        <v>21899</v>
      </c>
      <c r="F14" s="120">
        <v>24490</v>
      </c>
      <c r="G14" s="120">
        <v>20466</v>
      </c>
      <c r="H14" s="119">
        <v>22617</v>
      </c>
      <c r="I14" s="61">
        <v>22921</v>
      </c>
      <c r="J14" s="61">
        <v>24617</v>
      </c>
      <c r="K14" s="118">
        <v>22871</v>
      </c>
      <c r="L14" s="160">
        <v>21218</v>
      </c>
      <c r="M14" s="173">
        <v>23156</v>
      </c>
      <c r="O14" s="22"/>
      <c r="P14" s="22"/>
      <c r="Q14" s="22"/>
    </row>
    <row r="15" spans="1:21" s="8" customFormat="1" ht="11.25" customHeight="1">
      <c r="A15" s="45" t="s">
        <v>132</v>
      </c>
      <c r="B15" s="62">
        <f>IFERROR((SUMIFS(Jan!$N:$N,Jan!$J:$J,1,Jan!$B:$B,2263)+SUMIFS(Jan!$N:$N,Jan!$D:$D,"&gt;1",Jan!$B:$B,2263))/(COUNTIFS(Jan!$J:$J,1,Jan!$B:$B,2263)+COUNTIFS(Jan!$D:$D,"&gt;1",Jan!$B:$B,2263)),"")</f>
        <v>34.125</v>
      </c>
      <c r="C15" s="62">
        <v>33.49</v>
      </c>
      <c r="D15" s="62">
        <v>30.82</v>
      </c>
      <c r="E15" s="62">
        <v>31.03</v>
      </c>
      <c r="F15" s="62">
        <v>31.93</v>
      </c>
      <c r="G15" s="62">
        <v>33.69</v>
      </c>
      <c r="H15" s="62">
        <v>30.26</v>
      </c>
      <c r="I15" s="62">
        <v>32.32</v>
      </c>
      <c r="J15" s="62">
        <v>32.409999999999997</v>
      </c>
      <c r="K15" s="62">
        <v>29.87</v>
      </c>
      <c r="L15" s="62">
        <v>29.47</v>
      </c>
      <c r="M15" s="62">
        <v>26.67</v>
      </c>
      <c r="N15" s="15"/>
      <c r="O15" s="1"/>
      <c r="P15" s="1"/>
      <c r="Q15" s="1"/>
    </row>
    <row r="16" spans="1:21" s="8" customFormat="1" ht="11.25" customHeight="1">
      <c r="A16" s="45" t="s">
        <v>133</v>
      </c>
      <c r="B16" s="62">
        <f>IFERROR(AVERAGEIFS(Jan!$N:$N,Jan!$F:$F,800,Jan!$B:$B,2263),"")</f>
        <v>34.157894736842103</v>
      </c>
      <c r="C16" s="62">
        <v>32.270000000000003</v>
      </c>
      <c r="D16" s="62">
        <v>30.2</v>
      </c>
      <c r="E16" s="62">
        <v>24.78</v>
      </c>
      <c r="F16" s="62">
        <v>31.62</v>
      </c>
      <c r="G16" s="62">
        <v>34.79</v>
      </c>
      <c r="H16" s="62">
        <v>30.45</v>
      </c>
      <c r="I16" s="62">
        <v>30.69</v>
      </c>
      <c r="J16" s="62">
        <v>26.38</v>
      </c>
      <c r="K16" s="62">
        <v>28.25</v>
      </c>
      <c r="L16" s="62">
        <v>26.63</v>
      </c>
      <c r="M16" s="62">
        <v>27.62</v>
      </c>
      <c r="O16" s="1"/>
      <c r="P16" s="1"/>
      <c r="Q16" s="1"/>
    </row>
    <row r="17" spans="1:17" s="8" customFormat="1" ht="11.25" customHeight="1">
      <c r="A17" s="45" t="s">
        <v>134</v>
      </c>
      <c r="B17" s="63">
        <f>IFERROR((SUMIFS(Jan!$M:$M,Jan!$J:$J,1,Jan!$B:$B,2263)+SUMIFS(Jan!$M:$M,Jan!$D:$D,"&gt;1",Jan!$B:$B,2263))/(COUNTIFS(Jan!$J:$J,1,Jan!$B:$B,2263)+COUNTIFS(Jan!$D:$D,"&gt;1",Jan!$B:$B,2263)),"")</f>
        <v>5.8166666666666664</v>
      </c>
      <c r="C17" s="63">
        <v>7.04</v>
      </c>
      <c r="D17" s="63">
        <v>6.96</v>
      </c>
      <c r="E17" s="63">
        <v>4.71</v>
      </c>
      <c r="F17" s="63">
        <v>4.67</v>
      </c>
      <c r="G17" s="63">
        <v>2.81</v>
      </c>
      <c r="H17" s="63">
        <v>1.38</v>
      </c>
      <c r="I17" s="63">
        <v>2.08</v>
      </c>
      <c r="J17" s="63">
        <v>2.95</v>
      </c>
      <c r="K17" s="63">
        <v>4.12</v>
      </c>
      <c r="L17" s="63">
        <v>5.21</v>
      </c>
      <c r="M17" s="63">
        <v>7.58</v>
      </c>
      <c r="O17" s="1"/>
      <c r="P17" s="1"/>
      <c r="Q17" s="1"/>
    </row>
    <row r="18" spans="1:17" s="8" customFormat="1" ht="11.25" customHeight="1" thickBot="1">
      <c r="A18" s="43" t="s">
        <v>135</v>
      </c>
      <c r="B18" s="64">
        <f>IFERROR(AVERAGEIFS(Jan!$M:$M,Jan!$F:$F,800,Jan!$B:$B,2263),"")</f>
        <v>5.9368421052631568</v>
      </c>
      <c r="C18" s="64">
        <v>2.63</v>
      </c>
      <c r="D18" s="64">
        <v>6.09</v>
      </c>
      <c r="E18" s="64">
        <v>6.63</v>
      </c>
      <c r="F18" s="64">
        <v>0.65</v>
      </c>
      <c r="G18" s="64">
        <v>3.48</v>
      </c>
      <c r="H18" s="64">
        <v>0.8</v>
      </c>
      <c r="I18" s="64">
        <v>1.49</v>
      </c>
      <c r="J18" s="64">
        <v>5.59</v>
      </c>
      <c r="K18" s="64">
        <v>6.47</v>
      </c>
      <c r="L18" s="64">
        <v>2.69</v>
      </c>
      <c r="M18" s="64">
        <v>8.7899999999999991</v>
      </c>
    </row>
    <row r="19" spans="1:17" s="8" customFormat="1" ht="5.0999999999999996" customHeight="1" thickBot="1">
      <c r="A19" s="3"/>
      <c r="B19" s="17"/>
      <c r="C19" s="17"/>
      <c r="D19" s="17"/>
      <c r="E19" s="17"/>
      <c r="F19" s="17"/>
      <c r="G19" s="17"/>
      <c r="H19" s="17"/>
      <c r="I19" s="17"/>
      <c r="J19" s="17"/>
      <c r="K19" s="17"/>
      <c r="L19" s="17"/>
      <c r="M19" s="147"/>
    </row>
    <row r="20" spans="1:17" s="8" customFormat="1" ht="11.25" customHeight="1">
      <c r="A20" s="42" t="s">
        <v>52</v>
      </c>
      <c r="B20" s="65">
        <v>31</v>
      </c>
      <c r="C20" s="65">
        <v>28</v>
      </c>
      <c r="D20" s="65">
        <v>31</v>
      </c>
      <c r="E20" s="65">
        <v>30</v>
      </c>
      <c r="F20" s="65">
        <v>31</v>
      </c>
      <c r="G20" s="65">
        <v>30</v>
      </c>
      <c r="H20" s="65">
        <v>31</v>
      </c>
      <c r="I20" s="65">
        <v>31</v>
      </c>
      <c r="J20" s="65">
        <v>30</v>
      </c>
      <c r="K20" s="65">
        <v>31</v>
      </c>
      <c r="L20" s="161">
        <v>30</v>
      </c>
      <c r="M20" s="174">
        <v>31</v>
      </c>
    </row>
    <row r="21" spans="1:17" s="8" customFormat="1" ht="11.25" customHeight="1">
      <c r="A21" s="9" t="s">
        <v>15</v>
      </c>
      <c r="B21" s="66">
        <f>B12/B20</f>
        <v>0.61290322580645162</v>
      </c>
      <c r="C21" s="66">
        <f t="shared" ref="C21:M21" si="5">C12/C20</f>
        <v>0.5</v>
      </c>
      <c r="D21" s="66">
        <f>D12/D20</f>
        <v>0.38709677419354838</v>
      </c>
      <c r="E21" s="66">
        <f>E12/E20</f>
        <v>0.2</v>
      </c>
      <c r="F21" s="66">
        <f>F12/F20</f>
        <v>0.32258064516129031</v>
      </c>
      <c r="G21" s="66">
        <f>G12/G20</f>
        <v>0.46666666666666667</v>
      </c>
      <c r="H21" s="66">
        <f t="shared" si="5"/>
        <v>0.35483870967741937</v>
      </c>
      <c r="I21" s="66">
        <f t="shared" si="5"/>
        <v>0.4838709677419355</v>
      </c>
      <c r="J21" s="66">
        <f t="shared" si="5"/>
        <v>0.53333333333333333</v>
      </c>
      <c r="K21" s="66">
        <f t="shared" si="5"/>
        <v>0.25806451612903225</v>
      </c>
      <c r="L21" s="162">
        <f t="shared" si="5"/>
        <v>0.26666666666666666</v>
      </c>
      <c r="M21" s="175">
        <f t="shared" si="5"/>
        <v>0.38709677419354838</v>
      </c>
    </row>
    <row r="22" spans="1:17" s="8" customFormat="1" ht="11.25" customHeight="1">
      <c r="A22" s="9" t="s">
        <v>130</v>
      </c>
      <c r="B22" s="67">
        <f t="shared" ref="B22:G22" si="6">IFERROR(B12/B7,0)</f>
        <v>0.22619047619047619</v>
      </c>
      <c r="C22" s="67">
        <f t="shared" si="6"/>
        <v>0.3783783783783784</v>
      </c>
      <c r="D22" s="67">
        <f t="shared" si="6"/>
        <v>0.31578947368421051</v>
      </c>
      <c r="E22" s="67">
        <f t="shared" si="6"/>
        <v>0.15789473684210525</v>
      </c>
      <c r="F22" s="67">
        <f t="shared" si="6"/>
        <v>0.24390243902439024</v>
      </c>
      <c r="G22" s="67">
        <f t="shared" si="6"/>
        <v>0.33333333333333331</v>
      </c>
      <c r="H22" s="67">
        <f t="shared" ref="H22:M22" si="7">IFERROR(H12/H7,0)</f>
        <v>0.24444444444444444</v>
      </c>
      <c r="I22" s="67">
        <f t="shared" si="7"/>
        <v>0.24193548387096775</v>
      </c>
      <c r="J22" s="67">
        <f t="shared" si="7"/>
        <v>0.26229508196721313</v>
      </c>
      <c r="K22" s="116">
        <f t="shared" si="7"/>
        <v>0.25806451612903225</v>
      </c>
      <c r="L22" s="67">
        <f t="shared" si="7"/>
        <v>0.13333333333333333</v>
      </c>
      <c r="M22" s="176">
        <f t="shared" si="7"/>
        <v>0.14457831325301204</v>
      </c>
      <c r="N22" s="1"/>
    </row>
    <row r="23" spans="1:17" s="8" customFormat="1" ht="11.25" customHeight="1" thickBot="1">
      <c r="A23" s="9" t="s">
        <v>53</v>
      </c>
      <c r="B23" s="67">
        <f t="shared" ref="B23:G23" si="8">IFERROR(B12/(B11+B12),0)</f>
        <v>0.73076923076923073</v>
      </c>
      <c r="C23" s="67">
        <f t="shared" si="8"/>
        <v>0.93333333333333335</v>
      </c>
      <c r="D23" s="67">
        <f t="shared" si="8"/>
        <v>0.8</v>
      </c>
      <c r="E23" s="67">
        <f t="shared" si="8"/>
        <v>0.6</v>
      </c>
      <c r="F23" s="67">
        <f t="shared" si="8"/>
        <v>0.66666666666666663</v>
      </c>
      <c r="G23" s="67">
        <f t="shared" si="8"/>
        <v>1</v>
      </c>
      <c r="H23" s="67">
        <f t="shared" ref="H23:M23" si="9">IFERROR(H12/(H11+H12),0)</f>
        <v>0.6875</v>
      </c>
      <c r="I23" s="67">
        <f t="shared" si="9"/>
        <v>0.83333333333333337</v>
      </c>
      <c r="J23" s="67">
        <f t="shared" si="9"/>
        <v>0.8</v>
      </c>
      <c r="K23" s="117">
        <f t="shared" si="9"/>
        <v>1</v>
      </c>
      <c r="L23" s="163">
        <f t="shared" si="9"/>
        <v>0.5714285714285714</v>
      </c>
      <c r="M23" s="177">
        <f t="shared" si="9"/>
        <v>1</v>
      </c>
      <c r="N23" s="4"/>
    </row>
    <row r="24" spans="1:17" s="8" customFormat="1" ht="11.25" customHeight="1" thickBot="1">
      <c r="A24" s="56" t="s">
        <v>21</v>
      </c>
      <c r="B24" s="50">
        <v>41275</v>
      </c>
      <c r="C24" s="47">
        <v>41306</v>
      </c>
      <c r="D24" s="47">
        <v>41334</v>
      </c>
      <c r="E24" s="47">
        <v>41365</v>
      </c>
      <c r="F24" s="47">
        <v>41395</v>
      </c>
      <c r="G24" s="47">
        <v>41426</v>
      </c>
      <c r="H24" s="47">
        <v>41456</v>
      </c>
      <c r="I24" s="47">
        <v>41487</v>
      </c>
      <c r="J24" s="47">
        <v>41518</v>
      </c>
      <c r="K24" s="47">
        <v>41548</v>
      </c>
      <c r="L24" s="47">
        <v>41579</v>
      </c>
      <c r="M24" s="51">
        <v>41609</v>
      </c>
    </row>
    <row r="25" spans="1:17" s="8" customFormat="1" ht="11.25" customHeight="1">
      <c r="A25" s="18" t="s">
        <v>5</v>
      </c>
      <c r="B25" s="68">
        <f>COUNTIFS(Jan!$B:$B,2263,Jan!$J:$J,18)</f>
        <v>1</v>
      </c>
      <c r="C25" s="68">
        <f>COUNTIFS(Feb!$B:$B,2263,Feb!$J:$J,18)</f>
        <v>0</v>
      </c>
      <c r="D25" s="68">
        <v>1</v>
      </c>
      <c r="E25" s="68">
        <v>1</v>
      </c>
      <c r="F25" s="68">
        <f>COUNTIFS(May!$B:$B,2263,May!$J:$J,18)</f>
        <v>0</v>
      </c>
      <c r="G25" s="68">
        <f>COUNTIFS(Jun!$B:$B,2263,Jun!$J:$J,18)</f>
        <v>0</v>
      </c>
      <c r="H25" s="68">
        <v>1</v>
      </c>
      <c r="I25" s="68">
        <f>COUNTIFS(Aug!$B:$B,2263,Aug!$J:$J,18)</f>
        <v>0</v>
      </c>
      <c r="J25" s="68">
        <f>COUNTIFS(Sep!$B:$B,2263,Sep!$J:$J,18)</f>
        <v>0</v>
      </c>
      <c r="K25" s="68">
        <f>COUNTIFS(Oct!$B:$B,2263,Oct!$J:$J,18)</f>
        <v>0</v>
      </c>
      <c r="L25" s="68">
        <f>COUNTIFS(Nov!$B:$B,2263,Nov!$J:$J,18)</f>
        <v>0</v>
      </c>
      <c r="M25" s="68">
        <v>1</v>
      </c>
    </row>
    <row r="26" spans="1:17" s="8" customFormat="1" ht="11.25" customHeight="1">
      <c r="A26" s="46" t="s">
        <v>40</v>
      </c>
      <c r="B26" s="57">
        <f>COUNTIFS(Jan!$B:$B,2263,Jan!$J:$J,41)</f>
        <v>0</v>
      </c>
      <c r="C26" s="57">
        <f>COUNTIFS(Feb!$B:$B,2263,Feb!$J:$J,41)</f>
        <v>0</v>
      </c>
      <c r="D26" s="57">
        <f>COUNTIFS(Mar!$B:$B,2263,Mar!$J:$J,41)</f>
        <v>0</v>
      </c>
      <c r="E26" s="57">
        <f>COUNTIFS(Apr!$B:$B,2263,Apr!$J:$J,41)</f>
        <v>0</v>
      </c>
      <c r="F26" s="57">
        <f>COUNTIFS(May!$B:$B,2263,May!$J:$J,41)</f>
        <v>0</v>
      </c>
      <c r="G26" s="57">
        <f>COUNTIFS(Jun!$B:$B,2263,Jun!$J:$J,41)</f>
        <v>0</v>
      </c>
      <c r="H26" s="57">
        <f>COUNTIFS(Jul!$B:$B,2263,Jul!$J:$J,41)</f>
        <v>0</v>
      </c>
      <c r="I26" s="57">
        <f>COUNTIFS(Aug!$B:$B,2263,Aug!$J:$J,41)</f>
        <v>0</v>
      </c>
      <c r="J26" s="57">
        <f>COUNTIFS(Sep!$B:$B,2263,Sep!$J:$J,41)</f>
        <v>0</v>
      </c>
      <c r="K26" s="57">
        <v>0</v>
      </c>
      <c r="L26" s="57">
        <f>COUNTIFS(Nov!$B:$B,2263,Nov!$J:$J,41)</f>
        <v>0</v>
      </c>
      <c r="M26" s="57">
        <v>0</v>
      </c>
    </row>
    <row r="27" spans="1:17" s="8" customFormat="1" ht="11.25" customHeight="1">
      <c r="A27" s="9" t="s">
        <v>11</v>
      </c>
      <c r="B27" s="179">
        <f>COUNTIFS(Jan!$B:$B,2263,Jan!$J:$J,17)</f>
        <v>48</v>
      </c>
      <c r="C27" s="206">
        <v>19</v>
      </c>
      <c r="D27" s="206">
        <v>30</v>
      </c>
      <c r="E27" s="206">
        <v>17</v>
      </c>
      <c r="F27" s="206">
        <v>23</v>
      </c>
      <c r="G27" s="206">
        <v>28</v>
      </c>
      <c r="H27" s="206">
        <v>22</v>
      </c>
      <c r="I27" s="206">
        <v>28</v>
      </c>
      <c r="J27" s="206">
        <v>24</v>
      </c>
      <c r="K27" s="206">
        <v>10</v>
      </c>
      <c r="L27" s="206">
        <v>20</v>
      </c>
      <c r="M27" s="206">
        <v>49</v>
      </c>
    </row>
    <row r="28" spans="1:17" s="8" customFormat="1" ht="11.25" customHeight="1">
      <c r="A28" s="9" t="s">
        <v>143</v>
      </c>
      <c r="B28" s="59">
        <f>COUNTIFS(Jan!$B:$B,2263,Jan!$F:$F,455)</f>
        <v>0</v>
      </c>
      <c r="C28" s="59">
        <f>COUNTIFS(Feb!$B:$B,2263,Feb!$F:$F,455)</f>
        <v>0</v>
      </c>
      <c r="D28" s="59">
        <f>COUNTIFS(Mar!$B:$B,2263,Mar!$F:$F,455)</f>
        <v>0</v>
      </c>
      <c r="E28" s="59">
        <f>COUNTIFS(Apr!$B:$B,2263,Apr!$F:$F,455)</f>
        <v>0</v>
      </c>
      <c r="F28" s="59">
        <f>COUNTIFS(May!$B:$B,2263,May!$F:$F,455)</f>
        <v>0</v>
      </c>
      <c r="G28" s="59">
        <f>COUNTIFS(Jun!$B:$B,2263,Jun!$F:$F,455)</f>
        <v>0</v>
      </c>
      <c r="H28" s="59">
        <f>COUNTIFS(Jul!$B:$B,2263,Jul!$F:$F,455)</f>
        <v>0</v>
      </c>
      <c r="I28" s="59">
        <f>COUNTIFS(Aug!$B:$B,2263,Aug!$F:$F,455)</f>
        <v>0</v>
      </c>
      <c r="J28" s="59">
        <f>COUNTIFS(Sep!$B:$B,2263,Sep!$F:$F,455)</f>
        <v>0</v>
      </c>
      <c r="K28" s="59">
        <f>COUNTIFS(Oct!$B:$B,2263,Oct!$F:$F,455)</f>
        <v>0</v>
      </c>
      <c r="L28" s="59">
        <f>COUNTIFS(Nov!$B:$B,2263,Nov!$F:$F,455)</f>
        <v>0</v>
      </c>
      <c r="M28" s="59">
        <v>0</v>
      </c>
    </row>
    <row r="29" spans="1:17" s="8" customFormat="1" ht="11.25" customHeight="1">
      <c r="A29" s="9" t="s">
        <v>23</v>
      </c>
      <c r="B29" s="59">
        <f>COUNTIFS(Jan!$B:$B,2263,Jan!$J:$J,31)</f>
        <v>0</v>
      </c>
      <c r="C29" s="59">
        <f>COUNTIFS(Feb!$B:$B,2263,Feb!$J:$J,31)</f>
        <v>0</v>
      </c>
      <c r="D29" s="59">
        <f>COUNTIFS(Mar!$B:$B,2263,Mar!$J:$J,31)</f>
        <v>0</v>
      </c>
      <c r="E29" s="59">
        <f>COUNTIFS(Apr!$B:$B,2263,Apr!$J:$J,31)</f>
        <v>0</v>
      </c>
      <c r="F29" s="59">
        <f>COUNTIFS(May!$B:$B,2263,May!$J:$J,31)</f>
        <v>0</v>
      </c>
      <c r="G29" s="59">
        <f>COUNTIFS(Jun!$B:$B,2263,Jun!$J:$J,31)</f>
        <v>0</v>
      </c>
      <c r="H29" s="59">
        <f>COUNTIFS(Jul!$B:$B,2263,Jul!$J:$J,31)</f>
        <v>0</v>
      </c>
      <c r="I29" s="59">
        <f>COUNTIFS(Aug!$B:$B,2263,Aug!$J:$J,31)</f>
        <v>0</v>
      </c>
      <c r="J29" s="59">
        <f>COUNTIFS(Sep!$B:$B,2263,Sep!$J:$J,31)</f>
        <v>0</v>
      </c>
      <c r="K29" s="59">
        <f>COUNTIFS(Oct!$B:$B,2263,Oct!$J:$J,31)</f>
        <v>0</v>
      </c>
      <c r="L29" s="59">
        <f>COUNTIFS(Nov!$B:$B,2263,Nov!$J:$J,31)</f>
        <v>0</v>
      </c>
      <c r="M29" s="59">
        <v>0</v>
      </c>
    </row>
    <row r="30" spans="1:17" s="8" customFormat="1" ht="11.25" customHeight="1">
      <c r="A30" s="9" t="s">
        <v>37</v>
      </c>
      <c r="B30" s="59">
        <f>COUNTIFS(Jan!$B:$B,2263,Jan!$J:$J,4400)</f>
        <v>0</v>
      </c>
      <c r="C30" s="59">
        <f>COUNTIFS(Feb!$B:$B,2263,Feb!$J:$J,4400)</f>
        <v>0</v>
      </c>
      <c r="D30" s="59">
        <f>COUNTIFS(Mar!$B:$B,2263,Mar!$J:$J,4400)</f>
        <v>0</v>
      </c>
      <c r="E30" s="59">
        <f>COUNTIFS(Apr!$B:$B,2263,Apr!$J:$J,4400)</f>
        <v>0</v>
      </c>
      <c r="F30" s="59">
        <f>COUNTIFS(May!$B:$B,2263,May!$J:$J,4400)</f>
        <v>0</v>
      </c>
      <c r="G30" s="59">
        <f>COUNTIFS(Jun!$B:$B,2263,Jun!$J:$J,4400)</f>
        <v>0</v>
      </c>
      <c r="H30" s="59">
        <v>2</v>
      </c>
      <c r="I30" s="59">
        <f>COUNTIFS(Aug!$B:$B,2263,Aug!$J:$J,4400)</f>
        <v>0</v>
      </c>
      <c r="J30" s="59">
        <v>1</v>
      </c>
      <c r="K30" s="59">
        <v>1</v>
      </c>
      <c r="L30" s="59">
        <f>COUNTIFS(Nov!$B:$B,2263,Nov!$J:$J,4400)</f>
        <v>0</v>
      </c>
      <c r="M30" s="59">
        <v>1</v>
      </c>
    </row>
    <row r="31" spans="1:17" s="8" customFormat="1" ht="11.25" customHeight="1">
      <c r="A31" s="10" t="s">
        <v>24</v>
      </c>
      <c r="B31" s="59">
        <f>COUNTIFS(Jan!$B:$B,2263,Jan!$J:$J,30)</f>
        <v>0</v>
      </c>
      <c r="C31" s="59">
        <f>COUNTIFS(Feb!$B:$B,2263,Feb!$J:$J,30)</f>
        <v>0</v>
      </c>
      <c r="D31" s="59">
        <f>COUNTIFS(Mar!$B:$B,2263,Mar!$J:$J,30)</f>
        <v>0</v>
      </c>
      <c r="E31" s="59">
        <f>COUNTIFS(Apr!$B:$B,2263,Apr!$J:$J,30)</f>
        <v>0</v>
      </c>
      <c r="F31" s="59">
        <f>COUNTIFS(May!$B:$B,2263,May!$J:$J,30)</f>
        <v>0</v>
      </c>
      <c r="G31" s="59">
        <f>COUNTIFS(Jun!$B:$B,2263,Jun!$J:$J,30)</f>
        <v>0</v>
      </c>
      <c r="H31" s="59">
        <f>COUNTIFS(Jul!$B:$B,2263,Jul!$J:$J,30)</f>
        <v>0</v>
      </c>
      <c r="I31" s="59">
        <f>COUNTIFS(Aug!$B:$B,2263,Aug!$J:$J,30)</f>
        <v>0</v>
      </c>
      <c r="J31" s="59">
        <f>COUNTIFS(Sep!$B:$B,2263,Sep!$J:$J,30)</f>
        <v>0</v>
      </c>
      <c r="K31" s="59">
        <f>COUNTIFS(Oct!$B:$B,2263,Oct!$J:$J,30)</f>
        <v>0</v>
      </c>
      <c r="L31" s="59">
        <f>COUNTIFS(Nov!$B:$B,2263,Nov!$J:$J,30)</f>
        <v>0</v>
      </c>
      <c r="M31" s="59">
        <v>0</v>
      </c>
    </row>
    <row r="32" spans="1:17" s="14" customFormat="1" ht="11.25" customHeight="1" thickBot="1">
      <c r="A32" s="2" t="s">
        <v>140</v>
      </c>
      <c r="B32" s="60">
        <f>SUM(B25:B31)</f>
        <v>49</v>
      </c>
      <c r="C32" s="60">
        <f t="shared" ref="C32:M32" si="10">SUM(C25:C31)</f>
        <v>19</v>
      </c>
      <c r="D32" s="60">
        <f>SUM(D25:D31)</f>
        <v>31</v>
      </c>
      <c r="E32" s="60">
        <f>SUM(E25:E31)</f>
        <v>18</v>
      </c>
      <c r="F32" s="60">
        <f>SUM(F25:F31)</f>
        <v>23</v>
      </c>
      <c r="G32" s="60">
        <f>SUM(G25:G31)</f>
        <v>28</v>
      </c>
      <c r="H32" s="60">
        <f t="shared" si="10"/>
        <v>25</v>
      </c>
      <c r="I32" s="60">
        <f t="shared" si="10"/>
        <v>28</v>
      </c>
      <c r="J32" s="60">
        <f t="shared" si="10"/>
        <v>25</v>
      </c>
      <c r="K32" s="60">
        <f t="shared" si="10"/>
        <v>11</v>
      </c>
      <c r="L32" s="159">
        <f t="shared" si="10"/>
        <v>20</v>
      </c>
      <c r="M32" s="170">
        <f t="shared" si="10"/>
        <v>51</v>
      </c>
    </row>
    <row r="33" spans="1:13" ht="12" customHeight="1" thickBot="1">
      <c r="A33" s="55" t="s">
        <v>136</v>
      </c>
      <c r="B33" s="50">
        <v>41275</v>
      </c>
      <c r="C33" s="47">
        <v>41306</v>
      </c>
      <c r="D33" s="47">
        <v>41334</v>
      </c>
      <c r="E33" s="47">
        <v>41365</v>
      </c>
      <c r="F33" s="47">
        <v>41395</v>
      </c>
      <c r="G33" s="47">
        <v>41426</v>
      </c>
      <c r="H33" s="47">
        <v>41456</v>
      </c>
      <c r="I33" s="47">
        <v>41487</v>
      </c>
      <c r="J33" s="47">
        <v>41518</v>
      </c>
      <c r="K33" s="47">
        <v>41548</v>
      </c>
      <c r="L33" s="47">
        <v>41579</v>
      </c>
      <c r="M33" s="51">
        <v>41609</v>
      </c>
    </row>
    <row r="34" spans="1:13" s="8" customFormat="1" ht="11.25" customHeight="1">
      <c r="A34" s="46" t="s">
        <v>33</v>
      </c>
      <c r="B34" s="57">
        <f>COUNTIFS(Jan!$B:$B,2263,Jan!$J:$J,40)</f>
        <v>0</v>
      </c>
      <c r="C34" s="57">
        <f>COUNTIFS(Feb!$B:$B,2263,Feb!$J:$J,40)</f>
        <v>0</v>
      </c>
      <c r="D34" s="57">
        <f>COUNTIFS(Mar!$B:$B,2263,Mar!$J:$J,40)</f>
        <v>0</v>
      </c>
      <c r="E34" s="57">
        <f>COUNTIFS(Apr!$B:$B,2263,Apr!$J:$J,40)</f>
        <v>0</v>
      </c>
      <c r="F34" s="57">
        <f>COUNTIFS(May!$B:$B,2263,May!$J:$J,40)</f>
        <v>0</v>
      </c>
      <c r="G34" s="57">
        <f>COUNTIFS(Jun!$B:$B,2263,Jun!$J:$J,40)</f>
        <v>0</v>
      </c>
      <c r="H34" s="57">
        <f>COUNTIFS(Jul!$B:$B,2263,Jul!$J:$J,40)</f>
        <v>0</v>
      </c>
      <c r="I34" s="57">
        <f>COUNTIFS(Aug!$B:$B,2263,Aug!$J:$J,40)</f>
        <v>0</v>
      </c>
      <c r="J34" s="57">
        <f>COUNTIFS(Sep!$B:$B,2263,Sep!$J:$J,40)</f>
        <v>0</v>
      </c>
      <c r="K34" s="57">
        <f>COUNTIFS(Oct!$B:$B,2263,Oct!$J:$J,40)</f>
        <v>0</v>
      </c>
      <c r="L34" s="57">
        <f>COUNTIFS(Nov!$B:$B,2263,Nov!$J:$J,40)</f>
        <v>0</v>
      </c>
      <c r="M34" s="57">
        <v>0</v>
      </c>
    </row>
    <row r="35" spans="1:13" s="8" customFormat="1" ht="11.25" customHeight="1">
      <c r="A35" s="10" t="s">
        <v>4</v>
      </c>
      <c r="B35" s="59">
        <f>COUNTIFS(Jan!$B:$B,2263,Jan!$J:$J,15)</f>
        <v>2</v>
      </c>
      <c r="C35" s="59">
        <f>COUNTIFS(Feb!$B:$B,2263,Feb!$J:$J,15)</f>
        <v>0</v>
      </c>
      <c r="D35" s="59">
        <v>2</v>
      </c>
      <c r="E35" s="59">
        <f>COUNTIFS(Apr!$B:$B,2263,Apr!$J:$J,15)</f>
        <v>0</v>
      </c>
      <c r="F35" s="59">
        <v>1</v>
      </c>
      <c r="G35" s="59">
        <f>COUNTIFS(Jun!$B:$B,2263,Jun!$J:$J,15)</f>
        <v>0</v>
      </c>
      <c r="H35" s="59">
        <f>COUNTIFS(Jul!$B:$B,2263,Jul!$J:$J,15)</f>
        <v>0</v>
      </c>
      <c r="I35" s="59">
        <v>1</v>
      </c>
      <c r="J35" s="59">
        <f>COUNTIFS(Sep!$B:$B,2263,Sep!$J:$J,15)</f>
        <v>0</v>
      </c>
      <c r="K35" s="59">
        <f>COUNTIFS(Oct!$B:$B,2263,Oct!$J:$J,15)</f>
        <v>0</v>
      </c>
      <c r="L35" s="59">
        <f>COUNTIFS(Nov!$B:$B,2263,Nov!$J:$J,15)</f>
        <v>0</v>
      </c>
      <c r="M35" s="59">
        <v>2</v>
      </c>
    </row>
    <row r="36" spans="1:13" s="8" customFormat="1" ht="11.25" customHeight="1">
      <c r="A36" s="10" t="s">
        <v>39</v>
      </c>
      <c r="B36" s="59">
        <f>COUNTIFS(Jan!$B:$B,2263,Jan!$J:$J,29)</f>
        <v>0</v>
      </c>
      <c r="C36" s="59">
        <f>COUNTIFS(Feb!$B:$B,2263,Feb!$J:$J,29)</f>
        <v>0</v>
      </c>
      <c r="D36" s="59">
        <v>2</v>
      </c>
      <c r="E36" s="59">
        <v>2</v>
      </c>
      <c r="F36" s="59">
        <v>1</v>
      </c>
      <c r="G36" s="59">
        <v>3</v>
      </c>
      <c r="H36" s="59">
        <v>1</v>
      </c>
      <c r="I36" s="59">
        <v>1</v>
      </c>
      <c r="J36" s="59">
        <v>2</v>
      </c>
      <c r="K36" s="59">
        <v>1</v>
      </c>
      <c r="L36" s="59">
        <v>2</v>
      </c>
      <c r="M36" s="59">
        <v>4</v>
      </c>
    </row>
    <row r="37" spans="1:13" s="8" customFormat="1" ht="11.25" customHeight="1">
      <c r="A37" s="10" t="s">
        <v>3</v>
      </c>
      <c r="B37" s="59">
        <f>COUNTIFS(Jan!$B:$B,2263,Jan!$J:$J,13)</f>
        <v>3</v>
      </c>
      <c r="C37" s="59">
        <v>2</v>
      </c>
      <c r="D37" s="59">
        <v>2</v>
      </c>
      <c r="E37" s="59">
        <f>COUNTIFS(Apr!$B:$B,2263,Apr!$J:$J,13)</f>
        <v>0</v>
      </c>
      <c r="F37" s="59">
        <v>2</v>
      </c>
      <c r="G37" s="59">
        <v>2</v>
      </c>
      <c r="H37" s="59">
        <v>1</v>
      </c>
      <c r="I37" s="59">
        <v>1</v>
      </c>
      <c r="J37" s="59">
        <v>3</v>
      </c>
      <c r="K37" s="59">
        <f>COUNTIFS(Oct!$B:$B,2263,Oct!$J:$J,13)</f>
        <v>0</v>
      </c>
      <c r="L37" s="59">
        <v>1</v>
      </c>
      <c r="M37" s="59">
        <v>3</v>
      </c>
    </row>
    <row r="38" spans="1:13" s="8" customFormat="1" ht="11.25" customHeight="1">
      <c r="A38" s="9" t="s">
        <v>218</v>
      </c>
      <c r="B38" s="59">
        <f>COUNTIFS(Jan!$B:$B,2263,Jan!$J:$J,43)</f>
        <v>0</v>
      </c>
      <c r="C38" s="59">
        <f>COUNTIFS(Feb!$B:$B,2263,Feb!$J:$J,43)</f>
        <v>0</v>
      </c>
      <c r="D38" s="59">
        <f>COUNTIFS(Mar!$B:$B,2263,Mar!$J:$J,43)</f>
        <v>0</v>
      </c>
      <c r="E38" s="59">
        <f>COUNTIFS(Apr!$B:$B,2263,Apr!$J:$J,43)</f>
        <v>0</v>
      </c>
      <c r="F38" s="59">
        <v>1</v>
      </c>
      <c r="G38" s="59">
        <f>COUNTIFS(Jun!$B:$B,2263,Jun!$J:$J,43)</f>
        <v>0</v>
      </c>
      <c r="H38" s="59">
        <f>COUNTIFS(Jul!$B:$B,2263,Jul!$J:$J,43)</f>
        <v>0</v>
      </c>
      <c r="I38" s="59">
        <f>COUNTIFS(Aug!$B:$B,2263,Aug!$J:$J,43)</f>
        <v>0</v>
      </c>
      <c r="J38" s="59">
        <v>1</v>
      </c>
      <c r="K38" s="59">
        <f>COUNTIFS(Oct!$B:$B,2263,Oct!$J:$J,43)</f>
        <v>0</v>
      </c>
      <c r="L38" s="59">
        <f>COUNTIFS(Nov!$B:$B,2263,Nov!$J:$J,43)</f>
        <v>0</v>
      </c>
      <c r="M38" s="59">
        <v>1</v>
      </c>
    </row>
    <row r="39" spans="1:13" s="8" customFormat="1" ht="11.25" customHeight="1">
      <c r="A39" s="10" t="s">
        <v>25</v>
      </c>
      <c r="B39" s="59">
        <f>COUNTIFS(Jan!$B:$B,2263,Jan!$J:$J,24)</f>
        <v>3</v>
      </c>
      <c r="C39" s="59">
        <v>1</v>
      </c>
      <c r="D39" s="59">
        <v>1</v>
      </c>
      <c r="E39" s="59">
        <v>3</v>
      </c>
      <c r="F39" s="59">
        <v>2</v>
      </c>
      <c r="G39" s="59">
        <v>5</v>
      </c>
      <c r="H39" s="59">
        <v>4</v>
      </c>
      <c r="I39" s="59">
        <v>5</v>
      </c>
      <c r="J39" s="59">
        <f>COUNTIFS(Sep!$B:$B,2263,Sep!$J:$J,24)</f>
        <v>0</v>
      </c>
      <c r="K39" s="59">
        <v>1</v>
      </c>
      <c r="L39" s="59">
        <v>3</v>
      </c>
      <c r="M39" s="59">
        <v>4</v>
      </c>
    </row>
    <row r="40" spans="1:13" s="8" customFormat="1" ht="11.25" customHeight="1">
      <c r="A40" s="10" t="s">
        <v>34</v>
      </c>
      <c r="B40" s="59">
        <f>COUNTIFS(Jan!$B:$B,2263,Jan!$J:$J,9)</f>
        <v>0</v>
      </c>
      <c r="C40" s="59">
        <f>COUNTIFS(Feb!$B:$B,2263,Feb!$J:$J,9)</f>
        <v>0</v>
      </c>
      <c r="D40" s="59">
        <f>COUNTIFS(Mar!$B:$B,2263,Mar!$J:$J,9)</f>
        <v>0</v>
      </c>
      <c r="E40" s="59">
        <f>COUNTIFS(Apr!$B:$B,2263,Apr!$J:$J,9)</f>
        <v>0</v>
      </c>
      <c r="F40" s="59">
        <f>COUNTIFS(May!$B:$B,2263,May!$J:$J,9)</f>
        <v>0</v>
      </c>
      <c r="G40" s="59">
        <f>COUNTIFS(Jun!$B:$B,2263,Jun!$J:$J,9)</f>
        <v>0</v>
      </c>
      <c r="H40" s="59">
        <v>1</v>
      </c>
      <c r="I40" s="59">
        <f>COUNTIFS(Aug!$B:$B,2263,Aug!$J:$J,9)</f>
        <v>0</v>
      </c>
      <c r="J40" s="59">
        <f>COUNTIFS(Sep!$B:$B,2263,Sep!$J:$J,9)</f>
        <v>0</v>
      </c>
      <c r="K40" s="59">
        <f>COUNTIFS(Oct!$B:$B,2263,Oct!$J:$J,9)</f>
        <v>0</v>
      </c>
      <c r="L40" s="59">
        <f>COUNTIFS(Nov!$B:$B,2263,Nov!$J:$J,9)</f>
        <v>0</v>
      </c>
      <c r="M40" s="59">
        <v>0</v>
      </c>
    </row>
    <row r="41" spans="1:13" s="8" customFormat="1" ht="11.25" customHeight="1">
      <c r="A41" s="10" t="s">
        <v>31</v>
      </c>
      <c r="B41" s="59">
        <f>COUNTIFS(Jan!$B:$B,2263,Jan!$J:$J,10)</f>
        <v>0</v>
      </c>
      <c r="C41" s="59">
        <v>1</v>
      </c>
      <c r="D41" s="59">
        <v>1</v>
      </c>
      <c r="E41" s="59">
        <f>COUNTIFS(Apr!$B:$B,2263,Apr!$J:$J,10)</f>
        <v>0</v>
      </c>
      <c r="F41" s="59">
        <v>2</v>
      </c>
      <c r="G41" s="59">
        <v>2</v>
      </c>
      <c r="H41" s="59">
        <v>3</v>
      </c>
      <c r="I41" s="59">
        <v>2</v>
      </c>
      <c r="J41" s="59">
        <f>COUNTIFS(Sep!$B:$B,2263,Sep!$J:$J,10)</f>
        <v>0</v>
      </c>
      <c r="K41" s="59">
        <f>COUNTIFS(Oct!$B:$B,2263,Oct!$J:$J,10)</f>
        <v>0</v>
      </c>
      <c r="L41" s="59">
        <f>COUNTIFS(Nov!$B:$B,2263,Nov!$J:$J,10)</f>
        <v>0</v>
      </c>
      <c r="M41" s="59">
        <v>1</v>
      </c>
    </row>
    <row r="42" spans="1:13" s="8" customFormat="1" ht="11.25" customHeight="1">
      <c r="A42" s="10" t="s">
        <v>144</v>
      </c>
      <c r="B42" s="59">
        <f>COUNTIFS(Jan!$B:$B,2263,Jan!$F:$F,462)</f>
        <v>0</v>
      </c>
      <c r="C42" s="59">
        <f>COUNTIFS(Feb!$B:$B,2263,Feb!$F:$F,462)</f>
        <v>0</v>
      </c>
      <c r="D42" s="59">
        <f>COUNTIFS(Mar!$B:$B,2263,Mar!$F:$F,462)</f>
        <v>0</v>
      </c>
      <c r="E42" s="59">
        <f>COUNTIFS(Apr!$B:$B,2263,Apr!$F:$F,462)</f>
        <v>0</v>
      </c>
      <c r="F42" s="59">
        <f>COUNTIFS(May!$B:$B,2263,May!$F:$F,462)</f>
        <v>0</v>
      </c>
      <c r="G42" s="59">
        <f>COUNTIFS(Jun!$B:$B,2263,Jun!$F:$F,462)</f>
        <v>0</v>
      </c>
      <c r="H42" s="59">
        <f>COUNTIFS(Jul!$B:$B,2263,Jul!$F:$F,462)</f>
        <v>0</v>
      </c>
      <c r="I42" s="59">
        <f>COUNTIFS(Aug!$B:$B,2263,Aug!$F:$F,462)</f>
        <v>0</v>
      </c>
      <c r="J42" s="59">
        <f>COUNTIFS(Sep!$B:$B,2263,Sep!$F:$F,462)</f>
        <v>0</v>
      </c>
      <c r="K42" s="59">
        <f>COUNTIFS(Oct!$B:$B,2263,Oct!$F:$F,462)</f>
        <v>0</v>
      </c>
      <c r="L42" s="59">
        <f>COUNTIFS(Nov!$B:$B,2263,Nov!$F:$F,462)</f>
        <v>0</v>
      </c>
      <c r="M42" s="59">
        <v>0</v>
      </c>
    </row>
    <row r="43" spans="1:13" s="8" customFormat="1" ht="11.25" customHeight="1">
      <c r="A43" s="10" t="s">
        <v>1</v>
      </c>
      <c r="B43" s="59">
        <f>COUNTIFS(Jan!$B:$B,2263,Jan!$J:$J,11)</f>
        <v>32</v>
      </c>
      <c r="C43" s="59">
        <v>14</v>
      </c>
      <c r="D43" s="59">
        <v>8</v>
      </c>
      <c r="E43" s="59">
        <v>20</v>
      </c>
      <c r="F43" s="59">
        <v>11</v>
      </c>
      <c r="G43" s="59">
        <v>11</v>
      </c>
      <c r="H43" s="59">
        <v>8</v>
      </c>
      <c r="I43" s="59">
        <v>22</v>
      </c>
      <c r="J43" s="59">
        <v>23</v>
      </c>
      <c r="K43" s="59">
        <v>11</v>
      </c>
      <c r="L43" s="59">
        <v>28</v>
      </c>
      <c r="M43" s="59">
        <v>44</v>
      </c>
    </row>
    <row r="44" spans="1:13" s="8" customFormat="1" ht="11.25" customHeight="1">
      <c r="A44" s="10" t="s">
        <v>26</v>
      </c>
      <c r="B44" s="59">
        <f>COUNTIFS(Jan!$B:$B,2263,Jan!$J:$J,20)</f>
        <v>0</v>
      </c>
      <c r="C44" s="59">
        <f>COUNTIFS(Feb!$B:$B,2263,Feb!$J:$J,20)</f>
        <v>0</v>
      </c>
      <c r="D44" s="59">
        <f>COUNTIFS(Mar!$B:$B,2263,Mar!$J:$J,20)</f>
        <v>0</v>
      </c>
      <c r="E44" s="59">
        <f>COUNTIFS(Apr!$B:$B,2263,Apr!$J:$J,20)</f>
        <v>0</v>
      </c>
      <c r="F44" s="59">
        <f>COUNTIFS(May!$B:$B,2263,May!$J:$J,20)</f>
        <v>0</v>
      </c>
      <c r="G44" s="59">
        <f>COUNTIFS(Jun!$B:$B,2263,Jun!$J:$J,20)</f>
        <v>0</v>
      </c>
      <c r="H44" s="59">
        <f>COUNTIFS(Jul!$B:$B,2263,Jul!$J:$J,20)</f>
        <v>0</v>
      </c>
      <c r="I44" s="59">
        <f>COUNTIFS(Aug!$B:$B,2263,Aug!$J:$J,20)</f>
        <v>0</v>
      </c>
      <c r="J44" s="59">
        <f>COUNTIFS(Sep!$B:$B,2263,Sep!$J:$J,20)</f>
        <v>0</v>
      </c>
      <c r="K44" s="59">
        <f>COUNTIFS(Oct!$B:$B,2263,Oct!$J:$J,20)</f>
        <v>0</v>
      </c>
      <c r="L44" s="59">
        <f>COUNTIFS(Nov!$B:$B,2263,Nov!$J:$J,20)</f>
        <v>0</v>
      </c>
      <c r="M44" s="59">
        <v>0</v>
      </c>
    </row>
    <row r="45" spans="1:13" s="8" customFormat="1" ht="11.25" customHeight="1">
      <c r="A45" s="10" t="s">
        <v>32</v>
      </c>
      <c r="B45" s="59">
        <f>COUNTIFS(Jan!$B:$B,2263,Jan!$J:$J,2)</f>
        <v>13</v>
      </c>
      <c r="C45" s="59">
        <v>3</v>
      </c>
      <c r="D45" s="59">
        <v>6</v>
      </c>
      <c r="E45" s="59">
        <v>1</v>
      </c>
      <c r="F45" s="59">
        <v>6</v>
      </c>
      <c r="G45" s="59">
        <v>5</v>
      </c>
      <c r="H45" s="59">
        <v>6</v>
      </c>
      <c r="I45" s="59">
        <v>8</v>
      </c>
      <c r="J45" s="59">
        <v>9</v>
      </c>
      <c r="K45" s="59">
        <v>7</v>
      </c>
      <c r="L45" s="59">
        <v>8</v>
      </c>
      <c r="M45" s="59">
        <v>8</v>
      </c>
    </row>
    <row r="46" spans="1:13" s="8" customFormat="1" ht="11.25" customHeight="1">
      <c r="A46" s="10" t="s">
        <v>28</v>
      </c>
      <c r="B46" s="59">
        <f>COUNTIFS(Jan!$B:$B,2263,Jan!$J:$J,1700)+COUNTIFS(Jan!$B:$B,2263,Jan!$F:$F,1700)+COUNTIFS(Jan!$B:$B,2263,Jan!$J:$J,19)</f>
        <v>0</v>
      </c>
      <c r="C46" s="59">
        <f>COUNTIFS(Feb!$B:$B,2263,Feb!$J:$J,1700)+COUNTIFS(Feb!$B:$B,2263,Feb!$F:$F,1700)+COUNTIFS(Feb!$B:$B,2263,Feb!$J:$J,19)</f>
        <v>0</v>
      </c>
      <c r="D46" s="59">
        <f>COUNTIFS(Mar!$B:$B,2263,Mar!$J:$J,1700)+COUNTIFS(Mar!$B:$B,2263,Mar!$F:$F,1700)+COUNTIFS(Mar!$B:$B,2263,Mar!$J:$J,19)</f>
        <v>0</v>
      </c>
      <c r="E46" s="59">
        <f>COUNTIFS(Apr!$B:$B,2263,Apr!$J:$J,1700)+COUNTIFS(Apr!$B:$B,2263,Apr!$F:$F,1700)+COUNTIFS(Apr!$B:$B,2263,Apr!$J:$J,19)</f>
        <v>0</v>
      </c>
      <c r="F46" s="59">
        <f>COUNTIFS(May!$B:$B,2263,May!$J:$J,1700)+COUNTIFS(May!$B:$B,2263,May!$F:$F,1700)+COUNTIFS(May!$B:$B,2263,May!$J:$J,19)</f>
        <v>0</v>
      </c>
      <c r="G46" s="59">
        <f>COUNTIFS(Jun!$B:$B,2263,Jun!$J:$J,1700)+COUNTIFS(Jun!$B:$B,2263,Jun!$F:$F,1700)+COUNTIFS(Jun!$B:$B,2263,Jun!$J:$J,19)</f>
        <v>0</v>
      </c>
      <c r="H46" s="59">
        <f>COUNTIFS(Jul!$B:$B,2263,Jul!$J:$J,1700)+COUNTIFS(Jul!$B:$B,2263,Jul!$F:$F,1700)+COUNTIFS(Jul!$B:$B,2263,Jul!$J:$J,19)</f>
        <v>0</v>
      </c>
      <c r="I46" s="59">
        <f>COUNTIFS(Aug!$B:$B,2263,Aug!$J:$J,1700)+COUNTIFS(Aug!$B:$B,2263,Aug!$F:$F,1700)+COUNTIFS(Aug!$B:$B,2263,Aug!$J:$J,19)</f>
        <v>0</v>
      </c>
      <c r="J46" s="59">
        <f>COUNTIFS(Sep!$B:$B,2263,Sep!$J:$J,1700)+COUNTIFS(Sep!$B:$B,2263,Sep!$F:$F,1700)+COUNTIFS(Sep!$B:$B,2263,Sep!$J:$J,19)</f>
        <v>0</v>
      </c>
      <c r="K46" s="59">
        <f>COUNTIFS(Oct!$B:$B,2263,Oct!$J:$J,1700)+COUNTIFS(Oct!$B:$B,2263,Oct!$F:$F,1700)+COUNTIFS(Oct!$B:$B,2263,Oct!$J:$J,19)</f>
        <v>0</v>
      </c>
      <c r="L46" s="59">
        <f>COUNTIFS(Nov!$B:$B,2263,Nov!$J:$J,1700)+COUNTIFS(Nov!$B:$B,2263,Nov!$F:$F,1700)+COUNTIFS(Nov!$B:$B,2263,Nov!$J:$J,19)</f>
        <v>0</v>
      </c>
      <c r="M46" s="59">
        <v>0</v>
      </c>
    </row>
    <row r="47" spans="1:13" s="8" customFormat="1" ht="11.25" customHeight="1">
      <c r="A47" s="10" t="s">
        <v>0</v>
      </c>
      <c r="B47" s="59">
        <f>COUNTIFS(Jan!$B:$B,2263,Jan!$J:$J,3)</f>
        <v>2</v>
      </c>
      <c r="C47" s="59">
        <f>COUNTIFS(Feb!$B:$B,2263,Feb!$J:$J,3)</f>
        <v>0</v>
      </c>
      <c r="D47" s="59">
        <v>1</v>
      </c>
      <c r="E47" s="59">
        <v>1</v>
      </c>
      <c r="F47" s="59">
        <f>COUNTIFS(May!$B:$B,2263,May!$J:$J,3)</f>
        <v>0</v>
      </c>
      <c r="G47" s="59">
        <f>COUNTIFS(Jun!$B:$B,2263,Jun!$J:$J,3)</f>
        <v>0</v>
      </c>
      <c r="H47" s="59">
        <v>4</v>
      </c>
      <c r="I47" s="59">
        <v>3</v>
      </c>
      <c r="J47" s="59">
        <v>3</v>
      </c>
      <c r="K47" s="59">
        <v>1</v>
      </c>
      <c r="L47" s="59">
        <v>3</v>
      </c>
      <c r="M47" s="59">
        <v>3</v>
      </c>
    </row>
    <row r="48" spans="1:13" s="8" customFormat="1" ht="11.25" customHeight="1">
      <c r="A48" s="10" t="s">
        <v>35</v>
      </c>
      <c r="B48" s="59">
        <f>COUNTIFS(Jan!$B:$B,2263,Jan!$J:$J,7400)</f>
        <v>0</v>
      </c>
      <c r="C48" s="59">
        <f>COUNTIFS(Feb!$B:$B,2263,Feb!$J:$J,7400)</f>
        <v>0</v>
      </c>
      <c r="D48" s="59">
        <f>COUNTIFS(Mar!$B:$B,2263,Mar!$J:$J,7400)</f>
        <v>0</v>
      </c>
      <c r="E48" s="59">
        <f>COUNTIFS(Apr!$B:$B,2263,Apr!$J:$J,7400)</f>
        <v>0</v>
      </c>
      <c r="F48" s="59">
        <f>COUNTIFS(May!$B:$B,2263,May!$J:$J,7400)</f>
        <v>0</v>
      </c>
      <c r="G48" s="59">
        <f>COUNTIFS(Jun!$B:$B,2263,Jun!$J:$J,7400)</f>
        <v>0</v>
      </c>
      <c r="H48" s="59">
        <f>COUNTIFS(Jul!$B:$B,2263,Jul!$J:$J,7400)</f>
        <v>0</v>
      </c>
      <c r="I48" s="59">
        <f>COUNTIFS(Aug!$B:$B,2263,Aug!$J:$J,7400)</f>
        <v>0</v>
      </c>
      <c r="J48" s="59">
        <f>COUNTIFS(Sep!$B:$B,2263,Sep!$J:$J,7400)</f>
        <v>0</v>
      </c>
      <c r="K48" s="59">
        <f>COUNTIFS(Oct!$B:$B,2263,Oct!$J:$J,7400)</f>
        <v>0</v>
      </c>
      <c r="L48" s="59">
        <f>COUNTIFS(Nov!$B:$B,2263,Nov!$J:$J,7400)</f>
        <v>0</v>
      </c>
      <c r="M48" s="59">
        <v>0</v>
      </c>
    </row>
    <row r="49" spans="1:13" s="8" customFormat="1" ht="11.25" customHeight="1">
      <c r="A49" s="10" t="s">
        <v>2</v>
      </c>
      <c r="B49" s="59">
        <f>COUNTIFS(Jan!$B:$B,2263,Jan!$J:$J,14)</f>
        <v>0</v>
      </c>
      <c r="C49" s="59">
        <v>1</v>
      </c>
      <c r="D49" s="59">
        <f>COUNTIFS(Mar!$B:$B,2263,Mar!$J:$J,14)</f>
        <v>0</v>
      </c>
      <c r="E49" s="59">
        <f>COUNTIFS(Apr!$B:$B,2263,Apr!$J:$J,14)</f>
        <v>0</v>
      </c>
      <c r="F49" s="59">
        <f>COUNTIFS(May!$B:$B,2263,May!$J:$J,14)</f>
        <v>0</v>
      </c>
      <c r="G49" s="59">
        <f>COUNTIFS(Jun!$B:$B,2263,Jun!$J:$J,14)</f>
        <v>0</v>
      </c>
      <c r="H49" s="59">
        <v>1</v>
      </c>
      <c r="I49" s="59">
        <v>1</v>
      </c>
      <c r="J49" s="59">
        <f>COUNTIFS(Sep!$B:$B,2263,Sep!$J:$J,14)</f>
        <v>0</v>
      </c>
      <c r="K49" s="59">
        <v>2</v>
      </c>
      <c r="L49" s="59">
        <v>1</v>
      </c>
      <c r="M49" s="59">
        <v>0</v>
      </c>
    </row>
    <row r="50" spans="1:13" s="8" customFormat="1" ht="11.25" customHeight="1">
      <c r="A50" s="10" t="s">
        <v>142</v>
      </c>
      <c r="B50" s="59">
        <f>COUNTIFS(Jan!$B:$B,2263,Jan!$F:$F,466)</f>
        <v>3</v>
      </c>
      <c r="C50" s="59">
        <f>COUNTIFS(Feb!$B:$B,2263,Feb!$F:$F,466)</f>
        <v>0</v>
      </c>
      <c r="D50" s="59">
        <f>COUNTIFS(Mar!$B:$B,2263,Mar!$F:$F,466)</f>
        <v>0</v>
      </c>
      <c r="E50" s="59">
        <v>1</v>
      </c>
      <c r="F50" s="59">
        <f>COUNTIFS(May!$B:$B,2263,May!$F:$F,466)</f>
        <v>0</v>
      </c>
      <c r="G50" s="59">
        <f>COUNTIFS(Jun!$B:$B,2263,Jun!$F:$F,466)</f>
        <v>0</v>
      </c>
      <c r="H50" s="59">
        <f>COUNTIFS(Jul!$B:$B,2263,Jul!$F:$F,466)</f>
        <v>0</v>
      </c>
      <c r="I50" s="59">
        <f>COUNTIFS(Aug!$B:$B,2263,Aug!$F:$F,466)</f>
        <v>0</v>
      </c>
      <c r="J50" s="59">
        <f>COUNTIFS(Sep!$B:$B,2263,Sep!$F:$F,466)</f>
        <v>0</v>
      </c>
      <c r="K50" s="59">
        <f>COUNTIFS(Oct!$B:$B,2263,Oct!$F:$F,466)</f>
        <v>0</v>
      </c>
      <c r="L50" s="59">
        <f>COUNTIFS(Nov!$B:$B,2263,Nov!$F:$F,466)</f>
        <v>0</v>
      </c>
      <c r="M50" s="59">
        <v>1</v>
      </c>
    </row>
    <row r="51" spans="1:13" s="8" customFormat="1" ht="11.25" customHeight="1">
      <c r="A51" s="10" t="s">
        <v>27</v>
      </c>
      <c r="B51" s="59">
        <f>COUNTIFS(Jan!$B:$B,2263,Jan!$J:$J,25)</f>
        <v>0</v>
      </c>
      <c r="C51" s="59">
        <f>COUNTIFS(Feb!$B:$B,2263,Feb!$J:$J,25)</f>
        <v>0</v>
      </c>
      <c r="D51" s="59">
        <f>COUNTIFS(Mar!$B:$B,2263,Mar!$J:$J,25)</f>
        <v>0</v>
      </c>
      <c r="E51" s="59">
        <f>COUNTIFS(Apr!$B:$B,2263,Apr!$J:$J,25)</f>
        <v>0</v>
      </c>
      <c r="F51" s="59">
        <f>COUNTIFS(May!$B:$B,2263,May!$J:$J,25)</f>
        <v>0</v>
      </c>
      <c r="G51" s="59">
        <f>COUNTIFS(Jun!$B:$B,2263,Jun!$J:$J,25)</f>
        <v>0</v>
      </c>
      <c r="H51" s="59">
        <f>COUNTIFS(Jul!$B:$B,2263,Jul!$J:$J,25)</f>
        <v>0</v>
      </c>
      <c r="I51" s="59">
        <f>COUNTIFS(Aug!$B:$B,2263,Aug!$J:$J,25)</f>
        <v>0</v>
      </c>
      <c r="J51" s="59">
        <f>COUNTIFS(Sep!$B:$B,2263,Sep!$J:$J,25)</f>
        <v>0</v>
      </c>
      <c r="K51" s="59">
        <f>COUNTIFS(Oct!$B:$B,2263,Oct!$J:$J,25)</f>
        <v>0</v>
      </c>
      <c r="L51" s="59">
        <f>COUNTIFS(Nov!$B:$B,2263,Nov!$J:$J,25)</f>
        <v>0</v>
      </c>
      <c r="M51" s="59">
        <v>0</v>
      </c>
    </row>
    <row r="52" spans="1:13" s="8" customFormat="1" ht="11.25" customHeight="1" thickBot="1">
      <c r="A52" s="11" t="s">
        <v>16</v>
      </c>
      <c r="B52" s="60">
        <f>SUM(B34:B51)</f>
        <v>58</v>
      </c>
      <c r="C52" s="60">
        <f t="shared" ref="C52:M52" si="11">SUM(C34:C51)</f>
        <v>22</v>
      </c>
      <c r="D52" s="60">
        <f>SUM(D34:D51)</f>
        <v>23</v>
      </c>
      <c r="E52" s="60">
        <f>SUM(E34:E51)</f>
        <v>28</v>
      </c>
      <c r="F52" s="60">
        <f>SUM(F34:F51)</f>
        <v>26</v>
      </c>
      <c r="G52" s="60">
        <f>SUM(G34:G51)</f>
        <v>28</v>
      </c>
      <c r="H52" s="60">
        <f t="shared" si="11"/>
        <v>29</v>
      </c>
      <c r="I52" s="60">
        <f t="shared" si="11"/>
        <v>44</v>
      </c>
      <c r="J52" s="60">
        <f t="shared" si="11"/>
        <v>41</v>
      </c>
      <c r="K52" s="60">
        <f t="shared" si="11"/>
        <v>23</v>
      </c>
      <c r="L52" s="159">
        <f t="shared" si="11"/>
        <v>46</v>
      </c>
      <c r="M52" s="170">
        <f t="shared" si="11"/>
        <v>71</v>
      </c>
    </row>
    <row r="53" spans="1:13" ht="12" customHeight="1" thickBot="1">
      <c r="A53" s="55" t="s">
        <v>137</v>
      </c>
      <c r="B53" s="50">
        <v>41275</v>
      </c>
      <c r="C53" s="47">
        <v>41306</v>
      </c>
      <c r="D53" s="47">
        <v>41334</v>
      </c>
      <c r="E53" s="47">
        <v>41365</v>
      </c>
      <c r="F53" s="47">
        <v>41395</v>
      </c>
      <c r="G53" s="47">
        <v>41426</v>
      </c>
      <c r="H53" s="47">
        <v>41456</v>
      </c>
      <c r="I53" s="47">
        <v>41487</v>
      </c>
      <c r="J53" s="47">
        <v>41518</v>
      </c>
      <c r="K53" s="47">
        <v>41548</v>
      </c>
      <c r="L53" s="47">
        <v>41579</v>
      </c>
      <c r="M53" s="51">
        <v>41609</v>
      </c>
    </row>
    <row r="54" spans="1:13" s="8" customFormat="1" ht="11.25" customHeight="1">
      <c r="A54" s="10" t="s">
        <v>30</v>
      </c>
      <c r="B54" s="57">
        <f>COUNTIFS(Jan!$B:$B,2263,Jan!$J:$J,7)</f>
        <v>0</v>
      </c>
      <c r="C54" s="57">
        <v>1</v>
      </c>
      <c r="D54" s="57">
        <f>COUNTIFS(Mar!$B:$B,2263,Mar!$J:$J,7)</f>
        <v>0</v>
      </c>
      <c r="E54" s="57">
        <f>COUNTIFS(Apr!$B:$B,2263,Apr!$J:$J,7)</f>
        <v>0</v>
      </c>
      <c r="F54" s="57">
        <f>COUNTIFS(May!$B:$B,2263,May!$J:$J,7)</f>
        <v>0</v>
      </c>
      <c r="G54" s="57">
        <f>COUNTIFS(Jun!$B:$B,2263,Jun!$J:$J,7)</f>
        <v>0</v>
      </c>
      <c r="H54" s="57">
        <v>5</v>
      </c>
      <c r="I54" s="57">
        <f>COUNTIFS(Aug!$B:$B,2263,Aug!$J:$J,7)</f>
        <v>0</v>
      </c>
      <c r="J54" s="57">
        <v>1</v>
      </c>
      <c r="K54" s="57">
        <f>COUNTIFS(Oct!$B:$B,2263,Oct!$J:$J,7)</f>
        <v>0</v>
      </c>
      <c r="L54" s="57">
        <f>COUNTIFS(Nov!$B:$B,2263,Nov!$J:$J,7)</f>
        <v>0</v>
      </c>
      <c r="M54" s="57">
        <v>0</v>
      </c>
    </row>
    <row r="55" spans="1:13" s="8" customFormat="1" ht="11.25" customHeight="1">
      <c r="A55" s="10" t="s">
        <v>29</v>
      </c>
      <c r="B55" s="59">
        <f>COUNTIFS(Jan!$B:$B,2263,Jan!$J:$J,8)</f>
        <v>0</v>
      </c>
      <c r="C55" s="59">
        <f>COUNTIFS(Feb!$B:$B,2263,Feb!$J:$J,8)</f>
        <v>0</v>
      </c>
      <c r="D55" s="59">
        <f>COUNTIFS(Mar!$B:$B,2263,Mar!$J:$J,8)</f>
        <v>0</v>
      </c>
      <c r="E55" s="59">
        <f>COUNTIFS(Apr!$B:$B,2263,Apr!$J:$J,8)</f>
        <v>0</v>
      </c>
      <c r="F55" s="59">
        <f>COUNTIFS(May!$B:$B,2263,May!$J:$J,8)</f>
        <v>0</v>
      </c>
      <c r="G55" s="59">
        <f>COUNTIFS(Jun!$B:$B,2263,Jun!$J:$J,8)</f>
        <v>0</v>
      </c>
      <c r="H55" s="59">
        <f>COUNTIFS(Jul!$B:$B,2263,Jul!$J:$J,8)</f>
        <v>0</v>
      </c>
      <c r="I55" s="59">
        <f>COUNTIFS(Aug!$B:$B,2263,Aug!$J:$J,8)</f>
        <v>0</v>
      </c>
      <c r="J55" s="59">
        <f>COUNTIFS(Sep!$B:$B,2263,Sep!$J:$J,8)</f>
        <v>0</v>
      </c>
      <c r="K55" s="59">
        <f>COUNTIFS(Oct!$B:$B,2263,Oct!$J:$J,8)</f>
        <v>0</v>
      </c>
      <c r="L55" s="59">
        <f>COUNTIFS(Nov!$B:$B,2263,Nov!$J:$J,8)</f>
        <v>0</v>
      </c>
      <c r="M55" s="59">
        <v>0</v>
      </c>
    </row>
    <row r="56" spans="1:13" s="8" customFormat="1" ht="11.25" customHeight="1">
      <c r="A56" s="10" t="s">
        <v>7</v>
      </c>
      <c r="B56" s="59">
        <f>COUNTIFS(Jan!$B:$B,2263,Jan!$J:$J,12)</f>
        <v>2</v>
      </c>
      <c r="C56" s="59">
        <f>COUNTIFS(Feb!$B:$B,2263,Feb!$J:$J,12)</f>
        <v>0</v>
      </c>
      <c r="D56" s="59">
        <f>COUNTIFS(Mar!$B:$B,2263,Mar!$J:$J,12)</f>
        <v>0</v>
      </c>
      <c r="E56" s="59">
        <f>COUNTIFS(Apr!$B:$B,2263,Apr!$J:$J,12)</f>
        <v>0</v>
      </c>
      <c r="F56" s="59">
        <f>COUNTIFS(May!$B:$B,2263,May!$J:$J,12)</f>
        <v>0</v>
      </c>
      <c r="G56" s="59">
        <f>COUNTIFS(Jun!$B:$B,2263,Jun!$J:$J,12)</f>
        <v>0</v>
      </c>
      <c r="H56" s="59">
        <f>COUNTIFS(Jul!$B:$B,2263,Jul!$J:$J,12)</f>
        <v>0</v>
      </c>
      <c r="I56" s="59">
        <f>COUNTIFS(Aug!$B:$B,2263,Aug!$J:$J,12)</f>
        <v>0</v>
      </c>
      <c r="J56" s="59">
        <f>COUNTIFS(Sep!$B:$B,2263,Sep!$J:$J,12)</f>
        <v>0</v>
      </c>
      <c r="K56" s="59">
        <f>COUNTIFS(Oct!$B:$B,2263,Oct!$J:$J,12)</f>
        <v>0</v>
      </c>
      <c r="L56" s="59">
        <f>COUNTIFS(Nov!$B:$B,2263,Nov!$J:$J,12)</f>
        <v>0</v>
      </c>
      <c r="M56" s="59">
        <v>0</v>
      </c>
    </row>
    <row r="57" spans="1:13" s="8" customFormat="1" ht="11.25" customHeight="1">
      <c r="A57" s="10" t="s">
        <v>10</v>
      </c>
      <c r="B57" s="59">
        <f>COUNTIFS(Jan!$B:$B,2263,Jan!$J:$J,5100)</f>
        <v>1</v>
      </c>
      <c r="C57" s="59">
        <f>COUNTIFS(Feb!$B:$B,2263,Feb!$J:$J,5100)</f>
        <v>0</v>
      </c>
      <c r="D57" s="59">
        <f>COUNTIFS(Mar!$B:$B,2263,Mar!$J:$J,5100)</f>
        <v>0</v>
      </c>
      <c r="E57" s="59">
        <f>COUNTIFS(Apr!$B:$B,2263,Apr!$J:$J,5100)</f>
        <v>0</v>
      </c>
      <c r="F57" s="59">
        <f>COUNTIFS(May!$B:$B,2263,May!$J:$J,5100)</f>
        <v>0</v>
      </c>
      <c r="G57" s="59">
        <f>COUNTIFS(Jun!$B:$B,2263,Jun!$J:$J,5100)</f>
        <v>0</v>
      </c>
      <c r="H57" s="59">
        <f>COUNTIFS(Jul!$B:$B,2263,Jul!$J:$J,5100)</f>
        <v>0</v>
      </c>
      <c r="I57" s="59">
        <f>COUNTIFS(Aug!$B:$B,2263,Aug!$J:$J,5100)</f>
        <v>0</v>
      </c>
      <c r="J57" s="59">
        <f>COUNTIFS(Sep!$B:$B,2263,Sep!$J:$J,5100)</f>
        <v>0</v>
      </c>
      <c r="K57" s="59">
        <f>COUNTIFS(Oct!$B:$B,2263,Oct!$J:$J,5100)</f>
        <v>0</v>
      </c>
      <c r="L57" s="59">
        <v>1</v>
      </c>
      <c r="M57" s="59">
        <v>0</v>
      </c>
    </row>
    <row r="58" spans="1:13" s="8" customFormat="1" ht="11.25" customHeight="1">
      <c r="A58" s="10" t="s">
        <v>36</v>
      </c>
      <c r="B58" s="59">
        <f>COUNTIFS(Jan!$B:$B,2263,Jan!$J:$J,6200)</f>
        <v>0</v>
      </c>
      <c r="C58" s="59">
        <f>COUNTIFS(Feb!$B:$B,2263,Feb!$J:$J,6200)</f>
        <v>0</v>
      </c>
      <c r="D58" s="59">
        <f>COUNTIFS(Mar!$B:$B,2263,Mar!$J:$J,6200)</f>
        <v>0</v>
      </c>
      <c r="E58" s="59">
        <f>COUNTIFS(Apr!$B:$B,2263,Apr!$J:$J,6200)</f>
        <v>0</v>
      </c>
      <c r="F58" s="59">
        <f>COUNTIFS(May!$B:$B,2263,May!$J:$J,6200)</f>
        <v>0</v>
      </c>
      <c r="G58" s="59">
        <f>COUNTIFS(Jun!$B:$B,2263,Jun!$J:$J,6200)</f>
        <v>0</v>
      </c>
      <c r="H58" s="59">
        <f>COUNTIFS(Jul!$B:$B,2263,Jul!$J:$J,6200)</f>
        <v>0</v>
      </c>
      <c r="I58" s="59">
        <f>COUNTIFS(Aug!$B:$B,2263,Aug!$J:$J,6200)</f>
        <v>0</v>
      </c>
      <c r="J58" s="59">
        <f>COUNTIFS(Sep!$B:$B,2263,Sep!$J:$J,6200)</f>
        <v>0</v>
      </c>
      <c r="K58" s="59">
        <f>COUNTIFS(Oct!$B:$B,2263,Oct!$J:$J,6200)</f>
        <v>0</v>
      </c>
      <c r="L58" s="59">
        <f>COUNTIFS(Nov!$B:$B,2263,Nov!$J:$J,6200)</f>
        <v>0</v>
      </c>
      <c r="M58" s="59">
        <v>0</v>
      </c>
    </row>
    <row r="59" spans="1:13" s="8" customFormat="1" ht="11.25" customHeight="1">
      <c r="A59" s="10" t="s">
        <v>145</v>
      </c>
      <c r="B59" s="59">
        <f>COUNTIFS(Jan!$B:$B,2263,Jan!$J:$J,28)</f>
        <v>0</v>
      </c>
      <c r="C59" s="59">
        <f>COUNTIFS(Feb!$B:$B,2263,Feb!$J:$J,28)</f>
        <v>0</v>
      </c>
      <c r="D59" s="59">
        <f>COUNTIFS(Mar!$B:$B,2263,Mar!$J:$J,28)</f>
        <v>0</v>
      </c>
      <c r="E59" s="59">
        <f>COUNTIFS(Apr!$B:$B,2263,Apr!$J:$J,28)</f>
        <v>0</v>
      </c>
      <c r="F59" s="59">
        <f>COUNTIFS(May!$B:$B,2263,May!$J:$J,28)</f>
        <v>0</v>
      </c>
      <c r="G59" s="59">
        <f>COUNTIFS(Jun!$B:$B,2263,Jun!$J:$J,28)</f>
        <v>0</v>
      </c>
      <c r="H59" s="59">
        <f>COUNTIFS(Jul!$B:$B,2263,Jul!$J:$J,28)</f>
        <v>0</v>
      </c>
      <c r="I59" s="59">
        <f>COUNTIFS(Aug!$B:$B,2263,Aug!$J:$J,28)</f>
        <v>0</v>
      </c>
      <c r="J59" s="59">
        <f>COUNTIFS(Sep!$B:$B,2263,Sep!$J:$J,28)</f>
        <v>0</v>
      </c>
      <c r="K59" s="59">
        <f>COUNTIFS(Oct!$B:$B,2263,Oct!$J:$J,28)</f>
        <v>0</v>
      </c>
      <c r="L59" s="59">
        <f>COUNTIFS(Nov!$B:$B,2263,Nov!$J:$J,28)</f>
        <v>0</v>
      </c>
      <c r="M59" s="59">
        <v>0</v>
      </c>
    </row>
    <row r="60" spans="1:13" s="8" customFormat="1" ht="11.25" customHeight="1">
      <c r="A60" s="10" t="s">
        <v>38</v>
      </c>
      <c r="B60" s="59">
        <f>COUNTIFS(Jan!$B:$B,2263,Jan!$J:$J,6100)</f>
        <v>2</v>
      </c>
      <c r="C60" s="59">
        <f>COUNTIFS(Feb!$B:$B,2263,Feb!$J:$J,6100)</f>
        <v>0</v>
      </c>
      <c r="D60" s="59">
        <f>COUNTIFS(Mar!$B:$B,2263,Mar!$J:$J,6100)</f>
        <v>0</v>
      </c>
      <c r="E60" s="59">
        <v>2</v>
      </c>
      <c r="F60" s="59">
        <v>2</v>
      </c>
      <c r="G60" s="59">
        <f>COUNTIFS(Jun!$B:$B,2263,Jun!$J:$J,6100)</f>
        <v>0</v>
      </c>
      <c r="H60" s="59">
        <f>COUNTIFS(Jul!$B:$B,2263,Jul!$J:$J,6100)</f>
        <v>0</v>
      </c>
      <c r="I60" s="59">
        <v>2</v>
      </c>
      <c r="J60" s="59">
        <v>3</v>
      </c>
      <c r="K60" s="59">
        <f>COUNTIFS(Oct!$B:$B,2263,Oct!$J:$J,6100)</f>
        <v>0</v>
      </c>
      <c r="L60" s="59">
        <v>5</v>
      </c>
      <c r="M60" s="59">
        <v>0</v>
      </c>
    </row>
    <row r="61" spans="1:13" s="8" customFormat="1" ht="11.25" customHeight="1">
      <c r="A61" s="10" t="s">
        <v>9</v>
      </c>
      <c r="B61" s="59">
        <f>COUNTIFS(Jan!$B:$B,2263,Jan!$J:$J,6)</f>
        <v>0</v>
      </c>
      <c r="C61" s="59">
        <f>COUNTIFS(Feb!$B:$B,2263,Feb!$J:$J,6)</f>
        <v>0</v>
      </c>
      <c r="D61" s="59">
        <f>COUNTIFS(Mar!$B:$B,2263,Mar!$J:$J,6)</f>
        <v>0</v>
      </c>
      <c r="E61" s="59">
        <f>COUNTIFS(Apr!$B:$B,2263,Apr!$J:$J,6)</f>
        <v>0</v>
      </c>
      <c r="F61" s="59">
        <f>COUNTIFS(May!$B:$B,2263,May!$J:$J,6)</f>
        <v>0</v>
      </c>
      <c r="G61" s="59">
        <f>COUNTIFS(Jun!$B:$B,2263,Jun!$J:$J,6)</f>
        <v>0</v>
      </c>
      <c r="H61" s="59">
        <f>COUNTIFS(Jul!$B:$B,2263,Jul!$J:$J,6)</f>
        <v>0</v>
      </c>
      <c r="I61" s="59">
        <f>COUNTIFS(Aug!$B:$B,2263,Aug!$J:$J,6)</f>
        <v>0</v>
      </c>
      <c r="J61" s="59">
        <f>COUNTIFS(Sep!$B:$B,2263,Sep!$J:$J,6)</f>
        <v>0</v>
      </c>
      <c r="K61" s="59">
        <f>COUNTIFS(Oct!$B:$B,2263,Oct!$J:$J,6)</f>
        <v>0</v>
      </c>
      <c r="L61" s="59">
        <f>COUNTIFS(Nov!$B:$B,2263,Nov!$J:$J,6)</f>
        <v>0</v>
      </c>
      <c r="M61" s="59">
        <v>0</v>
      </c>
    </row>
    <row r="62" spans="1:13" s="8" customFormat="1" ht="11.25" customHeight="1">
      <c r="A62" s="10" t="s">
        <v>8</v>
      </c>
      <c r="B62" s="59">
        <f>COUNTIFS(Jan!$B:$B,2263,Jan!$J:$J,4)</f>
        <v>0</v>
      </c>
      <c r="C62" s="59">
        <f>COUNTIFS(Feb!$B:$B,2263,Feb!$J:$J,4)</f>
        <v>0</v>
      </c>
      <c r="D62" s="59">
        <f>COUNTIFS(Mar!$B:$B,2263,Mar!$J:$J,4)</f>
        <v>0</v>
      </c>
      <c r="E62" s="59">
        <f>COUNTIFS(Apr!$B:$B,2263,Apr!$J:$J,4)</f>
        <v>0</v>
      </c>
      <c r="F62" s="59">
        <f>COUNTIFS(May!$B:$B,2263,May!$J:$J,4)</f>
        <v>0</v>
      </c>
      <c r="G62" s="59">
        <f>COUNTIFS(Jun!$B:$B,2263,Jun!$J:$J,4)</f>
        <v>0</v>
      </c>
      <c r="H62" s="59">
        <f>COUNTIFS(Jul!$B:$B,2263,Jul!$J:$J,4)</f>
        <v>0</v>
      </c>
      <c r="I62" s="59">
        <f>COUNTIFS(Aug!$B:$B,2263,Aug!$J:$J,4)</f>
        <v>0</v>
      </c>
      <c r="J62" s="59">
        <f>COUNTIFS(Sep!$B:$B,2263,Sep!$J:$J,4)</f>
        <v>0</v>
      </c>
      <c r="K62" s="59">
        <f>COUNTIFS(Oct!$B:$B,2263,Oct!$J:$J,4)</f>
        <v>0</v>
      </c>
      <c r="L62" s="59">
        <f>COUNTIFS(Nov!$B:$B,2263,Nov!$J:$J,4)</f>
        <v>0</v>
      </c>
      <c r="M62" s="59">
        <v>0</v>
      </c>
    </row>
    <row r="63" spans="1:13" s="8" customFormat="1" ht="11.25" customHeight="1">
      <c r="A63" s="10" t="s">
        <v>6</v>
      </c>
      <c r="B63" s="59">
        <f>COUNTIFS(Jan!$B:$B,2263,Jan!$J:$J,5)</f>
        <v>0</v>
      </c>
      <c r="C63" s="59">
        <f>COUNTIFS(Feb!$B:$B,2263,Feb!$J:$J,5)</f>
        <v>0</v>
      </c>
      <c r="D63" s="59">
        <f>COUNTIFS(Mar!$B:$B,2263,Mar!$J:$J,5)</f>
        <v>0</v>
      </c>
      <c r="E63" s="59">
        <f>COUNTIFS(Apr!$B:$B,2263,Apr!$J:$J,5)</f>
        <v>0</v>
      </c>
      <c r="F63" s="59">
        <f>COUNTIFS(May!$B:$B,2263,May!$J:$J,5)</f>
        <v>0</v>
      </c>
      <c r="G63" s="59">
        <f>COUNTIFS(Jun!$B:$B,2263,Jun!$J:$J,5)</f>
        <v>0</v>
      </c>
      <c r="H63" s="59">
        <f>COUNTIFS(Jul!$B:$B,2263,Jul!$J:$J,5)</f>
        <v>0</v>
      </c>
      <c r="I63" s="59">
        <f>COUNTIFS(Aug!$B:$B,2263,Aug!$J:$J,5)</f>
        <v>0</v>
      </c>
      <c r="J63" s="59">
        <f>COUNTIFS(Sep!$B:$B,2263,Sep!$J:$J,5)</f>
        <v>0</v>
      </c>
      <c r="K63" s="59">
        <f>COUNTIFS(Oct!$B:$B,2263,Oct!$J:$J,5)</f>
        <v>0</v>
      </c>
      <c r="L63" s="59">
        <f>COUNTIFS(Nov!$B:$B,2263,Nov!$J:$J,5)</f>
        <v>0</v>
      </c>
      <c r="M63" s="59">
        <v>0</v>
      </c>
    </row>
    <row r="64" spans="1:13" s="8" customFormat="1" ht="11.25" customHeight="1">
      <c r="A64" s="52" t="s">
        <v>141</v>
      </c>
      <c r="B64" s="69">
        <f>COUNTIFS(Jan!$B:$B,2263,Jan!$F:$F,456)</f>
        <v>2</v>
      </c>
      <c r="C64" s="69">
        <f>COUNTIFS(Feb!$B:$B,2263,Feb!$F:$F,456)</f>
        <v>0</v>
      </c>
      <c r="D64" s="69">
        <v>3</v>
      </c>
      <c r="E64" s="69">
        <v>2</v>
      </c>
      <c r="F64" s="69">
        <v>3</v>
      </c>
      <c r="G64" s="69">
        <f>COUNTIFS(Jun!$B:$B,2263,Jun!$F:$F,456)</f>
        <v>0</v>
      </c>
      <c r="H64" s="69">
        <f>COUNTIFS(Jul!$B:$B,2263,Jul!$F:$F,456)</f>
        <v>0</v>
      </c>
      <c r="I64" s="69">
        <v>1</v>
      </c>
      <c r="J64" s="69">
        <f>COUNTIFS(Sep!$B:$B,2263,Sep!$F:$F,456)</f>
        <v>0</v>
      </c>
      <c r="K64" s="69">
        <f>COUNTIFS(Oct!$B:$B,2263,Oct!$F:$F,456)</f>
        <v>0</v>
      </c>
      <c r="L64" s="69">
        <f>COUNTIFS(Nov!$B:$B,2263,Nov!$F:$F,456)</f>
        <v>0</v>
      </c>
      <c r="M64" s="69">
        <v>0</v>
      </c>
    </row>
    <row r="65" spans="1:13" s="8" customFormat="1" ht="11.25" customHeight="1" thickBot="1">
      <c r="A65" s="12" t="s">
        <v>16</v>
      </c>
      <c r="B65" s="70">
        <f>SUM(B54:B64)</f>
        <v>7</v>
      </c>
      <c r="C65" s="70">
        <f t="shared" ref="C65:M65" si="12">SUM(C54:C64)</f>
        <v>1</v>
      </c>
      <c r="D65" s="70">
        <f t="shared" si="12"/>
        <v>3</v>
      </c>
      <c r="E65" s="70">
        <f t="shared" si="12"/>
        <v>4</v>
      </c>
      <c r="F65" s="70">
        <f t="shared" si="12"/>
        <v>5</v>
      </c>
      <c r="G65" s="70">
        <f t="shared" si="12"/>
        <v>0</v>
      </c>
      <c r="H65" s="70">
        <f t="shared" si="12"/>
        <v>5</v>
      </c>
      <c r="I65" s="70">
        <f t="shared" si="12"/>
        <v>3</v>
      </c>
      <c r="J65" s="70">
        <f t="shared" si="12"/>
        <v>4</v>
      </c>
      <c r="K65" s="70">
        <f t="shared" si="12"/>
        <v>0</v>
      </c>
      <c r="L65" s="165">
        <f t="shared" si="12"/>
        <v>6</v>
      </c>
      <c r="M65" s="170">
        <f t="shared" si="12"/>
        <v>0</v>
      </c>
    </row>
    <row r="66" spans="1:13" s="8" customFormat="1" ht="15.75" customHeight="1">
      <c r="A66" s="6"/>
      <c r="B66" s="7"/>
      <c r="C66" s="7"/>
      <c r="D66" s="7"/>
      <c r="E66" s="7"/>
      <c r="F66" s="7"/>
      <c r="G66" s="7"/>
      <c r="H66" s="7"/>
      <c r="I66" s="7"/>
      <c r="J66" s="7"/>
      <c r="K66" s="7"/>
      <c r="L66" s="7"/>
      <c r="M66" s="7"/>
    </row>
    <row r="67" spans="1:13" ht="12" customHeight="1">
      <c r="A67" s="6"/>
      <c r="B67" s="7"/>
      <c r="C67" s="7"/>
      <c r="D67" s="7"/>
      <c r="E67" s="7"/>
      <c r="F67" s="7"/>
      <c r="G67" s="7"/>
      <c r="H67" s="7"/>
      <c r="I67" s="7"/>
      <c r="J67" s="7"/>
      <c r="K67" s="7"/>
      <c r="L67" s="7"/>
      <c r="M67" s="7"/>
    </row>
  </sheetData>
  <phoneticPr fontId="0" type="noConversion"/>
  <printOptions horizontalCentered="1" verticalCentered="1"/>
  <pageMargins left="0.14000000000000001" right="0.16" top="0.25" bottom="0.5" header="0.5" footer="0.25"/>
  <pageSetup scale="95" firstPageNumber="3" orientation="portrait" useFirstPageNumber="1" r:id="rId1"/>
  <headerFooter alignWithMargins="0">
    <oddFooter>&amp;R45 of 51</oddFooter>
  </headerFooter>
  <ignoredErrors>
    <ignoredError sqref="M32 M52 M65" formulaRange="1"/>
  </ignoredErrors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67"/>
  <sheetViews>
    <sheetView view="pageBreakPreview" zoomScale="90" zoomScaleNormal="100" zoomScaleSheetLayoutView="90" workbookViewId="0">
      <selection activeCell="M47" sqref="M47"/>
    </sheetView>
  </sheetViews>
  <sheetFormatPr defaultRowHeight="12.75"/>
  <cols>
    <col min="1" max="1" width="22.85546875" style="1" customWidth="1"/>
    <col min="2" max="13" width="7.140625" style="1" customWidth="1"/>
    <col min="14" max="14" width="4.42578125" style="1" customWidth="1"/>
    <col min="15" max="16384" width="9.140625" style="1"/>
  </cols>
  <sheetData>
    <row r="1" spans="1:21" ht="18" customHeight="1">
      <c r="A1" s="130"/>
      <c r="B1" s="131"/>
      <c r="C1" s="131"/>
      <c r="D1" s="131"/>
      <c r="E1" s="131"/>
      <c r="F1" s="130"/>
      <c r="G1" s="130"/>
      <c r="H1" s="130"/>
      <c r="I1" s="131"/>
      <c r="J1" s="131"/>
      <c r="K1" s="131"/>
      <c r="L1" s="130"/>
      <c r="M1" s="143" t="s">
        <v>210</v>
      </c>
    </row>
    <row r="2" spans="1:21" ht="18" customHeight="1">
      <c r="A2" s="130"/>
      <c r="B2" s="135"/>
      <c r="C2" s="135"/>
      <c r="D2" s="135"/>
      <c r="E2" s="135"/>
      <c r="F2" s="130"/>
      <c r="G2" s="130"/>
      <c r="H2" s="130"/>
      <c r="I2" s="135"/>
      <c r="J2" s="135"/>
      <c r="K2" s="135"/>
      <c r="L2" s="130"/>
      <c r="M2" s="155" t="s">
        <v>2184</v>
      </c>
    </row>
    <row r="3" spans="1:21" s="5" customFormat="1" ht="18" customHeight="1">
      <c r="A3" s="133"/>
      <c r="B3" s="133"/>
      <c r="C3" s="133"/>
      <c r="D3" s="133"/>
      <c r="E3" s="133"/>
      <c r="F3" s="133"/>
      <c r="G3" s="133"/>
      <c r="H3" s="133"/>
      <c r="I3" s="133"/>
      <c r="J3" s="136"/>
      <c r="K3" s="136"/>
      <c r="L3" s="133"/>
      <c r="M3" s="155" t="s">
        <v>209</v>
      </c>
      <c r="N3" s="134"/>
      <c r="O3" s="134"/>
      <c r="P3" s="134"/>
      <c r="Q3" s="134"/>
      <c r="R3" s="134"/>
      <c r="S3" s="134"/>
      <c r="T3" s="134"/>
      <c r="U3" s="134"/>
    </row>
    <row r="4" spans="1:21" s="8" customFormat="1" ht="6.75" customHeight="1" thickBot="1">
      <c r="A4" s="38"/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</row>
    <row r="5" spans="1:21" s="8" customFormat="1" ht="11.25" customHeight="1" thickBot="1">
      <c r="A5" s="53" t="s">
        <v>19</v>
      </c>
      <c r="B5" s="50">
        <v>41275</v>
      </c>
      <c r="C5" s="47">
        <v>41306</v>
      </c>
      <c r="D5" s="47">
        <v>41334</v>
      </c>
      <c r="E5" s="47">
        <v>41365</v>
      </c>
      <c r="F5" s="47">
        <v>41395</v>
      </c>
      <c r="G5" s="47">
        <v>41426</v>
      </c>
      <c r="H5" s="47">
        <v>41456</v>
      </c>
      <c r="I5" s="47">
        <v>41487</v>
      </c>
      <c r="J5" s="47">
        <v>41518</v>
      </c>
      <c r="K5" s="47">
        <v>41548</v>
      </c>
      <c r="L5" s="47">
        <v>41579</v>
      </c>
      <c r="M5" s="51">
        <v>41609</v>
      </c>
    </row>
    <row r="6" spans="1:21" s="8" customFormat="1" ht="11.25" customHeight="1">
      <c r="A6" s="41" t="s">
        <v>129</v>
      </c>
      <c r="B6" s="57">
        <f t="shared" ref="B6:M6" si="0">B32</f>
        <v>33</v>
      </c>
      <c r="C6" s="57">
        <f t="shared" si="0"/>
        <v>23</v>
      </c>
      <c r="D6" s="57">
        <f t="shared" si="0"/>
        <v>22</v>
      </c>
      <c r="E6" s="57">
        <f t="shared" si="0"/>
        <v>14</v>
      </c>
      <c r="F6" s="57">
        <f t="shared" si="0"/>
        <v>22</v>
      </c>
      <c r="G6" s="57">
        <f t="shared" si="0"/>
        <v>13</v>
      </c>
      <c r="H6" s="57">
        <f t="shared" si="0"/>
        <v>21</v>
      </c>
      <c r="I6" s="57">
        <f t="shared" si="0"/>
        <v>29</v>
      </c>
      <c r="J6" s="57">
        <f t="shared" si="0"/>
        <v>33</v>
      </c>
      <c r="K6" s="57">
        <f t="shared" si="0"/>
        <v>13</v>
      </c>
      <c r="L6" s="156">
        <f t="shared" si="0"/>
        <v>17</v>
      </c>
      <c r="M6" s="168">
        <f t="shared" si="0"/>
        <v>36</v>
      </c>
    </row>
    <row r="7" spans="1:21" s="8" customFormat="1" ht="11.25" customHeight="1">
      <c r="A7" s="42" t="s">
        <v>18</v>
      </c>
      <c r="B7" s="57">
        <f t="shared" ref="B7:M7" si="1">SUM(B10:B12)</f>
        <v>30</v>
      </c>
      <c r="C7" s="57">
        <f t="shared" si="1"/>
        <v>27</v>
      </c>
      <c r="D7" s="57">
        <f t="shared" si="1"/>
        <v>29</v>
      </c>
      <c r="E7" s="57">
        <f t="shared" si="1"/>
        <v>36</v>
      </c>
      <c r="F7" s="57">
        <f t="shared" si="1"/>
        <v>42</v>
      </c>
      <c r="G7" s="57">
        <f t="shared" si="1"/>
        <v>54</v>
      </c>
      <c r="H7" s="57">
        <f t="shared" si="1"/>
        <v>56</v>
      </c>
      <c r="I7" s="57">
        <f t="shared" si="1"/>
        <v>58</v>
      </c>
      <c r="J7" s="57">
        <f t="shared" si="1"/>
        <v>46</v>
      </c>
      <c r="K7" s="57">
        <f t="shared" si="1"/>
        <v>50</v>
      </c>
      <c r="L7" s="156">
        <f t="shared" si="1"/>
        <v>67</v>
      </c>
      <c r="M7" s="171">
        <f t="shared" si="1"/>
        <v>55</v>
      </c>
    </row>
    <row r="8" spans="1:21" s="8" customFormat="1" ht="11.25" customHeight="1" thickBot="1">
      <c r="A8" s="43" t="s">
        <v>14</v>
      </c>
      <c r="B8" s="58">
        <f t="shared" ref="B8:M8" si="2">SUM(B6:B7)</f>
        <v>63</v>
      </c>
      <c r="C8" s="58">
        <f t="shared" si="2"/>
        <v>50</v>
      </c>
      <c r="D8" s="58">
        <f t="shared" si="2"/>
        <v>51</v>
      </c>
      <c r="E8" s="58">
        <f t="shared" si="2"/>
        <v>50</v>
      </c>
      <c r="F8" s="58">
        <f t="shared" si="2"/>
        <v>64</v>
      </c>
      <c r="G8" s="58">
        <f t="shared" si="2"/>
        <v>67</v>
      </c>
      <c r="H8" s="58">
        <f t="shared" si="2"/>
        <v>77</v>
      </c>
      <c r="I8" s="58">
        <f t="shared" si="2"/>
        <v>87</v>
      </c>
      <c r="J8" s="58">
        <f t="shared" si="2"/>
        <v>79</v>
      </c>
      <c r="K8" s="58">
        <f t="shared" si="2"/>
        <v>63</v>
      </c>
      <c r="L8" s="157">
        <f t="shared" si="2"/>
        <v>84</v>
      </c>
      <c r="M8" s="172">
        <f t="shared" si="2"/>
        <v>91</v>
      </c>
    </row>
    <row r="9" spans="1:21" s="8" customFormat="1" ht="11.25" customHeight="1" thickBot="1">
      <c r="A9" s="54" t="s">
        <v>18</v>
      </c>
      <c r="B9" s="50">
        <v>41275</v>
      </c>
      <c r="C9" s="47">
        <v>41306</v>
      </c>
      <c r="D9" s="47">
        <v>41334</v>
      </c>
      <c r="E9" s="47">
        <v>41365</v>
      </c>
      <c r="F9" s="47">
        <v>41395</v>
      </c>
      <c r="G9" s="47">
        <v>41426</v>
      </c>
      <c r="H9" s="47">
        <v>41456</v>
      </c>
      <c r="I9" s="47">
        <v>41487</v>
      </c>
      <c r="J9" s="47">
        <v>41518</v>
      </c>
      <c r="K9" s="47">
        <v>41548</v>
      </c>
      <c r="L9" s="47">
        <v>41579</v>
      </c>
      <c r="M9" s="51">
        <v>41609</v>
      </c>
    </row>
    <row r="10" spans="1:21" s="8" customFormat="1" ht="11.25" customHeight="1">
      <c r="A10" s="9" t="s">
        <v>128</v>
      </c>
      <c r="B10" s="57">
        <f t="shared" ref="B10:M10" si="3">B52</f>
        <v>15</v>
      </c>
      <c r="C10" s="57">
        <f t="shared" si="3"/>
        <v>13</v>
      </c>
      <c r="D10" s="57">
        <f t="shared" si="3"/>
        <v>10</v>
      </c>
      <c r="E10" s="57">
        <f t="shared" si="3"/>
        <v>17</v>
      </c>
      <c r="F10" s="57">
        <f t="shared" si="3"/>
        <v>21</v>
      </c>
      <c r="G10" s="59">
        <f t="shared" si="3"/>
        <v>24</v>
      </c>
      <c r="H10" s="59">
        <f t="shared" si="3"/>
        <v>28</v>
      </c>
      <c r="I10" s="59">
        <f t="shared" si="3"/>
        <v>32</v>
      </c>
      <c r="J10" s="59">
        <f t="shared" si="3"/>
        <v>27</v>
      </c>
      <c r="K10" s="59">
        <f t="shared" si="3"/>
        <v>17</v>
      </c>
      <c r="L10" s="158">
        <f t="shared" si="3"/>
        <v>27</v>
      </c>
      <c r="M10" s="168">
        <f t="shared" si="3"/>
        <v>31</v>
      </c>
    </row>
    <row r="11" spans="1:21" s="8" customFormat="1" ht="11.25" customHeight="1">
      <c r="A11" s="9" t="s">
        <v>127</v>
      </c>
      <c r="B11" s="59">
        <f t="shared" ref="B11:M11" si="4">B65</f>
        <v>5</v>
      </c>
      <c r="C11" s="59">
        <f t="shared" si="4"/>
        <v>5</v>
      </c>
      <c r="D11" s="59">
        <f t="shared" si="4"/>
        <v>0</v>
      </c>
      <c r="E11" s="59">
        <f t="shared" si="4"/>
        <v>3</v>
      </c>
      <c r="F11" s="59">
        <f t="shared" si="4"/>
        <v>0</v>
      </c>
      <c r="G11" s="59">
        <f t="shared" si="4"/>
        <v>3</v>
      </c>
      <c r="H11" s="59">
        <f t="shared" si="4"/>
        <v>3</v>
      </c>
      <c r="I11" s="59">
        <f t="shared" si="4"/>
        <v>3</v>
      </c>
      <c r="J11" s="59">
        <f t="shared" si="4"/>
        <v>4</v>
      </c>
      <c r="K11" s="59">
        <f t="shared" si="4"/>
        <v>1</v>
      </c>
      <c r="L11" s="158">
        <f t="shared" si="4"/>
        <v>5</v>
      </c>
      <c r="M11" s="169">
        <f t="shared" si="4"/>
        <v>2</v>
      </c>
    </row>
    <row r="12" spans="1:21" s="8" customFormat="1" ht="11.25" customHeight="1" thickBot="1">
      <c r="A12" s="2" t="s">
        <v>12</v>
      </c>
      <c r="B12" s="60">
        <f>COUNTIFS(Jan!$B:$B,2264,Jan!$F:$F,800)</f>
        <v>10</v>
      </c>
      <c r="C12" s="60">
        <v>9</v>
      </c>
      <c r="D12" s="60">
        <v>19</v>
      </c>
      <c r="E12" s="60">
        <v>16</v>
      </c>
      <c r="F12" s="60">
        <v>21</v>
      </c>
      <c r="G12" s="60">
        <v>27</v>
      </c>
      <c r="H12" s="60">
        <v>25</v>
      </c>
      <c r="I12" s="60">
        <v>23</v>
      </c>
      <c r="J12" s="60">
        <v>15</v>
      </c>
      <c r="K12" s="60">
        <v>32</v>
      </c>
      <c r="L12" s="60">
        <v>35</v>
      </c>
      <c r="M12" s="60">
        <v>22</v>
      </c>
    </row>
    <row r="13" spans="1:21" s="8" customFormat="1" ht="5.0999999999999996" customHeight="1" thickBot="1">
      <c r="A13" s="3"/>
      <c r="B13" s="17"/>
      <c r="C13" s="17"/>
      <c r="D13" s="17"/>
      <c r="E13" s="17"/>
      <c r="F13" s="17"/>
      <c r="G13" s="17"/>
      <c r="H13" s="17"/>
      <c r="I13" s="17"/>
      <c r="J13" s="17"/>
      <c r="K13" s="17"/>
      <c r="L13" s="17"/>
      <c r="M13" s="147"/>
    </row>
    <row r="14" spans="1:21" s="16" customFormat="1" ht="11.25" customHeight="1">
      <c r="A14" s="44" t="s">
        <v>131</v>
      </c>
      <c r="B14" s="120">
        <v>19983</v>
      </c>
      <c r="C14" s="120">
        <v>20915</v>
      </c>
      <c r="D14" s="120">
        <v>23078</v>
      </c>
      <c r="E14" s="120">
        <v>19013</v>
      </c>
      <c r="F14" s="120">
        <v>24406</v>
      </c>
      <c r="G14" s="120">
        <v>25377</v>
      </c>
      <c r="H14" s="119">
        <v>21541</v>
      </c>
      <c r="I14" s="61">
        <v>22506</v>
      </c>
      <c r="J14" s="61">
        <v>23529</v>
      </c>
      <c r="K14" s="118">
        <v>22147</v>
      </c>
      <c r="L14" s="160">
        <v>20635</v>
      </c>
      <c r="M14" s="173">
        <v>25239</v>
      </c>
      <c r="O14" s="22"/>
      <c r="P14" s="22"/>
      <c r="Q14" s="22"/>
    </row>
    <row r="15" spans="1:21" s="8" customFormat="1" ht="11.25" customHeight="1">
      <c r="A15" s="45" t="s">
        <v>132</v>
      </c>
      <c r="B15" s="62">
        <f>IFERROR((SUMIFS(Jan!$N:$N,Jan!$J:$J,1,Jan!$B:$B,2264)+SUMIFS(Jan!$N:$N,Jan!$D:$D,"&gt;1",Jan!$B:$B,2264))/(COUNTIFS(Jan!$J:$J,1,Jan!$B:$B,2264)+COUNTIFS(Jan!$D:$D,"&gt;1",Jan!$B:$B,2264)),"")</f>
        <v>34.583333333333336</v>
      </c>
      <c r="C15" s="62">
        <v>33.57</v>
      </c>
      <c r="D15" s="62">
        <v>31.62</v>
      </c>
      <c r="E15" s="62">
        <v>35.11</v>
      </c>
      <c r="F15" s="62">
        <v>32.950000000000003</v>
      </c>
      <c r="G15" s="62">
        <v>33.299999999999997</v>
      </c>
      <c r="H15" s="62">
        <v>33.020000000000003</v>
      </c>
      <c r="I15" s="62">
        <v>32.369999999999997</v>
      </c>
      <c r="J15" s="62">
        <v>32.69</v>
      </c>
      <c r="K15" s="62">
        <v>33.08</v>
      </c>
      <c r="L15" s="62">
        <v>32.25</v>
      </c>
      <c r="M15" s="62">
        <v>32.270000000000003</v>
      </c>
      <c r="N15" s="15"/>
      <c r="O15" s="1"/>
      <c r="P15" s="1"/>
      <c r="Q15" s="1"/>
    </row>
    <row r="16" spans="1:21" s="8" customFormat="1" ht="11.25" customHeight="1">
      <c r="A16" s="45" t="s">
        <v>133</v>
      </c>
      <c r="B16" s="62">
        <f>IFERROR(AVERAGEIFS(Jan!$N:$N,Jan!$F:$F,800,Jan!$B:$B,2264),"")</f>
        <v>35.4</v>
      </c>
      <c r="C16" s="62">
        <v>33.6</v>
      </c>
      <c r="D16" s="62">
        <v>30.68</v>
      </c>
      <c r="E16" s="62">
        <v>36.06</v>
      </c>
      <c r="F16" s="62">
        <v>33.57</v>
      </c>
      <c r="G16" s="62">
        <v>33</v>
      </c>
      <c r="H16" s="62">
        <v>33.76</v>
      </c>
      <c r="I16" s="62">
        <v>32.08</v>
      </c>
      <c r="J16" s="62">
        <v>33.06</v>
      </c>
      <c r="K16" s="62">
        <v>33.75</v>
      </c>
      <c r="L16" s="62">
        <v>32.11</v>
      </c>
      <c r="M16" s="62">
        <v>33.92</v>
      </c>
      <c r="O16" s="1"/>
      <c r="P16" s="1"/>
      <c r="Q16" s="1"/>
    </row>
    <row r="17" spans="1:17" s="8" customFormat="1" ht="11.25" customHeight="1">
      <c r="A17" s="45" t="s">
        <v>134</v>
      </c>
      <c r="B17" s="63">
        <f>IFERROR((SUMIFS(Jan!$M:$M,Jan!$J:$J,1,Jan!$B:$B,2264)+SUMIFS(Jan!$M:$M,Jan!$D:$D,"&gt;1",Jan!$B:$B,2264))/(COUNTIFS(Jan!$J:$J,1,Jan!$B:$B,2264)+COUNTIFS(Jan!$D:$D,"&gt;1",Jan!$B:$B,2264)),"")</f>
        <v>4.5999999999999996</v>
      </c>
      <c r="C17" s="63">
        <v>5.56</v>
      </c>
      <c r="D17" s="63">
        <v>3.75</v>
      </c>
      <c r="E17" s="63">
        <v>4.43</v>
      </c>
      <c r="F17" s="63">
        <v>2.2200000000000002</v>
      </c>
      <c r="G17" s="63">
        <v>1.1399999999999999</v>
      </c>
      <c r="H17" s="63">
        <v>1.43</v>
      </c>
      <c r="I17" s="63">
        <v>1.45</v>
      </c>
      <c r="J17" s="63">
        <v>0.97</v>
      </c>
      <c r="K17" s="63">
        <v>3.32</v>
      </c>
      <c r="L17" s="63">
        <v>1.94</v>
      </c>
      <c r="M17" s="63">
        <v>2.5299999999999998</v>
      </c>
      <c r="O17" s="1"/>
      <c r="P17" s="1"/>
      <c r="Q17" s="1"/>
    </row>
    <row r="18" spans="1:17" s="8" customFormat="1" ht="11.25" customHeight="1" thickBot="1">
      <c r="A18" s="43" t="s">
        <v>135</v>
      </c>
      <c r="B18" s="64">
        <f>IFERROR(AVERAGEIFS(Jan!$M:$M,Jan!$F:$F,800,Jan!$B:$B,2264),"")</f>
        <v>5.41</v>
      </c>
      <c r="C18" s="64">
        <v>7.38</v>
      </c>
      <c r="D18" s="64">
        <v>5.42</v>
      </c>
      <c r="E18" s="64">
        <v>5.42</v>
      </c>
      <c r="F18" s="64">
        <v>0.62</v>
      </c>
      <c r="G18" s="64">
        <v>1.04</v>
      </c>
      <c r="H18" s="64">
        <v>2.46</v>
      </c>
      <c r="I18" s="64">
        <v>0.59</v>
      </c>
      <c r="J18" s="64">
        <v>0.61</v>
      </c>
      <c r="K18" s="64">
        <v>2.8</v>
      </c>
      <c r="L18" s="64">
        <v>1.73</v>
      </c>
      <c r="M18" s="64">
        <v>1.83</v>
      </c>
    </row>
    <row r="19" spans="1:17" s="8" customFormat="1" ht="5.0999999999999996" customHeight="1" thickBot="1">
      <c r="A19" s="3"/>
      <c r="B19" s="17"/>
      <c r="C19" s="17"/>
      <c r="D19" s="17"/>
      <c r="E19" s="17"/>
      <c r="F19" s="17"/>
      <c r="G19" s="17"/>
      <c r="H19" s="17"/>
      <c r="I19" s="17"/>
      <c r="J19" s="17"/>
      <c r="K19" s="17"/>
      <c r="L19" s="17"/>
      <c r="M19" s="147"/>
    </row>
    <row r="20" spans="1:17" s="8" customFormat="1" ht="11.25" customHeight="1">
      <c r="A20" s="42" t="s">
        <v>52</v>
      </c>
      <c r="B20" s="65">
        <v>31</v>
      </c>
      <c r="C20" s="65">
        <v>28</v>
      </c>
      <c r="D20" s="65">
        <v>31</v>
      </c>
      <c r="E20" s="65">
        <v>30</v>
      </c>
      <c r="F20" s="65">
        <v>31</v>
      </c>
      <c r="G20" s="65">
        <v>30</v>
      </c>
      <c r="H20" s="65">
        <v>31</v>
      </c>
      <c r="I20" s="65">
        <v>31</v>
      </c>
      <c r="J20" s="65">
        <v>30</v>
      </c>
      <c r="K20" s="65">
        <v>31</v>
      </c>
      <c r="L20" s="161">
        <v>30</v>
      </c>
      <c r="M20" s="174">
        <v>31</v>
      </c>
    </row>
    <row r="21" spans="1:17" s="8" customFormat="1" ht="11.25" customHeight="1">
      <c r="A21" s="9" t="s">
        <v>15</v>
      </c>
      <c r="B21" s="66">
        <f>B12/B20</f>
        <v>0.32258064516129031</v>
      </c>
      <c r="C21" s="66">
        <f t="shared" ref="C21:M21" si="5">C12/C20</f>
        <v>0.32142857142857145</v>
      </c>
      <c r="D21" s="66">
        <f>D12/D20</f>
        <v>0.61290322580645162</v>
      </c>
      <c r="E21" s="66">
        <f>E12/E20</f>
        <v>0.53333333333333333</v>
      </c>
      <c r="F21" s="66">
        <f>F12/F20</f>
        <v>0.67741935483870963</v>
      </c>
      <c r="G21" s="66">
        <f>G12/G20</f>
        <v>0.9</v>
      </c>
      <c r="H21" s="66">
        <f t="shared" si="5"/>
        <v>0.80645161290322576</v>
      </c>
      <c r="I21" s="66">
        <f t="shared" si="5"/>
        <v>0.74193548387096775</v>
      </c>
      <c r="J21" s="66">
        <f t="shared" si="5"/>
        <v>0.5</v>
      </c>
      <c r="K21" s="66">
        <f t="shared" si="5"/>
        <v>1.032258064516129</v>
      </c>
      <c r="L21" s="162">
        <f t="shared" si="5"/>
        <v>1.1666666666666667</v>
      </c>
      <c r="M21" s="175">
        <f t="shared" si="5"/>
        <v>0.70967741935483875</v>
      </c>
    </row>
    <row r="22" spans="1:17" s="8" customFormat="1" ht="11.25" customHeight="1">
      <c r="A22" s="9" t="s">
        <v>130</v>
      </c>
      <c r="B22" s="67">
        <f t="shared" ref="B22:G22" si="6">IFERROR(B12/B7,0)</f>
        <v>0.33333333333333331</v>
      </c>
      <c r="C22" s="67">
        <f t="shared" si="6"/>
        <v>0.33333333333333331</v>
      </c>
      <c r="D22" s="67">
        <f t="shared" si="6"/>
        <v>0.65517241379310343</v>
      </c>
      <c r="E22" s="67">
        <f t="shared" si="6"/>
        <v>0.44444444444444442</v>
      </c>
      <c r="F22" s="67">
        <f t="shared" si="6"/>
        <v>0.5</v>
      </c>
      <c r="G22" s="67">
        <f t="shared" si="6"/>
        <v>0.5</v>
      </c>
      <c r="H22" s="67">
        <f t="shared" ref="H22:M22" si="7">IFERROR(H12/H7,0)</f>
        <v>0.44642857142857145</v>
      </c>
      <c r="I22" s="67">
        <f t="shared" si="7"/>
        <v>0.39655172413793105</v>
      </c>
      <c r="J22" s="67">
        <f t="shared" si="7"/>
        <v>0.32608695652173914</v>
      </c>
      <c r="K22" s="116">
        <f t="shared" si="7"/>
        <v>0.64</v>
      </c>
      <c r="L22" s="67">
        <f t="shared" si="7"/>
        <v>0.52238805970149249</v>
      </c>
      <c r="M22" s="176">
        <f t="shared" si="7"/>
        <v>0.4</v>
      </c>
      <c r="N22" s="1"/>
    </row>
    <row r="23" spans="1:17" s="8" customFormat="1" ht="11.25" customHeight="1" thickBot="1">
      <c r="A23" s="9" t="s">
        <v>53</v>
      </c>
      <c r="B23" s="67">
        <f t="shared" ref="B23:G23" si="8">IFERROR(B12/(B11+B12),0)</f>
        <v>0.66666666666666663</v>
      </c>
      <c r="C23" s="67">
        <f t="shared" si="8"/>
        <v>0.6428571428571429</v>
      </c>
      <c r="D23" s="67">
        <f t="shared" si="8"/>
        <v>1</v>
      </c>
      <c r="E23" s="67">
        <f t="shared" si="8"/>
        <v>0.84210526315789469</v>
      </c>
      <c r="F23" s="67">
        <f t="shared" si="8"/>
        <v>1</v>
      </c>
      <c r="G23" s="67">
        <f t="shared" si="8"/>
        <v>0.9</v>
      </c>
      <c r="H23" s="67">
        <f t="shared" ref="H23:M23" si="9">IFERROR(H12/(H11+H12),0)</f>
        <v>0.8928571428571429</v>
      </c>
      <c r="I23" s="67">
        <f t="shared" si="9"/>
        <v>0.88461538461538458</v>
      </c>
      <c r="J23" s="67">
        <f t="shared" si="9"/>
        <v>0.78947368421052633</v>
      </c>
      <c r="K23" s="117">
        <f t="shared" si="9"/>
        <v>0.96969696969696972</v>
      </c>
      <c r="L23" s="163">
        <f t="shared" si="9"/>
        <v>0.875</v>
      </c>
      <c r="M23" s="177">
        <f t="shared" si="9"/>
        <v>0.91666666666666663</v>
      </c>
      <c r="N23" s="4"/>
    </row>
    <row r="24" spans="1:17" s="8" customFormat="1" ht="11.25" customHeight="1" thickBot="1">
      <c r="A24" s="56" t="s">
        <v>21</v>
      </c>
      <c r="B24" s="50">
        <v>41275</v>
      </c>
      <c r="C24" s="47">
        <v>41306</v>
      </c>
      <c r="D24" s="47">
        <v>41334</v>
      </c>
      <c r="E24" s="47">
        <v>41365</v>
      </c>
      <c r="F24" s="47">
        <v>41395</v>
      </c>
      <c r="G24" s="47">
        <v>41426</v>
      </c>
      <c r="H24" s="47">
        <v>41456</v>
      </c>
      <c r="I24" s="47">
        <v>41487</v>
      </c>
      <c r="J24" s="47">
        <v>41518</v>
      </c>
      <c r="K24" s="47">
        <v>41548</v>
      </c>
      <c r="L24" s="47">
        <v>41579</v>
      </c>
      <c r="M24" s="51">
        <v>41609</v>
      </c>
    </row>
    <row r="25" spans="1:17" s="8" customFormat="1" ht="11.25" customHeight="1">
      <c r="A25" s="18" t="s">
        <v>5</v>
      </c>
      <c r="B25" s="68">
        <f>COUNTIFS(Jan!$B:$B,2264,Jan!$J:$J,18)</f>
        <v>0</v>
      </c>
      <c r="C25" s="68">
        <v>1</v>
      </c>
      <c r="D25" s="68">
        <f>COUNTIFS(Mar!$B:$B,2264,Mar!$J:$J,18)</f>
        <v>0</v>
      </c>
      <c r="E25" s="68">
        <f>COUNTIFS(Apr!$B:$B,2264,Apr!$J:$J,18)</f>
        <v>0</v>
      </c>
      <c r="F25" s="68">
        <f>COUNTIFS(May!$B:$B,2264,May!$J:$J,18)</f>
        <v>0</v>
      </c>
      <c r="G25" s="68">
        <f>COUNTIFS(Jun!$B:$B,2264,Jun!$J:$J,18)</f>
        <v>0</v>
      </c>
      <c r="H25" s="68">
        <v>1</v>
      </c>
      <c r="I25" s="68">
        <v>1</v>
      </c>
      <c r="J25" s="68">
        <v>4</v>
      </c>
      <c r="K25" s="68">
        <v>1</v>
      </c>
      <c r="L25" s="68">
        <f>COUNTIFS(Nov!$B:$B,2264,Nov!$J:$J,18)</f>
        <v>0</v>
      </c>
      <c r="M25" s="68">
        <v>1</v>
      </c>
    </row>
    <row r="26" spans="1:17" s="8" customFormat="1" ht="11.25" customHeight="1">
      <c r="A26" s="46" t="s">
        <v>40</v>
      </c>
      <c r="B26" s="57">
        <f>COUNTIFS(Jan!$B:$B,2264,Jan!$J:$J,41)</f>
        <v>0</v>
      </c>
      <c r="C26" s="57">
        <f>COUNTIFS(Feb!$B:$B,2264,Feb!$J:$J,41)</f>
        <v>0</v>
      </c>
      <c r="D26" s="57">
        <f>COUNTIFS(Mar!$B:$B,2264,Mar!$J:$J,41)</f>
        <v>0</v>
      </c>
      <c r="E26" s="57">
        <f>COUNTIFS(Apr!$B:$B,2264,Apr!$J:$J,41)</f>
        <v>0</v>
      </c>
      <c r="F26" s="57">
        <v>0</v>
      </c>
      <c r="G26" s="57">
        <f>COUNTIFS(Jun!$B:$B,2264,Jun!$J:$J,41)</f>
        <v>0</v>
      </c>
      <c r="H26" s="57">
        <f>COUNTIFS(Jul!$B:$B,2264,Jul!$J:$J,41)</f>
        <v>0</v>
      </c>
      <c r="I26" s="57">
        <f>COUNTIFS(Aug!$B:$B,2264,Aug!$J:$J,41)</f>
        <v>0</v>
      </c>
      <c r="J26" s="57">
        <f>COUNTIFS(Sep!$B:$B,2264,Sep!$J:$J,41)</f>
        <v>0</v>
      </c>
      <c r="K26" s="57">
        <f>COUNTIFS(Oct!$B:$B,2264,Oct!$J:$J,41)</f>
        <v>0</v>
      </c>
      <c r="L26" s="57">
        <f>COUNTIFS(Nov!$B:$B,2264,Nov!$J:$J,41)</f>
        <v>0</v>
      </c>
      <c r="M26" s="57">
        <v>1</v>
      </c>
    </row>
    <row r="27" spans="1:17" s="8" customFormat="1" ht="11.25" customHeight="1">
      <c r="A27" s="9" t="s">
        <v>11</v>
      </c>
      <c r="B27" s="179">
        <f>COUNTIFS(Jan!$B:$B,2264,Jan!$J:$J,17)</f>
        <v>33</v>
      </c>
      <c r="C27" s="206">
        <v>21</v>
      </c>
      <c r="D27" s="206">
        <v>21</v>
      </c>
      <c r="E27" s="206">
        <v>13</v>
      </c>
      <c r="F27" s="206">
        <v>20</v>
      </c>
      <c r="G27" s="206">
        <v>13</v>
      </c>
      <c r="H27" s="206">
        <v>18</v>
      </c>
      <c r="I27" s="206">
        <v>28</v>
      </c>
      <c r="J27" s="206">
        <v>28</v>
      </c>
      <c r="K27" s="206">
        <v>11</v>
      </c>
      <c r="L27" s="206">
        <v>17</v>
      </c>
      <c r="M27" s="206">
        <v>34</v>
      </c>
    </row>
    <row r="28" spans="1:17" s="8" customFormat="1" ht="11.25" customHeight="1">
      <c r="A28" s="9" t="s">
        <v>143</v>
      </c>
      <c r="B28" s="59">
        <f>COUNTIFS(Jan!$B:$B,2264,Jan!$F:$F,455)</f>
        <v>0</v>
      </c>
      <c r="C28" s="59">
        <f>COUNTIFS(Feb!$B:$B,2264,Feb!$F:$F,455)</f>
        <v>0</v>
      </c>
      <c r="D28" s="59">
        <f>COUNTIFS(Mar!$B:$B,2264,Mar!$F:$F,455)</f>
        <v>0</v>
      </c>
      <c r="E28" s="59">
        <f>COUNTIFS(Apr!$B:$B,2264,Apr!$F:$F,455)</f>
        <v>0</v>
      </c>
      <c r="F28" s="59">
        <f>COUNTIFS(May!$B:$B,2264,May!$F:$F,455)</f>
        <v>0</v>
      </c>
      <c r="G28" s="59">
        <f>COUNTIFS(Jun!$B:$B,2264,Jun!$F:$F,455)</f>
        <v>0</v>
      </c>
      <c r="H28" s="59">
        <f>COUNTIFS(Jul!$B:$B,2264,Jul!$F:$F,455)</f>
        <v>0</v>
      </c>
      <c r="I28" s="59">
        <f>COUNTIFS(Aug!$B:$B,2264,Aug!$F:$F,455)</f>
        <v>0</v>
      </c>
      <c r="J28" s="59">
        <f>COUNTIFS(Sep!$B:$B,2264,Sep!$F:$F,455)</f>
        <v>0</v>
      </c>
      <c r="K28" s="59">
        <f>COUNTIFS(Oct!$B:$B,2264,Oct!$F:$F,455)</f>
        <v>0</v>
      </c>
      <c r="L28" s="59">
        <f>COUNTIFS(Nov!$B:$B,2264,Nov!$F:$F,455)</f>
        <v>0</v>
      </c>
      <c r="M28" s="59">
        <v>0</v>
      </c>
    </row>
    <row r="29" spans="1:17" s="8" customFormat="1" ht="11.25" customHeight="1">
      <c r="A29" s="9" t="s">
        <v>23</v>
      </c>
      <c r="B29" s="59">
        <f>COUNTIFS(Jan!$B:$B,2264,Jan!$J:$J,31)</f>
        <v>0</v>
      </c>
      <c r="C29" s="59">
        <f>COUNTIFS(Feb!$B:$B,2264,Feb!$J:$J,31)</f>
        <v>0</v>
      </c>
      <c r="D29" s="59">
        <f>COUNTIFS(Mar!$B:$B,2264,Mar!$J:$J,31)</f>
        <v>0</v>
      </c>
      <c r="E29" s="59">
        <f>COUNTIFS(Apr!$B:$B,2264,Apr!$J:$J,31)</f>
        <v>0</v>
      </c>
      <c r="F29" s="59">
        <f>COUNTIFS(May!$B:$B,2264,May!$J:$J,31)</f>
        <v>0</v>
      </c>
      <c r="G29" s="59">
        <f>COUNTIFS(Jun!$B:$B,2264,Jun!$J:$J,31)</f>
        <v>0</v>
      </c>
      <c r="H29" s="59">
        <f>COUNTIFS(Jul!$B:$B,2264,Jul!$J:$J,31)</f>
        <v>0</v>
      </c>
      <c r="I29" s="59">
        <f>COUNTIFS(Aug!$B:$B,2264,Aug!$J:$J,31)</f>
        <v>0</v>
      </c>
      <c r="J29" s="59">
        <f>COUNTIFS(Sep!$B:$B,2264,Sep!$J:$J,31)</f>
        <v>0</v>
      </c>
      <c r="K29" s="59">
        <f>COUNTIFS(Oct!$B:$B,2264,Oct!$J:$J,31)</f>
        <v>0</v>
      </c>
      <c r="L29" s="59">
        <f>COUNTIFS(Nov!$B:$B,2264,Nov!$J:$J,31)</f>
        <v>0</v>
      </c>
      <c r="M29" s="59">
        <v>0</v>
      </c>
    </row>
    <row r="30" spans="1:17" s="8" customFormat="1" ht="11.25" customHeight="1">
      <c r="A30" s="9" t="s">
        <v>37</v>
      </c>
      <c r="B30" s="59">
        <f>COUNTIFS(Jan!$B:$B,2264,Jan!$J:$J,4400)</f>
        <v>0</v>
      </c>
      <c r="C30" s="59">
        <v>1</v>
      </c>
      <c r="D30" s="59">
        <v>1</v>
      </c>
      <c r="E30" s="59">
        <v>1</v>
      </c>
      <c r="F30" s="59">
        <v>2</v>
      </c>
      <c r="G30" s="59">
        <f>COUNTIFS(Jun!$B:$B,2264,Jun!$J:$J,4400)</f>
        <v>0</v>
      </c>
      <c r="H30" s="59">
        <v>2</v>
      </c>
      <c r="I30" s="59">
        <f>COUNTIFS(Aug!$B:$B,2264,Aug!$J:$J,4400)</f>
        <v>0</v>
      </c>
      <c r="J30" s="59">
        <v>1</v>
      </c>
      <c r="K30" s="59">
        <v>1</v>
      </c>
      <c r="L30" s="59">
        <f>COUNTIFS(Nov!$B:$B,2264,Nov!$J:$J,4400)</f>
        <v>0</v>
      </c>
      <c r="M30" s="59">
        <v>0</v>
      </c>
    </row>
    <row r="31" spans="1:17" s="8" customFormat="1" ht="11.25" customHeight="1">
      <c r="A31" s="10" t="s">
        <v>24</v>
      </c>
      <c r="B31" s="59">
        <f>COUNTIFS(Jan!$B:$B,2264,Jan!$J:$J,30)</f>
        <v>0</v>
      </c>
      <c r="C31" s="59">
        <f>COUNTIFS(Feb!$B:$B,2264,Feb!$J:$J,30)</f>
        <v>0</v>
      </c>
      <c r="D31" s="59">
        <f>COUNTIFS(Mar!$B:$B,2264,Mar!$J:$J,30)</f>
        <v>0</v>
      </c>
      <c r="E31" s="59">
        <f>COUNTIFS(Apr!$B:$B,2264,Apr!$J:$J,30)</f>
        <v>0</v>
      </c>
      <c r="F31" s="59">
        <f>COUNTIFS(May!$B:$B,2264,May!$J:$J,30)</f>
        <v>0</v>
      </c>
      <c r="G31" s="59">
        <f>COUNTIFS(Jun!$B:$B,2264,Jun!$J:$J,30)</f>
        <v>0</v>
      </c>
      <c r="H31" s="59">
        <f>COUNTIFS(Jul!$B:$B,2264,Jul!$J:$J,30)</f>
        <v>0</v>
      </c>
      <c r="I31" s="59">
        <f>COUNTIFS(Aug!$B:$B,2264,Aug!$J:$J,30)</f>
        <v>0</v>
      </c>
      <c r="J31" s="59">
        <f>COUNTIFS(Sep!$B:$B,2264,Sep!$J:$J,30)</f>
        <v>0</v>
      </c>
      <c r="K31" s="59">
        <f>COUNTIFS(Oct!$B:$B,2264,Oct!$J:$J,30)</f>
        <v>0</v>
      </c>
      <c r="L31" s="59">
        <f>COUNTIFS(Nov!$B:$B,2264,Nov!$J:$J,30)</f>
        <v>0</v>
      </c>
      <c r="M31" s="59">
        <v>0</v>
      </c>
    </row>
    <row r="32" spans="1:17" s="14" customFormat="1" ht="11.25" customHeight="1" thickBot="1">
      <c r="A32" s="2" t="s">
        <v>140</v>
      </c>
      <c r="B32" s="60">
        <f>SUM(B25:B31)</f>
        <v>33</v>
      </c>
      <c r="C32" s="60">
        <f t="shared" ref="C32:M32" si="10">SUM(C25:C31)</f>
        <v>23</v>
      </c>
      <c r="D32" s="60">
        <f>SUM(D25:D31)</f>
        <v>22</v>
      </c>
      <c r="E32" s="60">
        <f>SUM(E25:E31)</f>
        <v>14</v>
      </c>
      <c r="F32" s="60">
        <f>SUM(F25:F31)</f>
        <v>22</v>
      </c>
      <c r="G32" s="60">
        <f>SUM(G25:G31)</f>
        <v>13</v>
      </c>
      <c r="H32" s="60">
        <f t="shared" si="10"/>
        <v>21</v>
      </c>
      <c r="I32" s="60">
        <f t="shared" si="10"/>
        <v>29</v>
      </c>
      <c r="J32" s="60">
        <f t="shared" si="10"/>
        <v>33</v>
      </c>
      <c r="K32" s="60">
        <f t="shared" si="10"/>
        <v>13</v>
      </c>
      <c r="L32" s="159">
        <f t="shared" si="10"/>
        <v>17</v>
      </c>
      <c r="M32" s="170">
        <f t="shared" si="10"/>
        <v>36</v>
      </c>
    </row>
    <row r="33" spans="1:13" ht="12" customHeight="1" thickBot="1">
      <c r="A33" s="55" t="s">
        <v>136</v>
      </c>
      <c r="B33" s="50">
        <v>41275</v>
      </c>
      <c r="C33" s="47">
        <v>41306</v>
      </c>
      <c r="D33" s="47">
        <v>41334</v>
      </c>
      <c r="E33" s="47">
        <v>41365</v>
      </c>
      <c r="F33" s="47">
        <v>41395</v>
      </c>
      <c r="G33" s="47">
        <v>41426</v>
      </c>
      <c r="H33" s="47">
        <v>41456</v>
      </c>
      <c r="I33" s="47">
        <v>41487</v>
      </c>
      <c r="J33" s="47">
        <v>41518</v>
      </c>
      <c r="K33" s="47">
        <v>41548</v>
      </c>
      <c r="L33" s="47">
        <v>41579</v>
      </c>
      <c r="M33" s="51">
        <v>41609</v>
      </c>
    </row>
    <row r="34" spans="1:13" s="8" customFormat="1" ht="11.25" customHeight="1">
      <c r="A34" s="46" t="s">
        <v>33</v>
      </c>
      <c r="B34" s="57">
        <f>COUNTIFS(Jan!$B:$B,2264,Jan!$J:$J,40)</f>
        <v>0</v>
      </c>
      <c r="C34" s="57">
        <f>COUNTIFS(Feb!$B:$B,2264,Feb!$J:$J,40)</f>
        <v>0</v>
      </c>
      <c r="D34" s="57">
        <f>COUNTIFS(Mar!$B:$B,2264,Mar!$J:$J,40)</f>
        <v>0</v>
      </c>
      <c r="E34" s="57">
        <f>COUNTIFS(Apr!$B:$B,2264,Apr!$J:$J,40)</f>
        <v>0</v>
      </c>
      <c r="F34" s="57">
        <f>COUNTIFS(May!$B:$B,2264,May!$J:$J,40)</f>
        <v>0</v>
      </c>
      <c r="G34" s="57">
        <f>COUNTIFS(Jun!$B:$B,2264,Jun!$J:$J,40)</f>
        <v>0</v>
      </c>
      <c r="H34" s="57">
        <f>COUNTIFS(Jul!$B:$B,2264,Jul!$J:$J,40)</f>
        <v>0</v>
      </c>
      <c r="I34" s="57">
        <f>COUNTIFS(Aug!$B:$B,2264,Aug!$J:$J,40)</f>
        <v>0</v>
      </c>
      <c r="J34" s="57">
        <f>COUNTIFS(Sep!$B:$B,2264,Sep!$J:$J,40)</f>
        <v>0</v>
      </c>
      <c r="K34" s="57">
        <v>1</v>
      </c>
      <c r="L34" s="57">
        <f>COUNTIFS(Nov!$B:$B,2264,Nov!$J:$J,40)</f>
        <v>0</v>
      </c>
      <c r="M34" s="57">
        <v>0</v>
      </c>
    </row>
    <row r="35" spans="1:13" s="8" customFormat="1" ht="11.25" customHeight="1">
      <c r="A35" s="10" t="s">
        <v>4</v>
      </c>
      <c r="B35" s="59">
        <f>COUNTIFS(Jan!$B:$B,2264,Jan!$J:$J,15)</f>
        <v>2</v>
      </c>
      <c r="C35" s="59">
        <v>1</v>
      </c>
      <c r="D35" s="59">
        <f>COUNTIFS(Mar!$B:$B,2264,Mar!$J:$J,15)</f>
        <v>0</v>
      </c>
      <c r="E35" s="59">
        <v>2</v>
      </c>
      <c r="F35" s="59">
        <f>COUNTIFS(May!$B:$B,2264,May!$J:$J,15)</f>
        <v>0</v>
      </c>
      <c r="G35" s="59">
        <f>COUNTIFS(Jun!$B:$B,2264,Jun!$J:$J,15)</f>
        <v>0</v>
      </c>
      <c r="H35" s="59">
        <v>2</v>
      </c>
      <c r="I35" s="59">
        <v>1</v>
      </c>
      <c r="J35" s="59">
        <v>2</v>
      </c>
      <c r="K35" s="59">
        <v>1</v>
      </c>
      <c r="L35" s="59">
        <v>1</v>
      </c>
      <c r="M35" s="59">
        <v>2</v>
      </c>
    </row>
    <row r="36" spans="1:13" s="8" customFormat="1" ht="11.25" customHeight="1">
      <c r="A36" s="10" t="s">
        <v>39</v>
      </c>
      <c r="B36" s="59">
        <f>COUNTIFS(Jan!$B:$B,2264,Jan!$J:$J,29)</f>
        <v>1</v>
      </c>
      <c r="C36" s="59">
        <v>1</v>
      </c>
      <c r="D36" s="59">
        <v>2</v>
      </c>
      <c r="E36" s="59">
        <v>3</v>
      </c>
      <c r="F36" s="59">
        <v>6</v>
      </c>
      <c r="G36" s="59">
        <v>5</v>
      </c>
      <c r="H36" s="59">
        <v>2</v>
      </c>
      <c r="I36" s="59">
        <v>5</v>
      </c>
      <c r="J36" s="59">
        <v>1</v>
      </c>
      <c r="K36" s="59">
        <v>3</v>
      </c>
      <c r="L36" s="59">
        <v>5</v>
      </c>
      <c r="M36" s="59">
        <v>4</v>
      </c>
    </row>
    <row r="37" spans="1:13" s="8" customFormat="1" ht="11.25" customHeight="1">
      <c r="A37" s="10" t="s">
        <v>3</v>
      </c>
      <c r="B37" s="59">
        <f>COUNTIFS(Jan!$B:$B,2264,Jan!$J:$J,13)</f>
        <v>0</v>
      </c>
      <c r="C37" s="59">
        <f>COUNTIFS(Feb!$B:$B,2264,Feb!$J:$J,13)</f>
        <v>0</v>
      </c>
      <c r="D37" s="59">
        <f>COUNTIFS(Mar!$B:$B,2264,Mar!$J:$J,13)</f>
        <v>0</v>
      </c>
      <c r="E37" s="59">
        <f>COUNTIFS(Apr!$B:$B,2264,Apr!$J:$J,13)</f>
        <v>0</v>
      </c>
      <c r="F37" s="59">
        <v>1</v>
      </c>
      <c r="G37" s="59">
        <f>COUNTIFS(Jun!$B:$B,2264,Jun!$J:$J,13)</f>
        <v>0</v>
      </c>
      <c r="H37" s="59">
        <f>COUNTIFS(Jul!$B:$B,2264,Jul!$J:$J,13)</f>
        <v>0</v>
      </c>
      <c r="I37" s="59">
        <v>1</v>
      </c>
      <c r="J37" s="59">
        <f>COUNTIFS(Sep!$B:$B,2264,Sep!$J:$J,13)</f>
        <v>0</v>
      </c>
      <c r="K37" s="59">
        <v>1</v>
      </c>
      <c r="L37" s="59">
        <f>COUNTIFS(Nov!$B:$B,2264,Nov!$J:$J,13)</f>
        <v>0</v>
      </c>
      <c r="M37" s="59">
        <v>0</v>
      </c>
    </row>
    <row r="38" spans="1:13" s="8" customFormat="1" ht="11.25" customHeight="1">
      <c r="A38" s="9" t="s">
        <v>218</v>
      </c>
      <c r="B38" s="59">
        <f>COUNTIFS(Jan!$B:$B,2264,Jan!$J:$J,43)</f>
        <v>0</v>
      </c>
      <c r="C38" s="59">
        <f>COUNTIFS(Feb!$B:$B,2264,Feb!$J:$J,43)</f>
        <v>0</v>
      </c>
      <c r="D38" s="59">
        <f>COUNTIFS(Mar!$B:$B,2264,Mar!$J:$J,43)</f>
        <v>0</v>
      </c>
      <c r="E38" s="59">
        <f>COUNTIFS(Apr!$B:$B,2264,Apr!$J:$J,43)</f>
        <v>0</v>
      </c>
      <c r="F38" s="59">
        <f>COUNTIFS(May!$B:$B,2264,May!$J:$J,43)</f>
        <v>0</v>
      </c>
      <c r="G38" s="59">
        <f>COUNTIFS(Jun!$B:$B,2264,Jun!$J:$J,43)</f>
        <v>0</v>
      </c>
      <c r="H38" s="59">
        <f>COUNTIFS(Jul!$B:$B,2264,Jul!$J:$J,43)</f>
        <v>0</v>
      </c>
      <c r="I38" s="59">
        <f>COUNTIFS(Aug!$B:$B,2264,Aug!$J:$J,43)</f>
        <v>0</v>
      </c>
      <c r="J38" s="59">
        <f>COUNTIFS(Sep!$B:$B,2264,Sep!$J:$J,43)</f>
        <v>0</v>
      </c>
      <c r="K38" s="59">
        <f>COUNTIFS(Oct!$B:$B,2264,Oct!$J:$J,43)</f>
        <v>0</v>
      </c>
      <c r="L38" s="59">
        <f>COUNTIFS(Nov!$B:$B,2264,Nov!$J:$J,43)</f>
        <v>0</v>
      </c>
      <c r="M38" s="59">
        <v>0</v>
      </c>
    </row>
    <row r="39" spans="1:13" s="8" customFormat="1" ht="11.25" customHeight="1">
      <c r="A39" s="10" t="s">
        <v>25</v>
      </c>
      <c r="B39" s="59">
        <f>COUNTIFS(Jan!$B:$B,2264,Jan!$J:$J,24)</f>
        <v>3</v>
      </c>
      <c r="C39" s="59">
        <v>3</v>
      </c>
      <c r="D39" s="59">
        <v>1</v>
      </c>
      <c r="E39" s="59">
        <v>5</v>
      </c>
      <c r="F39" s="59">
        <v>4</v>
      </c>
      <c r="G39" s="59">
        <v>5</v>
      </c>
      <c r="H39" s="59">
        <v>3</v>
      </c>
      <c r="I39" s="59">
        <v>3</v>
      </c>
      <c r="J39" s="59">
        <v>5</v>
      </c>
      <c r="K39" s="59">
        <v>5</v>
      </c>
      <c r="L39" s="59">
        <v>3</v>
      </c>
      <c r="M39" s="59">
        <v>4</v>
      </c>
    </row>
    <row r="40" spans="1:13" s="8" customFormat="1" ht="11.25" customHeight="1">
      <c r="A40" s="10" t="s">
        <v>34</v>
      </c>
      <c r="B40" s="59">
        <f>COUNTIFS(Jan!$B:$B,2264,Jan!$J:$J,9)</f>
        <v>0</v>
      </c>
      <c r="C40" s="59">
        <f>COUNTIFS(Feb!$B:$B,2264,Feb!$J:$J,9)</f>
        <v>0</v>
      </c>
      <c r="D40" s="59">
        <f>COUNTIFS(Mar!$B:$B,2264,Mar!$J:$J,9)</f>
        <v>0</v>
      </c>
      <c r="E40" s="59">
        <f>COUNTIFS(Apr!$B:$B,2264,Apr!$J:$J,9)</f>
        <v>0</v>
      </c>
      <c r="F40" s="59">
        <f>COUNTIFS(May!$B:$B,2264,May!$J:$J,9)</f>
        <v>0</v>
      </c>
      <c r="G40" s="59">
        <f>COUNTIFS(Jun!$B:$B,2264,Jun!$J:$J,9)</f>
        <v>0</v>
      </c>
      <c r="H40" s="59">
        <f>COUNTIFS(Jul!$B:$B,2264,Jul!$J:$J,9)</f>
        <v>0</v>
      </c>
      <c r="I40" s="59">
        <v>0</v>
      </c>
      <c r="J40" s="59">
        <f>COUNTIFS(Sep!$B:$B,2264,Sep!$J:$J,9)</f>
        <v>0</v>
      </c>
      <c r="K40" s="59">
        <f>COUNTIFS(Oct!$B:$B,2264,Oct!$J:$J,9)</f>
        <v>0</v>
      </c>
      <c r="L40" s="59">
        <f>COUNTIFS(Nov!$B:$B,2264,Nov!$J:$J,9)</f>
        <v>0</v>
      </c>
      <c r="M40" s="59">
        <v>0</v>
      </c>
    </row>
    <row r="41" spans="1:13" s="8" customFormat="1" ht="11.25" customHeight="1">
      <c r="A41" s="10" t="s">
        <v>31</v>
      </c>
      <c r="B41" s="59">
        <f>COUNTIFS(Jan!$B:$B,2264,Jan!$J:$J,10)</f>
        <v>3</v>
      </c>
      <c r="C41" s="59">
        <v>3</v>
      </c>
      <c r="D41" s="59">
        <v>3</v>
      </c>
      <c r="E41" s="59">
        <v>6</v>
      </c>
      <c r="F41" s="59">
        <v>3</v>
      </c>
      <c r="G41" s="59">
        <v>1</v>
      </c>
      <c r="H41" s="59">
        <v>7</v>
      </c>
      <c r="I41" s="59">
        <v>7</v>
      </c>
      <c r="J41" s="59">
        <v>6</v>
      </c>
      <c r="K41" s="59">
        <v>1</v>
      </c>
      <c r="L41" s="59">
        <v>2</v>
      </c>
      <c r="M41" s="59">
        <v>3</v>
      </c>
    </row>
    <row r="42" spans="1:13" s="8" customFormat="1" ht="11.25" customHeight="1">
      <c r="A42" s="10" t="s">
        <v>144</v>
      </c>
      <c r="B42" s="59">
        <f>COUNTIFS(Jan!$B:$B,2264,Jan!$F:$F,462)</f>
        <v>0</v>
      </c>
      <c r="C42" s="59">
        <f>COUNTIFS(Feb!$B:$B,2264,Feb!$F:$F,462)</f>
        <v>0</v>
      </c>
      <c r="D42" s="59">
        <f>COUNTIFS(Mar!$B:$B,2264,Mar!$F:$F,462)</f>
        <v>0</v>
      </c>
      <c r="E42" s="59">
        <f>COUNTIFS(Apr!$B:$B,2264,Apr!$F:$F,462)</f>
        <v>0</v>
      </c>
      <c r="F42" s="59">
        <f>COUNTIFS(May!$B:$B,2264,May!$F:$F,462)</f>
        <v>0</v>
      </c>
      <c r="G42" s="59">
        <f>COUNTIFS(Jun!$B:$B,2264,Jun!$F:$F,462)</f>
        <v>0</v>
      </c>
      <c r="H42" s="59">
        <f>COUNTIFS(Jul!$B:$B,2264,Jul!$F:$F,462)</f>
        <v>0</v>
      </c>
      <c r="I42" s="59">
        <f>COUNTIFS(Aug!$B:$B,2264,Aug!$F:$F,462)</f>
        <v>0</v>
      </c>
      <c r="J42" s="59">
        <f>COUNTIFS(Sep!$B:$B,2264,Sep!$F:$F,462)</f>
        <v>0</v>
      </c>
      <c r="K42" s="59">
        <f>COUNTIFS(Oct!$B:$B,2264,Oct!$F:$F,462)</f>
        <v>0</v>
      </c>
      <c r="L42" s="59">
        <f>COUNTIFS(Nov!$B:$B,2264,Nov!$F:$F,462)</f>
        <v>0</v>
      </c>
      <c r="M42" s="59">
        <v>0</v>
      </c>
    </row>
    <row r="43" spans="1:13" s="8" customFormat="1" ht="11.25" customHeight="1">
      <c r="A43" s="10" t="s">
        <v>1</v>
      </c>
      <c r="B43" s="59">
        <f>COUNTIFS(Jan!$B:$B,2264,Jan!$J:$J,11)</f>
        <v>0</v>
      </c>
      <c r="C43" s="59">
        <f>COUNTIFS(Feb!$B:$B,2264,Feb!$J:$J,11)</f>
        <v>0</v>
      </c>
      <c r="D43" s="59">
        <v>1</v>
      </c>
      <c r="E43" s="59">
        <f>COUNTIFS(Apr!$B:$B,2264,Apr!$J:$J,11)</f>
        <v>0</v>
      </c>
      <c r="F43" s="59">
        <f>COUNTIFS(May!$B:$B,2264,May!$J:$J,11)</f>
        <v>0</v>
      </c>
      <c r="G43" s="59">
        <v>2</v>
      </c>
      <c r="H43" s="59">
        <v>1</v>
      </c>
      <c r="I43" s="59">
        <v>2</v>
      </c>
      <c r="J43" s="59">
        <v>1</v>
      </c>
      <c r="K43" s="59">
        <f>COUNTIFS(Oct!$B:$B,2264,Oct!$J:$J,11)</f>
        <v>0</v>
      </c>
      <c r="L43" s="59">
        <f>COUNTIFS(Nov!$B:$B,2264,Nov!$J:$J,11)</f>
        <v>0</v>
      </c>
      <c r="M43" s="59">
        <v>1</v>
      </c>
    </row>
    <row r="44" spans="1:13" s="8" customFormat="1" ht="11.25" customHeight="1">
      <c r="A44" s="10" t="s">
        <v>26</v>
      </c>
      <c r="B44" s="59">
        <f>COUNTIFS(Jan!$B:$B,2264,Jan!$J:$J,20)</f>
        <v>0</v>
      </c>
      <c r="C44" s="59">
        <f>COUNTIFS(Feb!$B:$B,2264,Feb!$J:$J,20)</f>
        <v>0</v>
      </c>
      <c r="D44" s="59">
        <f>COUNTIFS(Mar!$B:$B,2264,Mar!$J:$J,20)</f>
        <v>0</v>
      </c>
      <c r="E44" s="59">
        <f>COUNTIFS(Apr!$B:$B,2264,Apr!$J:$J,20)</f>
        <v>0</v>
      </c>
      <c r="F44" s="59">
        <f>COUNTIFS(May!$B:$B,2264,May!$J:$J,20)</f>
        <v>0</v>
      </c>
      <c r="G44" s="59">
        <f>COUNTIFS(Jun!$B:$B,2264,Jun!$J:$J,20)</f>
        <v>0</v>
      </c>
      <c r="H44" s="59">
        <f>COUNTIFS(Jul!$B:$B,2264,Jul!$J:$J,20)</f>
        <v>0</v>
      </c>
      <c r="I44" s="59">
        <f>COUNTIFS(Aug!$B:$B,2264,Aug!$J:$J,20)</f>
        <v>0</v>
      </c>
      <c r="J44" s="59">
        <f>COUNTIFS(Sep!$B:$B,2264,Sep!$J:$J,20)</f>
        <v>0</v>
      </c>
      <c r="K44" s="59">
        <f>COUNTIFS(Oct!$B:$B,2264,Oct!$J:$J,20)</f>
        <v>0</v>
      </c>
      <c r="L44" s="59">
        <f>COUNTIFS(Nov!$B:$B,2264,Nov!$J:$J,20)</f>
        <v>0</v>
      </c>
      <c r="M44" s="59">
        <v>0</v>
      </c>
    </row>
    <row r="45" spans="1:13" s="8" customFormat="1" ht="11.25" customHeight="1">
      <c r="A45" s="10" t="s">
        <v>32</v>
      </c>
      <c r="B45" s="59">
        <f>COUNTIFS(Jan!$B:$B,2264,Jan!$J:$J,2)</f>
        <v>2</v>
      </c>
      <c r="C45" s="59">
        <v>4</v>
      </c>
      <c r="D45" s="59">
        <v>2</v>
      </c>
      <c r="E45" s="59">
        <v>1</v>
      </c>
      <c r="F45" s="59">
        <v>5</v>
      </c>
      <c r="G45" s="59">
        <v>7</v>
      </c>
      <c r="H45" s="59">
        <v>10</v>
      </c>
      <c r="I45" s="59">
        <v>8</v>
      </c>
      <c r="J45" s="59">
        <v>7</v>
      </c>
      <c r="K45" s="59">
        <v>4</v>
      </c>
      <c r="L45" s="59">
        <v>9</v>
      </c>
      <c r="M45" s="59">
        <v>7</v>
      </c>
    </row>
    <row r="46" spans="1:13" s="8" customFormat="1" ht="11.25" customHeight="1">
      <c r="A46" s="10" t="s">
        <v>28</v>
      </c>
      <c r="B46" s="59">
        <f>COUNTIFS(Jan!$B:$B,2264,Jan!$J:$J,1700)+COUNTIFS(Jan!$B:$B,2264,Jan!$F:$F,1700)+COUNTIFS(Jan!$B:$B,2264,Jan!$J:$J,19)</f>
        <v>0</v>
      </c>
      <c r="C46" s="59">
        <f>COUNTIFS(Feb!$B:$B,2264,Feb!$J:$J,1700)+COUNTIFS(Feb!$B:$B,2264,Feb!$F:$F,1700)+COUNTIFS(Feb!$B:$B,2264,Feb!$J:$J,19)</f>
        <v>0</v>
      </c>
      <c r="D46" s="59">
        <f>COUNTIFS(Mar!$B:$B,2264,Mar!$J:$J,1700)+COUNTIFS(Mar!$B:$B,2264,Mar!$F:$F,1700)+COUNTIFS(Mar!$B:$B,2264,Mar!$J:$J,19)</f>
        <v>0</v>
      </c>
      <c r="E46" s="59">
        <f>COUNTIFS(Apr!$B:$B,2264,Apr!$J:$J,1700)+COUNTIFS(Apr!$B:$B,2264,Apr!$F:$F,1700)+COUNTIFS(Apr!$B:$B,2264,Apr!$J:$J,19)</f>
        <v>0</v>
      </c>
      <c r="F46" s="59">
        <f>COUNTIFS(May!$B:$B,2264,May!$J:$J,1700)+COUNTIFS(May!$B:$B,2264,May!$F:$F,1700)+COUNTIFS(May!$B:$B,2264,May!$J:$J,19)</f>
        <v>0</v>
      </c>
      <c r="G46" s="59">
        <f>COUNTIFS(Jun!$B:$B,2264,Jun!$J:$J,1700)+COUNTIFS(Jun!$B:$B,2264,Jun!$F:$F,1700)+COUNTIFS(Jun!$B:$B,2264,Jun!$J:$J,19)</f>
        <v>0</v>
      </c>
      <c r="H46" s="59">
        <f>COUNTIFS(Jul!$B:$B,2264,Jul!$J:$J,1700)+COUNTIFS(Jul!$B:$B,2264,Jul!$F:$F,1700)+COUNTIFS(Jul!$B:$B,2264,Jul!$J:$J,19)</f>
        <v>0</v>
      </c>
      <c r="I46" s="59">
        <v>1</v>
      </c>
      <c r="J46" s="59">
        <f>COUNTIFS(Sep!$B:$B,2264,Sep!$J:$J,1700)+COUNTIFS(Sep!$B:$B,2264,Sep!$F:$F,1700)+COUNTIFS(Sep!$B:$B,2264,Sep!$J:$J,19)</f>
        <v>0</v>
      </c>
      <c r="K46" s="59">
        <f>COUNTIFS(Oct!$B:$B,2264,Oct!$J:$J,1700)+COUNTIFS(Oct!$B:$B,2264,Oct!$F:$F,1700)+COUNTIFS(Oct!$B:$B,2264,Oct!$J:$J,19)</f>
        <v>0</v>
      </c>
      <c r="L46" s="59">
        <f>COUNTIFS(Nov!$B:$B,2264,Nov!$J:$J,1700)+COUNTIFS(Nov!$B:$B,2264,Nov!$F:$F,1700)+COUNTIFS(Nov!$B:$B,2264,Nov!$J:$J,19)</f>
        <v>0</v>
      </c>
      <c r="M46" s="59">
        <v>2</v>
      </c>
    </row>
    <row r="47" spans="1:13" s="8" customFormat="1" ht="11.25" customHeight="1">
      <c r="A47" s="10" t="s">
        <v>0</v>
      </c>
      <c r="B47" s="59">
        <f>COUNTIFS(Jan!$B:$B,2264,Jan!$J:$J,3)</f>
        <v>2</v>
      </c>
      <c r="C47" s="59">
        <v>1</v>
      </c>
      <c r="D47" s="59">
        <v>1</v>
      </c>
      <c r="E47" s="59">
        <f>COUNTIFS(Apr!$B:$B,2264,Apr!$J:$J,3)</f>
        <v>0</v>
      </c>
      <c r="F47" s="59">
        <v>2</v>
      </c>
      <c r="G47" s="59">
        <v>1</v>
      </c>
      <c r="H47" s="59">
        <v>3</v>
      </c>
      <c r="I47" s="59">
        <v>4</v>
      </c>
      <c r="J47" s="59">
        <v>4</v>
      </c>
      <c r="K47" s="59">
        <v>1</v>
      </c>
      <c r="L47" s="59">
        <v>6</v>
      </c>
      <c r="M47" s="59">
        <v>7</v>
      </c>
    </row>
    <row r="48" spans="1:13" s="8" customFormat="1" ht="11.25" customHeight="1">
      <c r="A48" s="10" t="s">
        <v>35</v>
      </c>
      <c r="B48" s="59">
        <f>COUNTIFS(Jan!$B:$B,2264,Jan!$J:$J,7400)</f>
        <v>0</v>
      </c>
      <c r="C48" s="59">
        <f>COUNTIFS(Feb!$B:$B,2264,Feb!$J:$J,7400)</f>
        <v>0</v>
      </c>
      <c r="D48" s="59">
        <f>COUNTIFS(Mar!$B:$B,2264,Mar!$J:$J,7400)</f>
        <v>0</v>
      </c>
      <c r="E48" s="59">
        <f>COUNTIFS(Apr!$B:$B,2264,Apr!$J:$J,7400)</f>
        <v>0</v>
      </c>
      <c r="F48" s="59">
        <f>COUNTIFS(May!$B:$B,2264,May!$J:$J,7400)</f>
        <v>0</v>
      </c>
      <c r="G48" s="59">
        <v>1</v>
      </c>
      <c r="H48" s="59">
        <f>COUNTIFS(Jul!$B:$B,2264,Jul!$J:$J,7400)</f>
        <v>0</v>
      </c>
      <c r="I48" s="59">
        <f>COUNTIFS(Aug!$B:$B,2264,Aug!$J:$J,7400)</f>
        <v>0</v>
      </c>
      <c r="J48" s="59">
        <v>1</v>
      </c>
      <c r="K48" s="59">
        <f>COUNTIFS(Oct!$B:$B,2264,Oct!$J:$J,7400)</f>
        <v>0</v>
      </c>
      <c r="L48" s="59">
        <v>1</v>
      </c>
      <c r="M48" s="59">
        <v>0</v>
      </c>
    </row>
    <row r="49" spans="1:13" s="8" customFormat="1" ht="11.25" customHeight="1">
      <c r="A49" s="10" t="s">
        <v>2</v>
      </c>
      <c r="B49" s="59">
        <f>COUNTIFS(Jan!$B:$B,2264,Jan!$J:$J,14)</f>
        <v>1</v>
      </c>
      <c r="C49" s="59">
        <f>COUNTIFS(Feb!$B:$B,2264,Feb!$J:$J,14)</f>
        <v>0</v>
      </c>
      <c r="D49" s="59">
        <f>COUNTIFS(Mar!$B:$B,2264,Mar!$J:$J,14)</f>
        <v>0</v>
      </c>
      <c r="E49" s="59">
        <f>COUNTIFS(Apr!$B:$B,2264,Apr!$J:$J,14)</f>
        <v>0</v>
      </c>
      <c r="F49" s="59">
        <f>COUNTIFS(May!$B:$B,2264,May!$J:$J,14)</f>
        <v>0</v>
      </c>
      <c r="G49" s="59">
        <v>2</v>
      </c>
      <c r="H49" s="59">
        <f>COUNTIFS(Jul!$B:$B,2264,Jul!$J:$J,14)</f>
        <v>0</v>
      </c>
      <c r="I49" s="59">
        <f>COUNTIFS(Aug!$B:$B,2264,Aug!$J:$J,14)</f>
        <v>0</v>
      </c>
      <c r="J49" s="59">
        <f>COUNTIFS(Sep!$B:$B,2264,Sep!$J:$J,14)</f>
        <v>0</v>
      </c>
      <c r="K49" s="59">
        <f>COUNTIFS(Oct!$B:$B,2264,Oct!$J:$J,14)</f>
        <v>0</v>
      </c>
      <c r="L49" s="59">
        <f>COUNTIFS(Nov!$B:$B,2264,Nov!$J:$J,14)</f>
        <v>0</v>
      </c>
      <c r="M49" s="59">
        <v>0</v>
      </c>
    </row>
    <row r="50" spans="1:13" s="8" customFormat="1" ht="11.25" customHeight="1">
      <c r="A50" s="10" t="s">
        <v>142</v>
      </c>
      <c r="B50" s="59">
        <f>COUNTIFS(Jan!$B:$B,2264,Jan!$F:$F,466)</f>
        <v>1</v>
      </c>
      <c r="C50" s="59">
        <f>COUNTIFS(Feb!$B:$B,2264,Feb!$F:$F,466)</f>
        <v>0</v>
      </c>
      <c r="D50" s="59">
        <f>COUNTIFS(Mar!$B:$B,2264,Mar!$F:$F,466)</f>
        <v>0</v>
      </c>
      <c r="E50" s="59">
        <f>COUNTIFS(Apr!$B:$B,2264,Apr!$F:$F,466)</f>
        <v>0</v>
      </c>
      <c r="F50" s="59">
        <f>COUNTIFS(May!$B:$B,2264,May!$F:$F,466)</f>
        <v>0</v>
      </c>
      <c r="G50" s="59">
        <f>COUNTIFS(Jun!$B:$B,2264,Jun!$F:$F,466)</f>
        <v>0</v>
      </c>
      <c r="H50" s="59">
        <f>COUNTIFS(Jul!$B:$B,2264,Jul!$F:$F,466)</f>
        <v>0</v>
      </c>
      <c r="I50" s="59">
        <f>COUNTIFS(Aug!$B:$B,2264,Aug!$F:$F,466)</f>
        <v>0</v>
      </c>
      <c r="J50" s="59">
        <f>COUNTIFS(Sep!$B:$B,2264,Sep!$F:$F,466)</f>
        <v>0</v>
      </c>
      <c r="K50" s="59">
        <f>COUNTIFS(Oct!$B:$B,2264,Oct!$F:$F,466)</f>
        <v>0</v>
      </c>
      <c r="L50" s="59">
        <f>COUNTIFS(Nov!$B:$B,2264,Nov!$F:$F,466)</f>
        <v>0</v>
      </c>
      <c r="M50" s="59">
        <v>1</v>
      </c>
    </row>
    <row r="51" spans="1:13" s="8" customFormat="1" ht="11.25" customHeight="1">
      <c r="A51" s="10" t="s">
        <v>27</v>
      </c>
      <c r="B51" s="59">
        <f>COUNTIFS(Jan!$B:$B,2264,Jan!$J:$J,25)</f>
        <v>0</v>
      </c>
      <c r="C51" s="59">
        <f>COUNTIFS(Feb!$B:$B,2264,Feb!$J:$J,25)</f>
        <v>0</v>
      </c>
      <c r="D51" s="59">
        <f>COUNTIFS(Mar!$B:$B,2264,Mar!$J:$J,25)</f>
        <v>0</v>
      </c>
      <c r="E51" s="59">
        <f>COUNTIFS(Apr!$B:$B,2264,Apr!$J:$J,25)</f>
        <v>0</v>
      </c>
      <c r="F51" s="59">
        <f>COUNTIFS(May!$B:$B,2264,May!$J:$J,25)</f>
        <v>0</v>
      </c>
      <c r="G51" s="59">
        <f>COUNTIFS(Jun!$B:$B,2264,Jun!$J:$J,25)</f>
        <v>0</v>
      </c>
      <c r="H51" s="59">
        <f>COUNTIFS(Jul!$B:$B,2264,Jul!$J:$J,25)</f>
        <v>0</v>
      </c>
      <c r="I51" s="59">
        <f>COUNTIFS(Aug!$B:$B,2264,Aug!$J:$J,25)</f>
        <v>0</v>
      </c>
      <c r="J51" s="59">
        <f>COUNTIFS(Sep!$B:$B,2264,Sep!$J:$J,25)</f>
        <v>0</v>
      </c>
      <c r="K51" s="59">
        <f>COUNTIFS(Oct!$B:$B,2264,Oct!$J:$J,25)</f>
        <v>0</v>
      </c>
      <c r="L51" s="59">
        <f>COUNTIFS(Nov!$B:$B,2264,Nov!$J:$J,25)</f>
        <v>0</v>
      </c>
      <c r="M51" s="59">
        <v>0</v>
      </c>
    </row>
    <row r="52" spans="1:13" s="8" customFormat="1" ht="11.25" customHeight="1" thickBot="1">
      <c r="A52" s="11" t="s">
        <v>16</v>
      </c>
      <c r="B52" s="60">
        <f>SUM(B34:B51)</f>
        <v>15</v>
      </c>
      <c r="C52" s="60">
        <f t="shared" ref="C52:M52" si="11">SUM(C34:C51)</f>
        <v>13</v>
      </c>
      <c r="D52" s="60">
        <f>SUM(D34:D51)</f>
        <v>10</v>
      </c>
      <c r="E52" s="60">
        <f>SUM(E34:E51)</f>
        <v>17</v>
      </c>
      <c r="F52" s="60">
        <f>SUM(F34:F51)</f>
        <v>21</v>
      </c>
      <c r="G52" s="60">
        <f>SUM(G34:G51)</f>
        <v>24</v>
      </c>
      <c r="H52" s="60">
        <f t="shared" si="11"/>
        <v>28</v>
      </c>
      <c r="I52" s="60">
        <f t="shared" si="11"/>
        <v>32</v>
      </c>
      <c r="J52" s="60">
        <f t="shared" si="11"/>
        <v>27</v>
      </c>
      <c r="K52" s="60">
        <f t="shared" si="11"/>
        <v>17</v>
      </c>
      <c r="L52" s="159">
        <f t="shared" si="11"/>
        <v>27</v>
      </c>
      <c r="M52" s="170">
        <f t="shared" si="11"/>
        <v>31</v>
      </c>
    </row>
    <row r="53" spans="1:13" ht="12" customHeight="1" thickBot="1">
      <c r="A53" s="55" t="s">
        <v>137</v>
      </c>
      <c r="B53" s="50">
        <v>41275</v>
      </c>
      <c r="C53" s="47">
        <v>41306</v>
      </c>
      <c r="D53" s="47">
        <v>41334</v>
      </c>
      <c r="E53" s="47">
        <v>41365</v>
      </c>
      <c r="F53" s="47">
        <v>41395</v>
      </c>
      <c r="G53" s="47">
        <v>41426</v>
      </c>
      <c r="H53" s="47">
        <v>41456</v>
      </c>
      <c r="I53" s="47">
        <v>41487</v>
      </c>
      <c r="J53" s="47">
        <v>41518</v>
      </c>
      <c r="K53" s="47">
        <v>41548</v>
      </c>
      <c r="L53" s="47">
        <v>41579</v>
      </c>
      <c r="M53" s="51">
        <v>41609</v>
      </c>
    </row>
    <row r="54" spans="1:13" s="8" customFormat="1" ht="11.25" customHeight="1">
      <c r="A54" s="10" t="s">
        <v>30</v>
      </c>
      <c r="B54" s="57">
        <f>COUNTIFS(Jan!$B:$B,2264,Jan!$J:$J,7)</f>
        <v>0</v>
      </c>
      <c r="C54" s="57">
        <f>COUNTIFS(Feb!$B:$B,2264,Feb!$J:$J,7)</f>
        <v>0</v>
      </c>
      <c r="D54" s="57">
        <f>COUNTIFS(Mar!$B:$B,2264,Mar!$J:$J,7)</f>
        <v>0</v>
      </c>
      <c r="E54" s="57">
        <f>COUNTIFS(Apr!$B:$B,2264,Apr!$J:$J,7)</f>
        <v>0</v>
      </c>
      <c r="F54" s="57">
        <f>COUNTIFS(May!$B:$B,2264,May!$J:$J,7)</f>
        <v>0</v>
      </c>
      <c r="G54" s="57">
        <v>3</v>
      </c>
      <c r="H54" s="57">
        <v>1</v>
      </c>
      <c r="I54" s="57">
        <v>1</v>
      </c>
      <c r="J54" s="57">
        <f>COUNTIFS(Sep!$B:$B,2264,Sep!$J:$J,7)</f>
        <v>0</v>
      </c>
      <c r="K54" s="57">
        <f>COUNTIFS(Oct!$B:$B,2264,Oct!$J:$J,7)</f>
        <v>0</v>
      </c>
      <c r="L54" s="57">
        <v>1</v>
      </c>
      <c r="M54" s="57">
        <v>0</v>
      </c>
    </row>
    <row r="55" spans="1:13" s="8" customFormat="1" ht="11.25" customHeight="1">
      <c r="A55" s="10" t="s">
        <v>29</v>
      </c>
      <c r="B55" s="59">
        <f>COUNTIFS(Jan!$B:$B,2264,Jan!$J:$J,8)</f>
        <v>0</v>
      </c>
      <c r="C55" s="59">
        <f>COUNTIFS(Feb!$B:$B,2264,Feb!$J:$J,8)</f>
        <v>0</v>
      </c>
      <c r="D55" s="59">
        <f>COUNTIFS(Mar!$B:$B,2264,Mar!$J:$J,8)</f>
        <v>0</v>
      </c>
      <c r="E55" s="59">
        <f>COUNTIFS(Apr!$B:$B,2264,Apr!$J:$J,8)</f>
        <v>0</v>
      </c>
      <c r="F55" s="59">
        <f>COUNTIFS(May!$B:$B,2264,May!$J:$J,8)</f>
        <v>0</v>
      </c>
      <c r="G55" s="59">
        <f>COUNTIFS(Jun!$B:$B,2264,Jun!$J:$J,8)</f>
        <v>0</v>
      </c>
      <c r="H55" s="59">
        <f>COUNTIFS(Jul!$B:$B,2264,Jul!$J:$J,8)</f>
        <v>0</v>
      </c>
      <c r="I55" s="59">
        <f>COUNTIFS(Aug!$B:$B,2264,Aug!$J:$J,8)</f>
        <v>0</v>
      </c>
      <c r="J55" s="59">
        <f>COUNTIFS(Sep!$B:$B,2264,Sep!$J:$J,8)</f>
        <v>0</v>
      </c>
      <c r="K55" s="59">
        <f>COUNTIFS(Oct!$B:$B,2264,Oct!$J:$J,8)</f>
        <v>0</v>
      </c>
      <c r="L55" s="59">
        <f>COUNTIFS(Nov!$B:$B,2264,Nov!$J:$J,8)</f>
        <v>0</v>
      </c>
      <c r="M55" s="59">
        <v>0</v>
      </c>
    </row>
    <row r="56" spans="1:13" s="8" customFormat="1" ht="11.25" customHeight="1">
      <c r="A56" s="10" t="s">
        <v>7</v>
      </c>
      <c r="B56" s="59">
        <f>COUNTIFS(Jan!$B:$B,2264,Jan!$J:$J,12)</f>
        <v>0</v>
      </c>
      <c r="C56" s="59">
        <v>1</v>
      </c>
      <c r="D56" s="59">
        <f>COUNTIFS(Mar!$B:$B,2264,Mar!$J:$J,12)</f>
        <v>0</v>
      </c>
      <c r="E56" s="59">
        <f>COUNTIFS(Apr!$B:$B,2264,Apr!$J:$J,12)</f>
        <v>0</v>
      </c>
      <c r="F56" s="59">
        <f>COUNTIFS(May!$B:$B,2264,May!$J:$J,12)</f>
        <v>0</v>
      </c>
      <c r="G56" s="59">
        <f>COUNTIFS(Jun!$B:$B,2264,Jun!$J:$J,12)</f>
        <v>0</v>
      </c>
      <c r="H56" s="59">
        <v>2</v>
      </c>
      <c r="I56" s="59">
        <f>COUNTIFS(Aug!$B:$B,2264,Aug!$J:$J,12)</f>
        <v>0</v>
      </c>
      <c r="J56" s="59">
        <v>1</v>
      </c>
      <c r="K56" s="59">
        <f>COUNTIFS(Oct!$B:$B,2264,Oct!$J:$J,12)</f>
        <v>0</v>
      </c>
      <c r="L56" s="59">
        <v>1</v>
      </c>
      <c r="M56" s="59">
        <v>1</v>
      </c>
    </row>
    <row r="57" spans="1:13" s="8" customFormat="1" ht="11.25" customHeight="1">
      <c r="A57" s="10" t="s">
        <v>10</v>
      </c>
      <c r="B57" s="59">
        <f>COUNTIFS(Jan!$B:$B,2264,Jan!$J:$J,5100)</f>
        <v>0</v>
      </c>
      <c r="C57" s="59">
        <f>COUNTIFS(Feb!$B:$B,2264,Feb!$J:$J,5100)</f>
        <v>0</v>
      </c>
      <c r="D57" s="59">
        <f>COUNTIFS(Mar!$B:$B,2264,Mar!$J:$J,5100)</f>
        <v>0</v>
      </c>
      <c r="E57" s="59">
        <f>COUNTIFS(Apr!$B:$B,2264,Apr!$J:$J,5100)</f>
        <v>0</v>
      </c>
      <c r="F57" s="59">
        <f>COUNTIFS(May!$B:$B,2264,May!$J:$J,5100)</f>
        <v>0</v>
      </c>
      <c r="G57" s="59">
        <f>COUNTIFS(Jun!$B:$B,2264,Jun!$J:$J,5100)</f>
        <v>0</v>
      </c>
      <c r="H57" s="59">
        <f>COUNTIFS(Jul!$B:$B,2264,Jul!$J:$J,5100)</f>
        <v>0</v>
      </c>
      <c r="I57" s="59">
        <f>COUNTIFS(Aug!$B:$B,2264,Aug!$J:$J,5100)</f>
        <v>0</v>
      </c>
      <c r="J57" s="59">
        <f>COUNTIFS(Sep!$B:$B,2264,Sep!$J:$J,5100)</f>
        <v>0</v>
      </c>
      <c r="K57" s="59">
        <f>COUNTIFS(Oct!$B:$B,2264,Oct!$J:$J,5100)</f>
        <v>0</v>
      </c>
      <c r="L57" s="59">
        <f>COUNTIFS(Nov!$B:$B,2264,Nov!$J:$J,5100)</f>
        <v>0</v>
      </c>
      <c r="M57" s="59">
        <v>1</v>
      </c>
    </row>
    <row r="58" spans="1:13" s="8" customFormat="1" ht="11.25" customHeight="1">
      <c r="A58" s="10" t="s">
        <v>36</v>
      </c>
      <c r="B58" s="59">
        <f>COUNTIFS(Jan!$B:$B,2264,Jan!$J:$J,6200)</f>
        <v>2</v>
      </c>
      <c r="C58" s="59">
        <f>COUNTIFS(Feb!$B:$B,2264,Feb!$J:$J,6200)</f>
        <v>0</v>
      </c>
      <c r="D58" s="59">
        <f>COUNTIFS(Mar!$B:$B,2264,Mar!$J:$J,6200)</f>
        <v>0</v>
      </c>
      <c r="E58" s="59">
        <f>COUNTIFS(Apr!$B:$B,2264,Apr!$J:$J,6200)</f>
        <v>0</v>
      </c>
      <c r="F58" s="59">
        <f>COUNTIFS(May!$B:$B,2264,May!$J:$J,6200)</f>
        <v>0</v>
      </c>
      <c r="G58" s="59">
        <f>COUNTIFS(Jun!$B:$B,2264,Jun!$J:$J,6200)</f>
        <v>0</v>
      </c>
      <c r="H58" s="59">
        <f>COUNTIFS(Jul!$B:$B,2264,Jul!$J:$J,6200)</f>
        <v>0</v>
      </c>
      <c r="I58" s="59">
        <f>COUNTIFS(Aug!$B:$B,2264,Aug!$J:$J,6200)</f>
        <v>0</v>
      </c>
      <c r="J58" s="59">
        <f>COUNTIFS(Sep!$B:$B,2264,Sep!$J:$J,6200)</f>
        <v>0</v>
      </c>
      <c r="K58" s="59">
        <f>COUNTIFS(Oct!$B:$B,2264,Oct!$J:$J,6200)</f>
        <v>0</v>
      </c>
      <c r="L58" s="59">
        <f>COUNTIFS(Nov!$B:$B,2264,Nov!$J:$J,6200)</f>
        <v>0</v>
      </c>
      <c r="M58" s="59">
        <v>0</v>
      </c>
    </row>
    <row r="59" spans="1:13" s="8" customFormat="1" ht="11.25" customHeight="1">
      <c r="A59" s="10" t="s">
        <v>145</v>
      </c>
      <c r="B59" s="59">
        <f>COUNTIFS(Jan!$B:$B,2264,Jan!$J:$J,28)</f>
        <v>0</v>
      </c>
      <c r="C59" s="59">
        <f>COUNTIFS(Feb!$B:$B,2264,Feb!$J:$J,28)</f>
        <v>0</v>
      </c>
      <c r="D59" s="59">
        <f>COUNTIFS(Mar!$B:$B,2264,Mar!$J:$J,28)</f>
        <v>0</v>
      </c>
      <c r="E59" s="59">
        <f>COUNTIFS(Apr!$B:$B,2264,Apr!$J:$J,28)</f>
        <v>0</v>
      </c>
      <c r="F59" s="59">
        <f>COUNTIFS(May!$B:$B,2264,May!$J:$J,28)</f>
        <v>0</v>
      </c>
      <c r="G59" s="59">
        <f>COUNTIFS(Jun!$B:$B,2264,Jun!$J:$J,28)</f>
        <v>0</v>
      </c>
      <c r="H59" s="59">
        <f>COUNTIFS(Jul!$B:$B,2264,Jul!$J:$J,28)</f>
        <v>0</v>
      </c>
      <c r="I59" s="59">
        <f>COUNTIFS(Aug!$B:$B,2264,Aug!$J:$J,28)</f>
        <v>0</v>
      </c>
      <c r="J59" s="59">
        <f>COUNTIFS(Sep!$B:$B,2264,Sep!$J:$J,28)</f>
        <v>0</v>
      </c>
      <c r="K59" s="59">
        <f>COUNTIFS(Oct!$B:$B,2264,Oct!$J:$J,28)</f>
        <v>0</v>
      </c>
      <c r="L59" s="59">
        <f>COUNTIFS(Nov!$B:$B,2264,Nov!$J:$J,28)</f>
        <v>0</v>
      </c>
      <c r="M59" s="59">
        <v>0</v>
      </c>
    </row>
    <row r="60" spans="1:13" s="8" customFormat="1" ht="11.25" customHeight="1">
      <c r="A60" s="10" t="s">
        <v>38</v>
      </c>
      <c r="B60" s="59">
        <f>COUNTIFS(Jan!$B:$B,2264,Jan!$J:$J,6100)</f>
        <v>2</v>
      </c>
      <c r="C60" s="59">
        <v>3</v>
      </c>
      <c r="D60" s="59">
        <f>COUNTIFS(Mar!$B:$B,2264,Mar!$J:$J,6100)</f>
        <v>0</v>
      </c>
      <c r="E60" s="59">
        <v>3</v>
      </c>
      <c r="F60" s="59">
        <f>COUNTIFS(May!$B:$B,2264,May!$J:$J,6100)</f>
        <v>0</v>
      </c>
      <c r="G60" s="59">
        <f>COUNTIFS(Jun!$B:$B,2264,Jun!$J:$J,6100)</f>
        <v>0</v>
      </c>
      <c r="H60" s="59">
        <f>COUNTIFS(Jul!$B:$B,2264,Jul!$J:$J,6100)</f>
        <v>0</v>
      </c>
      <c r="I60" s="59">
        <v>2</v>
      </c>
      <c r="J60" s="59">
        <v>2</v>
      </c>
      <c r="K60" s="59">
        <v>1</v>
      </c>
      <c r="L60" s="59">
        <v>3</v>
      </c>
      <c r="M60" s="59">
        <v>0</v>
      </c>
    </row>
    <row r="61" spans="1:13" s="8" customFormat="1" ht="11.25" customHeight="1">
      <c r="A61" s="10" t="s">
        <v>9</v>
      </c>
      <c r="B61" s="59">
        <f>COUNTIFS(Jan!$B:$B,2264,Jan!$J:$J,6)</f>
        <v>0</v>
      </c>
      <c r="C61" s="59">
        <f>COUNTIFS(Feb!$B:$B,2264,Feb!$J:$J,6)</f>
        <v>0</v>
      </c>
      <c r="D61" s="59">
        <f>COUNTIFS(Mar!$B:$B,2264,Mar!$J:$J,6)</f>
        <v>0</v>
      </c>
      <c r="E61" s="59">
        <f>COUNTIFS(Apr!$B:$B,2264,Apr!$J:$J,6)</f>
        <v>0</v>
      </c>
      <c r="F61" s="59">
        <f>COUNTIFS(May!$B:$B,2264,May!$J:$J,6)</f>
        <v>0</v>
      </c>
      <c r="G61" s="59">
        <f>COUNTIFS(Jun!$B:$B,2264,Jun!$J:$J,6)</f>
        <v>0</v>
      </c>
      <c r="H61" s="59">
        <f>COUNTIFS(Jul!$B:$B,2264,Jul!$J:$J,6)</f>
        <v>0</v>
      </c>
      <c r="I61" s="59">
        <f>COUNTIFS(Aug!$B:$B,2264,Aug!$J:$J,6)</f>
        <v>0</v>
      </c>
      <c r="J61" s="59">
        <f>COUNTIFS(Sep!$B:$B,2264,Sep!$J:$J,6)</f>
        <v>0</v>
      </c>
      <c r="K61" s="59">
        <f>COUNTIFS(Oct!$B:$B,2264,Oct!$J:$J,6)</f>
        <v>0</v>
      </c>
      <c r="L61" s="59">
        <f>COUNTIFS(Nov!$B:$B,2264,Nov!$J:$J,6)</f>
        <v>0</v>
      </c>
      <c r="M61" s="59">
        <v>0</v>
      </c>
    </row>
    <row r="62" spans="1:13" s="8" customFormat="1" ht="11.25" customHeight="1">
      <c r="A62" s="10" t="s">
        <v>8</v>
      </c>
      <c r="B62" s="59">
        <f>COUNTIFS(Jan!$B:$B,2264,Jan!$J:$J,4)</f>
        <v>0</v>
      </c>
      <c r="C62" s="59">
        <f>COUNTIFS(Feb!$B:$B,2264,Feb!$J:$J,4)</f>
        <v>0</v>
      </c>
      <c r="D62" s="59">
        <f>COUNTIFS(Mar!$B:$B,2264,Mar!$J:$J,4)</f>
        <v>0</v>
      </c>
      <c r="E62" s="59">
        <f>COUNTIFS(Apr!$B:$B,2264,Apr!$J:$J,4)</f>
        <v>0</v>
      </c>
      <c r="F62" s="59">
        <f>COUNTIFS(May!$B:$B,2264,May!$J:$J,4)</f>
        <v>0</v>
      </c>
      <c r="G62" s="59">
        <f>COUNTIFS(Jun!$B:$B,2264,Jun!$J:$J,4)</f>
        <v>0</v>
      </c>
      <c r="H62" s="59">
        <f>COUNTIFS(Jul!$B:$B,2264,Jul!$J:$J,4)</f>
        <v>0</v>
      </c>
      <c r="I62" s="59">
        <f>COUNTIFS(Aug!$B:$B,2264,Aug!$J:$J,4)</f>
        <v>0</v>
      </c>
      <c r="J62" s="59">
        <f>COUNTIFS(Sep!$B:$B,2264,Sep!$J:$J,4)</f>
        <v>0</v>
      </c>
      <c r="K62" s="59">
        <f>COUNTIFS(Oct!$B:$B,2264,Oct!$J:$J,4)</f>
        <v>0</v>
      </c>
      <c r="L62" s="59">
        <f>COUNTIFS(Nov!$B:$B,2264,Nov!$J:$J,4)</f>
        <v>0</v>
      </c>
      <c r="M62" s="59">
        <v>0</v>
      </c>
    </row>
    <row r="63" spans="1:13" s="8" customFormat="1" ht="11.25" customHeight="1">
      <c r="A63" s="10" t="s">
        <v>6</v>
      </c>
      <c r="B63" s="59">
        <f>COUNTIFS(Jan!$B:$B,2264,Jan!$J:$J,5)</f>
        <v>0</v>
      </c>
      <c r="C63" s="59">
        <f>COUNTIFS(Feb!$B:$B,2264,Feb!$J:$J,5)</f>
        <v>0</v>
      </c>
      <c r="D63" s="59">
        <f>COUNTIFS(Mar!$B:$B,2264,Mar!$J:$J,5)</f>
        <v>0</v>
      </c>
      <c r="E63" s="59">
        <f>COUNTIFS(Apr!$B:$B,2264,Apr!$J:$J,5)</f>
        <v>0</v>
      </c>
      <c r="F63" s="59">
        <f>COUNTIFS(May!$B:$B,2264,May!$J:$J,5)</f>
        <v>0</v>
      </c>
      <c r="G63" s="59">
        <f>COUNTIFS(Jun!$B:$B,2264,Jun!$J:$J,5)</f>
        <v>0</v>
      </c>
      <c r="H63" s="59">
        <f>COUNTIFS(Jul!$B:$B,2264,Jul!$J:$J,5)</f>
        <v>0</v>
      </c>
      <c r="I63" s="59">
        <f>COUNTIFS(Aug!$B:$B,2264,Aug!$J:$J,5)</f>
        <v>0</v>
      </c>
      <c r="J63" s="59">
        <f>COUNTIFS(Sep!$B:$B,2264,Sep!$J:$J,5)</f>
        <v>0</v>
      </c>
      <c r="K63" s="59">
        <f>COUNTIFS(Oct!$B:$B,2264,Oct!$J:$J,5)</f>
        <v>0</v>
      </c>
      <c r="L63" s="59">
        <f>COUNTIFS(Nov!$B:$B,2264,Nov!$J:$J,5)</f>
        <v>0</v>
      </c>
      <c r="M63" s="59">
        <v>0</v>
      </c>
    </row>
    <row r="64" spans="1:13" s="8" customFormat="1" ht="11.25" customHeight="1">
      <c r="A64" s="52" t="s">
        <v>141</v>
      </c>
      <c r="B64" s="69">
        <f>COUNTIFS(Jan!$B:$B,2264,Jan!$F:$F,456)</f>
        <v>1</v>
      </c>
      <c r="C64" s="69">
        <v>1</v>
      </c>
      <c r="D64" s="69">
        <f>COUNTIFS(Mar!$B:$B,2264,Mar!$F:$F,456)</f>
        <v>0</v>
      </c>
      <c r="E64" s="69">
        <f>COUNTIFS(Apr!$B:$B,2264,Apr!$F:$F,456)</f>
        <v>0</v>
      </c>
      <c r="F64" s="69">
        <f>COUNTIFS(May!$B:$B,2264,May!$F:$F,456)</f>
        <v>0</v>
      </c>
      <c r="G64" s="69">
        <f>COUNTIFS(Jun!$B:$B,2264,Jun!$F:$F,456)</f>
        <v>0</v>
      </c>
      <c r="H64" s="69">
        <f>COUNTIFS(Jul!$B:$B,2264,Jul!$F:$F,456)</f>
        <v>0</v>
      </c>
      <c r="I64" s="69">
        <f>COUNTIFS(Aug!$B:$B,2264,Aug!$F:$F,456)</f>
        <v>0</v>
      </c>
      <c r="J64" s="69">
        <v>1</v>
      </c>
      <c r="K64" s="69">
        <f>COUNTIFS(Oct!$B:$B,2264,Oct!$F:$F,456)</f>
        <v>0</v>
      </c>
      <c r="L64" s="69">
        <f>COUNTIFS(Nov!$B:$B,2264,Nov!$F:$F,456)</f>
        <v>0</v>
      </c>
      <c r="M64" s="69">
        <v>0</v>
      </c>
    </row>
    <row r="65" spans="1:13" s="8" customFormat="1" ht="11.25" customHeight="1" thickBot="1">
      <c r="A65" s="12" t="s">
        <v>16</v>
      </c>
      <c r="B65" s="70">
        <f>SUM(B54:B64)</f>
        <v>5</v>
      </c>
      <c r="C65" s="70">
        <f t="shared" ref="C65:M65" si="12">SUM(C54:C64)</f>
        <v>5</v>
      </c>
      <c r="D65" s="70">
        <f t="shared" si="12"/>
        <v>0</v>
      </c>
      <c r="E65" s="70">
        <f t="shared" si="12"/>
        <v>3</v>
      </c>
      <c r="F65" s="70">
        <f t="shared" si="12"/>
        <v>0</v>
      </c>
      <c r="G65" s="70">
        <f t="shared" si="12"/>
        <v>3</v>
      </c>
      <c r="H65" s="70">
        <f t="shared" si="12"/>
        <v>3</v>
      </c>
      <c r="I65" s="70">
        <f t="shared" si="12"/>
        <v>3</v>
      </c>
      <c r="J65" s="70">
        <f t="shared" si="12"/>
        <v>4</v>
      </c>
      <c r="K65" s="70">
        <f t="shared" si="12"/>
        <v>1</v>
      </c>
      <c r="L65" s="165">
        <f t="shared" si="12"/>
        <v>5</v>
      </c>
      <c r="M65" s="170">
        <f t="shared" si="12"/>
        <v>2</v>
      </c>
    </row>
    <row r="66" spans="1:13" s="8" customFormat="1" ht="15.75" customHeight="1">
      <c r="A66" s="6"/>
      <c r="B66" s="7"/>
      <c r="C66" s="7"/>
      <c r="D66" s="7"/>
      <c r="E66" s="7"/>
      <c r="F66" s="7"/>
      <c r="G66" s="7"/>
      <c r="H66" s="7"/>
      <c r="I66" s="7"/>
      <c r="J66" s="7"/>
      <c r="K66" s="7"/>
      <c r="L66" s="7"/>
      <c r="M66" s="7"/>
    </row>
    <row r="67" spans="1:13" ht="12" customHeight="1">
      <c r="A67" s="6"/>
      <c r="B67" s="7"/>
      <c r="C67" s="7"/>
      <c r="D67" s="7"/>
      <c r="E67" s="7"/>
      <c r="F67" s="7"/>
      <c r="G67" s="7"/>
      <c r="H67" s="7"/>
      <c r="I67" s="7"/>
      <c r="J67" s="7"/>
      <c r="K67" s="7"/>
      <c r="L67" s="7"/>
      <c r="M67" s="7"/>
    </row>
  </sheetData>
  <phoneticPr fontId="0" type="noConversion"/>
  <printOptions horizontalCentered="1" verticalCentered="1"/>
  <pageMargins left="0.14000000000000001" right="0.16" top="0.25" bottom="0.5" header="0.5" footer="0.25"/>
  <pageSetup scale="95" firstPageNumber="3" orientation="portrait" useFirstPageNumber="1" r:id="rId1"/>
  <headerFooter alignWithMargins="0">
    <oddFooter>&amp;R46 of 51</oddFooter>
  </headerFooter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67"/>
  <sheetViews>
    <sheetView view="pageBreakPreview" topLeftCell="A16" zoomScale="90" zoomScaleNormal="100" zoomScaleSheetLayoutView="90" workbookViewId="0">
      <selection activeCell="M65" sqref="M65"/>
    </sheetView>
  </sheetViews>
  <sheetFormatPr defaultRowHeight="12.75"/>
  <cols>
    <col min="1" max="1" width="22.85546875" style="1" customWidth="1"/>
    <col min="2" max="13" width="7.140625" style="1" customWidth="1"/>
    <col min="14" max="14" width="4.42578125" style="1" customWidth="1"/>
    <col min="15" max="16384" width="9.140625" style="1"/>
  </cols>
  <sheetData>
    <row r="1" spans="1:21" ht="18" customHeight="1">
      <c r="A1" s="130"/>
      <c r="B1" s="131"/>
      <c r="C1" s="131"/>
      <c r="D1" s="131"/>
      <c r="E1" s="131"/>
      <c r="F1" s="131"/>
      <c r="G1" s="131"/>
      <c r="H1" s="130"/>
      <c r="I1" s="131"/>
      <c r="J1" s="131"/>
      <c r="K1" s="131"/>
      <c r="L1" s="130"/>
      <c r="M1" s="143" t="s">
        <v>22</v>
      </c>
    </row>
    <row r="2" spans="1:21" ht="18" customHeight="1">
      <c r="A2" s="130"/>
      <c r="B2" s="135"/>
      <c r="C2" s="135"/>
      <c r="D2" s="135"/>
      <c r="E2" s="135"/>
      <c r="F2" s="135"/>
      <c r="G2" s="135"/>
      <c r="H2" s="130"/>
      <c r="I2" s="135"/>
      <c r="J2" s="135"/>
      <c r="K2" s="135"/>
      <c r="L2" s="130"/>
      <c r="M2" s="155" t="s">
        <v>13</v>
      </c>
    </row>
    <row r="3" spans="1:21" s="5" customFormat="1" ht="18" customHeight="1">
      <c r="A3" s="133"/>
      <c r="B3" s="133"/>
      <c r="C3" s="133"/>
      <c r="D3" s="133"/>
      <c r="E3" s="133"/>
      <c r="F3" s="133"/>
      <c r="G3" s="133"/>
      <c r="H3" s="133"/>
      <c r="I3" s="133"/>
      <c r="J3" s="136"/>
      <c r="K3" s="136"/>
      <c r="L3" s="133"/>
      <c r="M3" s="155" t="s">
        <v>85</v>
      </c>
      <c r="N3" s="134"/>
      <c r="O3" s="134"/>
      <c r="P3" s="134"/>
      <c r="Q3" s="134"/>
      <c r="R3" s="134"/>
      <c r="S3" s="134"/>
      <c r="T3" s="134"/>
      <c r="U3" s="134"/>
    </row>
    <row r="4" spans="1:21" s="8" customFormat="1" ht="6.75" customHeight="1" thickBot="1">
      <c r="A4" s="38"/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</row>
    <row r="5" spans="1:21" s="8" customFormat="1" ht="11.25" customHeight="1" thickBot="1">
      <c r="A5" s="53" t="s">
        <v>19</v>
      </c>
      <c r="B5" s="50">
        <v>41275</v>
      </c>
      <c r="C5" s="47">
        <v>41306</v>
      </c>
      <c r="D5" s="47">
        <v>41334</v>
      </c>
      <c r="E5" s="47">
        <v>41365</v>
      </c>
      <c r="F5" s="47">
        <v>41395</v>
      </c>
      <c r="G5" s="47">
        <v>41426</v>
      </c>
      <c r="H5" s="47">
        <v>41456</v>
      </c>
      <c r="I5" s="47">
        <v>41487</v>
      </c>
      <c r="J5" s="47">
        <v>41518</v>
      </c>
      <c r="K5" s="47">
        <v>41548</v>
      </c>
      <c r="L5" s="47">
        <v>41579</v>
      </c>
      <c r="M5" s="51">
        <v>41609</v>
      </c>
    </row>
    <row r="6" spans="1:21" s="8" customFormat="1" ht="11.25" customHeight="1">
      <c r="A6" s="41" t="s">
        <v>129</v>
      </c>
      <c r="B6" s="57">
        <f t="shared" ref="B6:M6" si="0">B32</f>
        <v>59</v>
      </c>
      <c r="C6" s="57">
        <f t="shared" si="0"/>
        <v>49</v>
      </c>
      <c r="D6" s="57">
        <f t="shared" si="0"/>
        <v>33</v>
      </c>
      <c r="E6" s="57">
        <f t="shared" si="0"/>
        <v>38</v>
      </c>
      <c r="F6" s="57">
        <f t="shared" si="0"/>
        <v>33</v>
      </c>
      <c r="G6" s="57">
        <f t="shared" si="0"/>
        <v>38</v>
      </c>
      <c r="H6" s="57">
        <f t="shared" si="0"/>
        <v>52</v>
      </c>
      <c r="I6" s="57">
        <f t="shared" si="0"/>
        <v>66</v>
      </c>
      <c r="J6" s="57">
        <f t="shared" si="0"/>
        <v>77</v>
      </c>
      <c r="K6" s="57">
        <f t="shared" si="0"/>
        <v>48</v>
      </c>
      <c r="L6" s="156">
        <f t="shared" si="0"/>
        <v>53</v>
      </c>
      <c r="M6" s="168">
        <f t="shared" si="0"/>
        <v>57</v>
      </c>
    </row>
    <row r="7" spans="1:21" s="8" customFormat="1" ht="11.25" customHeight="1">
      <c r="A7" s="42" t="s">
        <v>18</v>
      </c>
      <c r="B7" s="57">
        <f t="shared" ref="B7:M7" si="1">SUM(B10:B12)</f>
        <v>74</v>
      </c>
      <c r="C7" s="57">
        <f t="shared" si="1"/>
        <v>78</v>
      </c>
      <c r="D7" s="57">
        <f t="shared" si="1"/>
        <v>91</v>
      </c>
      <c r="E7" s="57">
        <f t="shared" si="1"/>
        <v>54</v>
      </c>
      <c r="F7" s="57">
        <f t="shared" si="1"/>
        <v>103</v>
      </c>
      <c r="G7" s="57">
        <f t="shared" si="1"/>
        <v>94</v>
      </c>
      <c r="H7" s="57">
        <f t="shared" si="1"/>
        <v>108</v>
      </c>
      <c r="I7" s="57">
        <f t="shared" si="1"/>
        <v>95</v>
      </c>
      <c r="J7" s="57">
        <f t="shared" si="1"/>
        <v>95</v>
      </c>
      <c r="K7" s="57">
        <f t="shared" si="1"/>
        <v>52</v>
      </c>
      <c r="L7" s="156">
        <f t="shared" si="1"/>
        <v>84</v>
      </c>
      <c r="M7" s="171">
        <f t="shared" si="1"/>
        <v>37</v>
      </c>
    </row>
    <row r="8" spans="1:21" s="8" customFormat="1" ht="11.25" customHeight="1" thickBot="1">
      <c r="A8" s="43" t="s">
        <v>14</v>
      </c>
      <c r="B8" s="58">
        <f t="shared" ref="B8:M8" si="2">SUM(B6:B7)</f>
        <v>133</v>
      </c>
      <c r="C8" s="58">
        <f t="shared" si="2"/>
        <v>127</v>
      </c>
      <c r="D8" s="58">
        <f t="shared" si="2"/>
        <v>124</v>
      </c>
      <c r="E8" s="58">
        <f t="shared" si="2"/>
        <v>92</v>
      </c>
      <c r="F8" s="58">
        <f t="shared" si="2"/>
        <v>136</v>
      </c>
      <c r="G8" s="58">
        <f t="shared" si="2"/>
        <v>132</v>
      </c>
      <c r="H8" s="58">
        <f t="shared" si="2"/>
        <v>160</v>
      </c>
      <c r="I8" s="58">
        <f t="shared" si="2"/>
        <v>161</v>
      </c>
      <c r="J8" s="58">
        <f t="shared" si="2"/>
        <v>172</v>
      </c>
      <c r="K8" s="58">
        <f t="shared" si="2"/>
        <v>100</v>
      </c>
      <c r="L8" s="157">
        <f t="shared" si="2"/>
        <v>137</v>
      </c>
      <c r="M8" s="172">
        <f t="shared" si="2"/>
        <v>94</v>
      </c>
    </row>
    <row r="9" spans="1:21" s="8" customFormat="1" ht="11.25" customHeight="1" thickBot="1">
      <c r="A9" s="54" t="s">
        <v>18</v>
      </c>
      <c r="B9" s="50">
        <v>41275</v>
      </c>
      <c r="C9" s="47">
        <v>41306</v>
      </c>
      <c r="D9" s="47">
        <v>41334</v>
      </c>
      <c r="E9" s="47">
        <v>41365</v>
      </c>
      <c r="F9" s="47">
        <v>41395</v>
      </c>
      <c r="G9" s="47">
        <v>41426</v>
      </c>
      <c r="H9" s="47">
        <v>41456</v>
      </c>
      <c r="I9" s="47">
        <v>41487</v>
      </c>
      <c r="J9" s="47">
        <v>41518</v>
      </c>
      <c r="K9" s="47">
        <v>41548</v>
      </c>
      <c r="L9" s="47">
        <v>41579</v>
      </c>
      <c r="M9" s="51">
        <v>41609</v>
      </c>
    </row>
    <row r="10" spans="1:21" s="8" customFormat="1" ht="11.25" customHeight="1">
      <c r="A10" s="9" t="s">
        <v>128</v>
      </c>
      <c r="B10" s="57">
        <f t="shared" ref="B10:M10" si="3">B52</f>
        <v>18</v>
      </c>
      <c r="C10" s="57">
        <f t="shared" si="3"/>
        <v>20</v>
      </c>
      <c r="D10" s="57">
        <f t="shared" si="3"/>
        <v>26</v>
      </c>
      <c r="E10" s="57">
        <f t="shared" si="3"/>
        <v>10</v>
      </c>
      <c r="F10" s="57">
        <f t="shared" si="3"/>
        <v>19</v>
      </c>
      <c r="G10" s="59">
        <f t="shared" si="3"/>
        <v>17</v>
      </c>
      <c r="H10" s="59">
        <f t="shared" si="3"/>
        <v>26</v>
      </c>
      <c r="I10" s="59">
        <f t="shared" si="3"/>
        <v>26</v>
      </c>
      <c r="J10" s="59">
        <f t="shared" si="3"/>
        <v>19</v>
      </c>
      <c r="K10" s="59">
        <f t="shared" si="3"/>
        <v>11</v>
      </c>
      <c r="L10" s="158">
        <f t="shared" si="3"/>
        <v>18</v>
      </c>
      <c r="M10" s="168">
        <f t="shared" si="3"/>
        <v>5</v>
      </c>
    </row>
    <row r="11" spans="1:21" s="8" customFormat="1" ht="11.25" customHeight="1">
      <c r="A11" s="9" t="s">
        <v>127</v>
      </c>
      <c r="B11" s="59">
        <f t="shared" ref="B11:M11" si="4">B65</f>
        <v>23</v>
      </c>
      <c r="C11" s="59">
        <f t="shared" si="4"/>
        <v>21</v>
      </c>
      <c r="D11" s="59">
        <f t="shared" si="4"/>
        <v>33</v>
      </c>
      <c r="E11" s="59">
        <f t="shared" si="4"/>
        <v>16</v>
      </c>
      <c r="F11" s="59">
        <f t="shared" si="4"/>
        <v>45</v>
      </c>
      <c r="G11" s="59">
        <f t="shared" si="4"/>
        <v>39</v>
      </c>
      <c r="H11" s="59">
        <f t="shared" si="4"/>
        <v>52</v>
      </c>
      <c r="I11" s="59">
        <f t="shared" si="4"/>
        <v>38</v>
      </c>
      <c r="J11" s="59">
        <f t="shared" si="4"/>
        <v>42</v>
      </c>
      <c r="K11" s="59">
        <f t="shared" si="4"/>
        <v>17</v>
      </c>
      <c r="L11" s="158">
        <f t="shared" si="4"/>
        <v>33</v>
      </c>
      <c r="M11" s="169">
        <f t="shared" si="4"/>
        <v>17</v>
      </c>
    </row>
    <row r="12" spans="1:21" s="8" customFormat="1" ht="11.25" customHeight="1" thickBot="1">
      <c r="A12" s="2" t="s">
        <v>12</v>
      </c>
      <c r="B12" s="60">
        <f>COUNTIFS(Jan!$B:$B,3001,Jan!$F:$F,800)</f>
        <v>33</v>
      </c>
      <c r="C12" s="60">
        <v>37</v>
      </c>
      <c r="D12" s="60">
        <v>32</v>
      </c>
      <c r="E12" s="60">
        <v>28</v>
      </c>
      <c r="F12" s="60">
        <v>39</v>
      </c>
      <c r="G12" s="60">
        <v>38</v>
      </c>
      <c r="H12" s="60">
        <v>30</v>
      </c>
      <c r="I12" s="60">
        <v>31</v>
      </c>
      <c r="J12" s="60">
        <v>34</v>
      </c>
      <c r="K12" s="60">
        <v>24</v>
      </c>
      <c r="L12" s="60">
        <v>33</v>
      </c>
      <c r="M12" s="60">
        <v>15</v>
      </c>
    </row>
    <row r="13" spans="1:21" s="8" customFormat="1" ht="5.0999999999999996" customHeight="1" thickBot="1">
      <c r="A13" s="3"/>
      <c r="B13" s="17"/>
      <c r="C13" s="17"/>
      <c r="D13" s="17"/>
      <c r="E13" s="17"/>
      <c r="F13" s="17"/>
      <c r="G13" s="17"/>
      <c r="H13" s="17"/>
      <c r="I13" s="17"/>
      <c r="J13" s="17"/>
      <c r="K13" s="17"/>
      <c r="L13" s="17"/>
      <c r="M13" s="147"/>
    </row>
    <row r="14" spans="1:21" s="16" customFormat="1" ht="11.25" customHeight="1">
      <c r="A14" s="44" t="s">
        <v>131</v>
      </c>
      <c r="B14" s="120">
        <v>24302</v>
      </c>
      <c r="C14" s="120">
        <v>24872</v>
      </c>
      <c r="D14" s="120">
        <v>24573</v>
      </c>
      <c r="E14" s="120">
        <v>21852</v>
      </c>
      <c r="F14" s="120">
        <v>21984</v>
      </c>
      <c r="G14" s="120">
        <v>24596</v>
      </c>
      <c r="H14" s="119">
        <v>24373</v>
      </c>
      <c r="I14" s="61">
        <v>23953.52</v>
      </c>
      <c r="J14" s="61">
        <v>23951.47</v>
      </c>
      <c r="K14" s="118">
        <v>23303</v>
      </c>
      <c r="L14" s="160">
        <v>23549</v>
      </c>
      <c r="M14" s="173">
        <v>21444</v>
      </c>
      <c r="O14" s="22"/>
      <c r="P14" s="22"/>
      <c r="Q14" s="22"/>
    </row>
    <row r="15" spans="1:21" s="8" customFormat="1" ht="11.25" customHeight="1">
      <c r="A15" s="45" t="s">
        <v>132</v>
      </c>
      <c r="B15" s="62">
        <f>IFERROR((SUMIFS(Jan!$N:$N,Jan!$J:$J,1,Jan!$B:$B,3001)+SUMIFS(Jan!$N:$N,Jan!$D:$D,"&gt;1",Jan!$B:$B,3001))/(COUNTIFS(Jan!$J:$J,1,Jan!$B:$B,3001)+COUNTIFS(Jan!$D:$D,"&gt;1",Jan!$B:$B,3001)),"")</f>
        <v>24.228571428571428</v>
      </c>
      <c r="C15" s="62">
        <v>18.18</v>
      </c>
      <c r="D15" s="62">
        <v>17.27</v>
      </c>
      <c r="E15" s="62">
        <v>18.93</v>
      </c>
      <c r="F15" s="62">
        <v>15.43</v>
      </c>
      <c r="G15" s="62">
        <v>15.64</v>
      </c>
      <c r="H15" s="62">
        <v>13.64</v>
      </c>
      <c r="I15" s="62">
        <v>16.98</v>
      </c>
      <c r="J15" s="62">
        <v>15.46</v>
      </c>
      <c r="K15" s="62">
        <v>17.809999999999999</v>
      </c>
      <c r="L15" s="62">
        <v>16.11</v>
      </c>
      <c r="M15" s="62">
        <v>13.68</v>
      </c>
      <c r="N15" s="15"/>
      <c r="O15" s="1"/>
      <c r="P15" s="1"/>
      <c r="Q15" s="1"/>
    </row>
    <row r="16" spans="1:21" s="8" customFormat="1" ht="11.25" customHeight="1">
      <c r="A16" s="45" t="s">
        <v>133</v>
      </c>
      <c r="B16" s="62">
        <f>IFERROR(AVERAGEIFS(Jan!$N:$N,Jan!$F:$F,800,Jan!$B:$B,3001),"")</f>
        <v>24.454545454545453</v>
      </c>
      <c r="C16" s="62">
        <v>25.16</v>
      </c>
      <c r="D16" s="62">
        <v>24.84</v>
      </c>
      <c r="E16" s="62">
        <v>25.39</v>
      </c>
      <c r="F16" s="62">
        <v>26.44</v>
      </c>
      <c r="G16" s="62">
        <v>25.32</v>
      </c>
      <c r="H16" s="62">
        <v>24.87</v>
      </c>
      <c r="I16" s="62">
        <v>26.06</v>
      </c>
      <c r="J16" s="62">
        <v>26.6</v>
      </c>
      <c r="K16" s="62">
        <v>26.63</v>
      </c>
      <c r="L16" s="62">
        <v>26.29</v>
      </c>
      <c r="M16" s="62">
        <v>27.93</v>
      </c>
      <c r="O16" s="1"/>
      <c r="P16" s="1"/>
      <c r="Q16" s="1"/>
    </row>
    <row r="17" spans="1:17" s="8" customFormat="1" ht="11.25" customHeight="1">
      <c r="A17" s="45" t="s">
        <v>134</v>
      </c>
      <c r="B17" s="63">
        <f>IFERROR((SUMIFS(Jan!$M:$M,Jan!$J:$J,1,Jan!$B:$B,3001)+SUMIFS(Jan!$M:$M,Jan!$D:$D,"&gt;1",Jan!$B:$B,3001))/(COUNTIFS(Jan!$J:$J,1,Jan!$B:$B,3001)+COUNTIFS(Jan!$D:$D,"&gt;1",Jan!$B:$B,3001)),"")</f>
        <v>8.9942857142857147</v>
      </c>
      <c r="C17" s="63">
        <v>11.52</v>
      </c>
      <c r="D17" s="63">
        <v>12.73</v>
      </c>
      <c r="E17" s="63">
        <v>10.16</v>
      </c>
      <c r="F17" s="63">
        <v>9.43</v>
      </c>
      <c r="G17" s="63">
        <v>11.86</v>
      </c>
      <c r="H17" s="63">
        <v>14.77</v>
      </c>
      <c r="I17" s="63">
        <v>13.25</v>
      </c>
      <c r="J17" s="63">
        <v>10.029999999999999</v>
      </c>
      <c r="K17" s="63">
        <v>21.77</v>
      </c>
      <c r="L17" s="63">
        <v>16.600000000000001</v>
      </c>
      <c r="M17" s="63">
        <v>18.14</v>
      </c>
      <c r="O17" s="1"/>
      <c r="P17" s="1"/>
      <c r="Q17" s="1"/>
    </row>
    <row r="18" spans="1:17" s="8" customFormat="1" ht="11.25" customHeight="1" thickBot="1">
      <c r="A18" s="43" t="s">
        <v>135</v>
      </c>
      <c r="B18" s="64">
        <f>IFERROR(AVERAGEIFS(Jan!$M:$M,Jan!$F:$F,800,Jan!$B:$B,3001),"")</f>
        <v>9.5212121212121232</v>
      </c>
      <c r="C18" s="64">
        <v>9.6300000000000008</v>
      </c>
      <c r="D18" s="64">
        <v>9.98</v>
      </c>
      <c r="E18" s="64">
        <v>7.27</v>
      </c>
      <c r="F18" s="64">
        <v>7.55</v>
      </c>
      <c r="G18" s="64">
        <v>7.67</v>
      </c>
      <c r="H18" s="64">
        <v>11.33</v>
      </c>
      <c r="I18" s="64">
        <v>7.34</v>
      </c>
      <c r="J18" s="64">
        <v>2.83</v>
      </c>
      <c r="K18" s="64">
        <v>16.64</v>
      </c>
      <c r="L18" s="64">
        <v>14.49</v>
      </c>
      <c r="M18" s="64">
        <v>19.79</v>
      </c>
    </row>
    <row r="19" spans="1:17" s="8" customFormat="1" ht="5.0999999999999996" customHeight="1" thickBot="1">
      <c r="A19" s="3"/>
      <c r="B19" s="17"/>
      <c r="C19" s="17">
        <v>85</v>
      </c>
      <c r="D19" s="17">
        <v>85</v>
      </c>
      <c r="E19" s="17">
        <v>85</v>
      </c>
      <c r="F19" s="17">
        <v>85</v>
      </c>
      <c r="G19" s="17">
        <v>85</v>
      </c>
      <c r="H19" s="17"/>
      <c r="I19" s="17"/>
      <c r="J19" s="17"/>
      <c r="K19" s="17"/>
      <c r="L19" s="17"/>
      <c r="M19" s="147"/>
    </row>
    <row r="20" spans="1:17" s="8" customFormat="1" ht="11.25" customHeight="1">
      <c r="A20" s="42" t="s">
        <v>52</v>
      </c>
      <c r="B20" s="65">
        <v>31</v>
      </c>
      <c r="C20" s="65">
        <v>28</v>
      </c>
      <c r="D20" s="65">
        <v>31</v>
      </c>
      <c r="E20" s="65">
        <v>28</v>
      </c>
      <c r="F20" s="65">
        <v>28</v>
      </c>
      <c r="G20" s="65">
        <v>30</v>
      </c>
      <c r="H20" s="65">
        <v>31</v>
      </c>
      <c r="I20" s="65">
        <v>31</v>
      </c>
      <c r="J20" s="65">
        <v>30</v>
      </c>
      <c r="K20" s="65">
        <v>31</v>
      </c>
      <c r="L20" s="161">
        <v>30</v>
      </c>
      <c r="M20" s="174">
        <v>31</v>
      </c>
    </row>
    <row r="21" spans="1:17" s="8" customFormat="1" ht="11.25" customHeight="1">
      <c r="A21" s="9" t="s">
        <v>15</v>
      </c>
      <c r="B21" s="66">
        <f>B12/B20</f>
        <v>1.064516129032258</v>
      </c>
      <c r="C21" s="66">
        <f t="shared" ref="C21:M21" si="5">C12/C20</f>
        <v>1.3214285714285714</v>
      </c>
      <c r="D21" s="66">
        <f>D12/D20</f>
        <v>1.032258064516129</v>
      </c>
      <c r="E21" s="66">
        <f>E12/E20</f>
        <v>1</v>
      </c>
      <c r="F21" s="66">
        <f>F12/F20</f>
        <v>1.3928571428571428</v>
      </c>
      <c r="G21" s="66">
        <f>G12/G20</f>
        <v>1.2666666666666666</v>
      </c>
      <c r="H21" s="66">
        <f t="shared" si="5"/>
        <v>0.967741935483871</v>
      </c>
      <c r="I21" s="66">
        <f t="shared" si="5"/>
        <v>1</v>
      </c>
      <c r="J21" s="66">
        <f t="shared" si="5"/>
        <v>1.1333333333333333</v>
      </c>
      <c r="K21" s="66">
        <f t="shared" si="5"/>
        <v>0.77419354838709675</v>
      </c>
      <c r="L21" s="162">
        <f t="shared" si="5"/>
        <v>1.1000000000000001</v>
      </c>
      <c r="M21" s="175">
        <f t="shared" si="5"/>
        <v>0.4838709677419355</v>
      </c>
    </row>
    <row r="22" spans="1:17" s="8" customFormat="1" ht="11.25" customHeight="1">
      <c r="A22" s="9" t="s">
        <v>130</v>
      </c>
      <c r="B22" s="67">
        <f t="shared" ref="B22:G22" si="6">IFERROR(B12/B7,0)</f>
        <v>0.44594594594594594</v>
      </c>
      <c r="C22" s="67">
        <f t="shared" si="6"/>
        <v>0.47435897435897434</v>
      </c>
      <c r="D22" s="67">
        <f t="shared" si="6"/>
        <v>0.35164835164835168</v>
      </c>
      <c r="E22" s="67">
        <f t="shared" si="6"/>
        <v>0.51851851851851849</v>
      </c>
      <c r="F22" s="67">
        <f t="shared" si="6"/>
        <v>0.37864077669902912</v>
      </c>
      <c r="G22" s="67">
        <f t="shared" si="6"/>
        <v>0.40425531914893614</v>
      </c>
      <c r="H22" s="67">
        <f t="shared" ref="H22:M22" si="7">IFERROR(H12/H7,0)</f>
        <v>0.27777777777777779</v>
      </c>
      <c r="I22" s="67">
        <f t="shared" si="7"/>
        <v>0.32631578947368423</v>
      </c>
      <c r="J22" s="67">
        <f t="shared" si="7"/>
        <v>0.35789473684210527</v>
      </c>
      <c r="K22" s="116">
        <f t="shared" si="7"/>
        <v>0.46153846153846156</v>
      </c>
      <c r="L22" s="67">
        <f t="shared" si="7"/>
        <v>0.39285714285714285</v>
      </c>
      <c r="M22" s="176">
        <f t="shared" si="7"/>
        <v>0.40540540540540543</v>
      </c>
      <c r="N22" s="1"/>
    </row>
    <row r="23" spans="1:17" s="8" customFormat="1" ht="11.25" customHeight="1" thickBot="1">
      <c r="A23" s="9" t="s">
        <v>53</v>
      </c>
      <c r="B23" s="67">
        <f t="shared" ref="B23:G23" si="8">IFERROR(B12/(B11+B12),0)</f>
        <v>0.5892857142857143</v>
      </c>
      <c r="C23" s="67">
        <f t="shared" si="8"/>
        <v>0.63793103448275867</v>
      </c>
      <c r="D23" s="67">
        <f t="shared" si="8"/>
        <v>0.49230769230769234</v>
      </c>
      <c r="E23" s="67">
        <f t="shared" si="8"/>
        <v>0.63636363636363635</v>
      </c>
      <c r="F23" s="67">
        <f t="shared" si="8"/>
        <v>0.4642857142857143</v>
      </c>
      <c r="G23" s="67">
        <f t="shared" si="8"/>
        <v>0.4935064935064935</v>
      </c>
      <c r="H23" s="67">
        <f t="shared" ref="H23:M23" si="9">IFERROR(H12/(H11+H12),0)</f>
        <v>0.36585365853658536</v>
      </c>
      <c r="I23" s="67">
        <f t="shared" si="9"/>
        <v>0.44927536231884058</v>
      </c>
      <c r="J23" s="67">
        <f t="shared" si="9"/>
        <v>0.44736842105263158</v>
      </c>
      <c r="K23" s="117">
        <f t="shared" si="9"/>
        <v>0.58536585365853655</v>
      </c>
      <c r="L23" s="163">
        <f t="shared" si="9"/>
        <v>0.5</v>
      </c>
      <c r="M23" s="177">
        <f t="shared" si="9"/>
        <v>0.46875</v>
      </c>
      <c r="N23" s="4"/>
    </row>
    <row r="24" spans="1:17" s="8" customFormat="1" ht="11.25" customHeight="1" thickBot="1">
      <c r="A24" s="56" t="s">
        <v>21</v>
      </c>
      <c r="B24" s="50">
        <v>41275</v>
      </c>
      <c r="C24" s="47">
        <v>41306</v>
      </c>
      <c r="D24" s="47">
        <v>41334</v>
      </c>
      <c r="E24" s="47">
        <v>41365</v>
      </c>
      <c r="F24" s="47">
        <v>41395</v>
      </c>
      <c r="G24" s="47">
        <v>41426</v>
      </c>
      <c r="H24" s="47">
        <v>41456</v>
      </c>
      <c r="I24" s="47">
        <v>41487</v>
      </c>
      <c r="J24" s="47">
        <v>41518</v>
      </c>
      <c r="K24" s="47">
        <v>41548</v>
      </c>
      <c r="L24" s="47">
        <v>41579</v>
      </c>
      <c r="M24" s="51">
        <v>41609</v>
      </c>
    </row>
    <row r="25" spans="1:17" s="8" customFormat="1" ht="11.25" customHeight="1">
      <c r="A25" s="18" t="s">
        <v>5</v>
      </c>
      <c r="B25" s="68">
        <f>COUNTIFS(Jan!$B:$B,3001,Jan!$J:$J,18)</f>
        <v>3</v>
      </c>
      <c r="C25" s="68">
        <v>3</v>
      </c>
      <c r="D25" s="68">
        <v>6</v>
      </c>
      <c r="E25" s="68">
        <v>2</v>
      </c>
      <c r="F25" s="68">
        <v>3</v>
      </c>
      <c r="G25" s="68">
        <v>1</v>
      </c>
      <c r="H25" s="68">
        <v>3</v>
      </c>
      <c r="I25" s="68">
        <v>5</v>
      </c>
      <c r="J25" s="68">
        <v>4</v>
      </c>
      <c r="K25" s="68">
        <f>COUNTIFS(Oct!$B:$B,3001,Oct!$J:$J,18)</f>
        <v>0</v>
      </c>
      <c r="L25" s="68">
        <f>COUNTIFS(Nov!$B:$B,3001,Nov!$J:$J,18)</f>
        <v>0</v>
      </c>
      <c r="M25" s="68">
        <v>4</v>
      </c>
    </row>
    <row r="26" spans="1:17" s="8" customFormat="1" ht="11.25" customHeight="1">
      <c r="A26" s="46" t="s">
        <v>40</v>
      </c>
      <c r="B26" s="57">
        <f>COUNTIFS(Jan!$B:$B,3001,Jan!$J:$J,41)</f>
        <v>0</v>
      </c>
      <c r="C26" s="57">
        <f>COUNTIFS(Feb!$B:$B,3001,Feb!$J:$J,41)</f>
        <v>0</v>
      </c>
      <c r="D26" s="57">
        <f>COUNTIFS(Mar!$B:$B,3001,Mar!$J:$J,41)</f>
        <v>0</v>
      </c>
      <c r="E26" s="57">
        <f>COUNTIFS(Apr!$B:$B,3001,Apr!$J:$J,41)</f>
        <v>0</v>
      </c>
      <c r="F26" s="57">
        <f>COUNTIFS(May!$B:$B,3001,May!$J:$J,41)</f>
        <v>0</v>
      </c>
      <c r="G26" s="57">
        <f>COUNTIFS(Jun!$B:$B,3001,Jun!$J:$J,41)</f>
        <v>0</v>
      </c>
      <c r="H26" s="57">
        <v>6</v>
      </c>
      <c r="I26" s="57">
        <f>COUNTIFS(Aug!$B:$B,3001,Aug!$J:$J,41)</f>
        <v>0</v>
      </c>
      <c r="J26" s="57">
        <f>COUNTIFS(Sep!$B:$B,3001,Sep!$J:$J,41)</f>
        <v>0</v>
      </c>
      <c r="K26" s="57">
        <v>0</v>
      </c>
      <c r="L26" s="57">
        <f>COUNTIFS(Nov!$B:$B,3001,Nov!$J:$J,41)</f>
        <v>0</v>
      </c>
      <c r="M26" s="57">
        <v>0</v>
      </c>
    </row>
    <row r="27" spans="1:17" s="8" customFormat="1" ht="11.25" customHeight="1">
      <c r="A27" s="9" t="s">
        <v>11</v>
      </c>
      <c r="B27" s="179">
        <f>COUNTIFS(Jan!$B:$B,3001,Jan!$J:$J,17)</f>
        <v>56</v>
      </c>
      <c r="C27" s="206">
        <v>46</v>
      </c>
      <c r="D27" s="206">
        <v>27</v>
      </c>
      <c r="E27" s="206">
        <v>36</v>
      </c>
      <c r="F27" s="206">
        <v>30</v>
      </c>
      <c r="G27" s="206">
        <v>37</v>
      </c>
      <c r="H27" s="206">
        <v>42</v>
      </c>
      <c r="I27" s="206">
        <v>29</v>
      </c>
      <c r="J27" s="206">
        <v>40</v>
      </c>
      <c r="K27" s="206">
        <v>16</v>
      </c>
      <c r="L27" s="206">
        <v>22</v>
      </c>
      <c r="M27" s="206">
        <v>24</v>
      </c>
    </row>
    <row r="28" spans="1:17" s="8" customFormat="1" ht="11.25" customHeight="1">
      <c r="A28" s="9" t="s">
        <v>143</v>
      </c>
      <c r="B28" s="59">
        <f>COUNTIFS(Jan!$B:$B,3001,Jan!$F:$F,455)</f>
        <v>0</v>
      </c>
      <c r="C28" s="59">
        <f>COUNTIFS(Feb!$B:$B,3001,Feb!$F:$F,455)</f>
        <v>0</v>
      </c>
      <c r="D28" s="59">
        <f>COUNTIFS(Mar!$B:$B,3001,Mar!$F:$F,455)</f>
        <v>0</v>
      </c>
      <c r="E28" s="59">
        <f>COUNTIFS(Apr!$B:$B,3001,Apr!$F:$F,455)</f>
        <v>0</v>
      </c>
      <c r="F28" s="59">
        <f>COUNTIFS(May!$B:$B,3001,May!$F:$F,455)</f>
        <v>0</v>
      </c>
      <c r="G28" s="59">
        <f>COUNTIFS(Jun!$B:$B,3001,Jun!$F:$F,455)</f>
        <v>0</v>
      </c>
      <c r="H28" s="59">
        <f>COUNTIFS(Jul!$B:$B,3001,Jul!$F:$F,455)</f>
        <v>0</v>
      </c>
      <c r="I28" s="59">
        <f>COUNTIFS(Aug!$B:$B,3001,Aug!$F:$F,455)</f>
        <v>0</v>
      </c>
      <c r="J28" s="59">
        <f>COUNTIFS(Sep!$B:$B,3001,Sep!$F:$F,455)</f>
        <v>0</v>
      </c>
      <c r="K28" s="59">
        <f>COUNTIFS(Oct!$B:$B,3001,Oct!$F:$F,455)</f>
        <v>0</v>
      </c>
      <c r="L28" s="59">
        <f>COUNTIFS(Nov!$B:$B,3001,Nov!$F:$F,455)</f>
        <v>0</v>
      </c>
      <c r="M28" s="59">
        <v>0</v>
      </c>
    </row>
    <row r="29" spans="1:17" s="8" customFormat="1" ht="11.25" customHeight="1">
      <c r="A29" s="9" t="s">
        <v>23</v>
      </c>
      <c r="B29" s="59">
        <f>COUNTIFS(Jan!$B:$B,3001,Jan!$J:$J,31)</f>
        <v>0</v>
      </c>
      <c r="C29" s="59">
        <f>COUNTIFS(Feb!$B:$B,3001,Feb!$J:$J,31)</f>
        <v>0</v>
      </c>
      <c r="D29" s="59">
        <f>COUNTIFS(Mar!$B:$B,3001,Mar!$J:$J,31)</f>
        <v>0</v>
      </c>
      <c r="E29" s="59">
        <v>0</v>
      </c>
      <c r="F29" s="59">
        <f>COUNTIFS(May!$B:$B,3001,May!$J:$J,31)</f>
        <v>0</v>
      </c>
      <c r="G29" s="59">
        <f>COUNTIFS(Jun!$B:$B,3001,Jun!$J:$J,31)</f>
        <v>0</v>
      </c>
      <c r="H29" s="59">
        <f>COUNTIFS(Jul!$B:$B,3001,Jul!$J:$J,31)</f>
        <v>0</v>
      </c>
      <c r="I29" s="59">
        <v>32</v>
      </c>
      <c r="J29" s="59">
        <v>33</v>
      </c>
      <c r="K29" s="59">
        <v>32</v>
      </c>
      <c r="L29" s="59">
        <v>31</v>
      </c>
      <c r="M29" s="59">
        <v>29</v>
      </c>
    </row>
    <row r="30" spans="1:17" s="8" customFormat="1" ht="11.25" customHeight="1">
      <c r="A30" s="9" t="s">
        <v>37</v>
      </c>
      <c r="B30" s="59">
        <f>COUNTIFS(Jan!$B:$B,3001,Jan!$J:$J,4400)</f>
        <v>0</v>
      </c>
      <c r="C30" s="59">
        <f>COUNTIFS(Feb!$B:$B,3001,Feb!$J:$J,4400)</f>
        <v>0</v>
      </c>
      <c r="D30" s="59">
        <f>COUNTIFS(Mar!$B:$B,3001,Mar!$J:$J,4400)</f>
        <v>0</v>
      </c>
      <c r="E30" s="59">
        <f>COUNTIFS(Apr!$B:$B,3001,Apr!$J:$J,4400)</f>
        <v>0</v>
      </c>
      <c r="F30" s="59">
        <f>COUNTIFS(May!$B:$B,3001,May!$J:$J,4400)</f>
        <v>0</v>
      </c>
      <c r="G30" s="59">
        <f>COUNTIFS(Jun!$B:$B,3001,Jun!$J:$J,4400)</f>
        <v>0</v>
      </c>
      <c r="H30" s="59">
        <v>1</v>
      </c>
      <c r="I30" s="59">
        <f>COUNTIFS(Aug!$B:$B,3001,Aug!$J:$J,4400)</f>
        <v>0</v>
      </c>
      <c r="J30" s="59">
        <f>COUNTIFS(Sep!$B:$B,3001,Sep!$J:$J,4400)</f>
        <v>0</v>
      </c>
      <c r="K30" s="59">
        <f>COUNTIFS(Oct!$B:$B,3001,Oct!$J:$J,4400)</f>
        <v>0</v>
      </c>
      <c r="L30" s="59">
        <f>COUNTIFS(Nov!$B:$B,3001,Nov!$J:$J,4400)</f>
        <v>0</v>
      </c>
      <c r="M30" s="59">
        <v>0</v>
      </c>
    </row>
    <row r="31" spans="1:17" s="8" customFormat="1" ht="11.25" customHeight="1">
      <c r="A31" s="10" t="s">
        <v>24</v>
      </c>
      <c r="B31" s="59">
        <f>COUNTIFS(Jan!$B:$B,3001,Jan!$J:$J,30)</f>
        <v>0</v>
      </c>
      <c r="C31" s="59">
        <f>COUNTIFS(Feb!$B:$B,3001,Feb!$J:$J,30)</f>
        <v>0</v>
      </c>
      <c r="D31" s="59">
        <f>COUNTIFS(Mar!$B:$B,3001,Mar!$J:$J,30)</f>
        <v>0</v>
      </c>
      <c r="E31" s="59">
        <f>COUNTIFS(Apr!$B:$B,3001,Apr!$J:$J,30)</f>
        <v>0</v>
      </c>
      <c r="F31" s="59">
        <f>COUNTIFS(May!$B:$B,3001,May!$J:$J,30)</f>
        <v>0</v>
      </c>
      <c r="G31" s="59">
        <f>COUNTIFS(Jun!$B:$B,3001,Jun!$J:$J,30)</f>
        <v>0</v>
      </c>
      <c r="H31" s="59">
        <f>COUNTIFS(Jul!$B:$B,3001,Jul!$J:$J,30)</f>
        <v>0</v>
      </c>
      <c r="I31" s="59">
        <f>COUNTIFS(Aug!$B:$B,3001,Aug!$J:$J,30)</f>
        <v>0</v>
      </c>
      <c r="J31" s="59">
        <f>COUNTIFS(Sep!$B:$B,3001,Sep!$J:$J,30)</f>
        <v>0</v>
      </c>
      <c r="K31" s="59">
        <f>COUNTIFS(Oct!$B:$B,3001,Oct!$J:$J,30)</f>
        <v>0</v>
      </c>
      <c r="L31" s="59">
        <f>COUNTIFS(Nov!$B:$B,3001,Nov!$J:$J,30)</f>
        <v>0</v>
      </c>
      <c r="M31" s="59">
        <v>0</v>
      </c>
    </row>
    <row r="32" spans="1:17" s="14" customFormat="1" ht="11.25" customHeight="1" thickBot="1">
      <c r="A32" s="2" t="s">
        <v>140</v>
      </c>
      <c r="B32" s="60">
        <f>SUM(B25:B31)</f>
        <v>59</v>
      </c>
      <c r="C32" s="60">
        <f t="shared" ref="C32:M32" si="10">SUM(C25:C31)</f>
        <v>49</v>
      </c>
      <c r="D32" s="60">
        <f>SUM(D25:D31)</f>
        <v>33</v>
      </c>
      <c r="E32" s="60">
        <f>SUM(E25:E31)</f>
        <v>38</v>
      </c>
      <c r="F32" s="60">
        <f>SUM(F25:F31)</f>
        <v>33</v>
      </c>
      <c r="G32" s="60">
        <f>SUM(G25:G31)</f>
        <v>38</v>
      </c>
      <c r="H32" s="60">
        <f t="shared" si="10"/>
        <v>52</v>
      </c>
      <c r="I32" s="60">
        <f t="shared" si="10"/>
        <v>66</v>
      </c>
      <c r="J32" s="60">
        <f t="shared" si="10"/>
        <v>77</v>
      </c>
      <c r="K32" s="60">
        <f t="shared" si="10"/>
        <v>48</v>
      </c>
      <c r="L32" s="159">
        <f t="shared" si="10"/>
        <v>53</v>
      </c>
      <c r="M32" s="170">
        <f t="shared" si="10"/>
        <v>57</v>
      </c>
    </row>
    <row r="33" spans="1:13" ht="12" customHeight="1" thickBot="1">
      <c r="A33" s="55" t="s">
        <v>136</v>
      </c>
      <c r="B33" s="50">
        <v>41275</v>
      </c>
      <c r="C33" s="47">
        <v>41306</v>
      </c>
      <c r="D33" s="47">
        <v>41334</v>
      </c>
      <c r="E33" s="47">
        <v>41365</v>
      </c>
      <c r="F33" s="47">
        <v>41395</v>
      </c>
      <c r="G33" s="47">
        <v>41426</v>
      </c>
      <c r="H33" s="47">
        <v>41456</v>
      </c>
      <c r="I33" s="47">
        <v>41487</v>
      </c>
      <c r="J33" s="47">
        <v>41518</v>
      </c>
      <c r="K33" s="47">
        <v>41548</v>
      </c>
      <c r="L33" s="47">
        <v>41579</v>
      </c>
      <c r="M33" s="51">
        <v>41609</v>
      </c>
    </row>
    <row r="34" spans="1:13" s="8" customFormat="1" ht="11.25" customHeight="1">
      <c r="A34" s="46" t="s">
        <v>33</v>
      </c>
      <c r="B34" s="57">
        <f>COUNTIFS(Jan!$B:$B,3001,Jan!$J:$J,40)</f>
        <v>0</v>
      </c>
      <c r="C34" s="57">
        <f>COUNTIFS(Feb!$B:$B,3001,Feb!$J:$J,40)</f>
        <v>0</v>
      </c>
      <c r="D34" s="57">
        <v>1</v>
      </c>
      <c r="E34" s="57">
        <f>COUNTIFS(Apr!$B:$B,3001,Apr!$J:$J,40)</f>
        <v>0</v>
      </c>
      <c r="F34" s="57">
        <f>COUNTIFS(May!$B:$B,3001,May!$J:$J,40)</f>
        <v>0</v>
      </c>
      <c r="G34" s="57">
        <f>COUNTIFS(Jun!$B:$B,3001,Jun!$J:$J,40)</f>
        <v>0</v>
      </c>
      <c r="H34" s="57">
        <f>COUNTIFS(Jul!$B:$B,3001,Jul!$J:$J,40)</f>
        <v>0</v>
      </c>
      <c r="I34" s="57">
        <f>COUNTIFS(Aug!$B:$B,3001,Aug!$J:$J,40)</f>
        <v>0</v>
      </c>
      <c r="J34" s="57">
        <f>COUNTIFS(Sep!$B:$B,3001,Sep!$J:$J,40)</f>
        <v>0</v>
      </c>
      <c r="K34" s="57">
        <v>1</v>
      </c>
      <c r="L34" s="57">
        <v>2</v>
      </c>
      <c r="M34" s="57">
        <v>0</v>
      </c>
    </row>
    <row r="35" spans="1:13" s="8" customFormat="1" ht="11.25" customHeight="1">
      <c r="A35" s="10" t="s">
        <v>4</v>
      </c>
      <c r="B35" s="59">
        <f>COUNTIFS(Jan!$B:$B,3001,Jan!$J:$J,15)</f>
        <v>1</v>
      </c>
      <c r="C35" s="59">
        <f>COUNTIFS(Feb!$B:$B,3001,Feb!$J:$J,15)</f>
        <v>0</v>
      </c>
      <c r="D35" s="59">
        <f>COUNTIFS(Mar!$B:$B,3001,Mar!$J:$J,15)</f>
        <v>0</v>
      </c>
      <c r="E35" s="59">
        <f>COUNTIFS(Apr!$B:$B,3001,Apr!$J:$J,15)</f>
        <v>0</v>
      </c>
      <c r="F35" s="59">
        <f>COUNTIFS(May!$B:$B,3001,May!$J:$J,15)</f>
        <v>0</v>
      </c>
      <c r="G35" s="59">
        <v>1</v>
      </c>
      <c r="H35" s="59">
        <v>1</v>
      </c>
      <c r="I35" s="59">
        <f>COUNTIFS(Aug!$B:$B,3001,Aug!$J:$J,15)</f>
        <v>0</v>
      </c>
      <c r="J35" s="59">
        <f>COUNTIFS(Sep!$B:$B,3001,Sep!$J:$J,15)</f>
        <v>0</v>
      </c>
      <c r="K35" s="59">
        <f>COUNTIFS(Oct!$B:$B,3001,Oct!$J:$J,15)</f>
        <v>0</v>
      </c>
      <c r="L35" s="59">
        <f>COUNTIFS(Nov!$B:$B,3001,Nov!$J:$J,15)</f>
        <v>0</v>
      </c>
      <c r="M35" s="59">
        <v>0</v>
      </c>
    </row>
    <row r="36" spans="1:13" s="8" customFormat="1" ht="11.25" customHeight="1">
      <c r="A36" s="10" t="s">
        <v>39</v>
      </c>
      <c r="B36" s="59">
        <f>COUNTIFS(Jan!$B:$B,3001,Jan!$J:$J,29)</f>
        <v>2</v>
      </c>
      <c r="C36" s="59">
        <v>5</v>
      </c>
      <c r="D36" s="59">
        <v>11</v>
      </c>
      <c r="E36" s="59">
        <v>3</v>
      </c>
      <c r="F36" s="59">
        <v>5</v>
      </c>
      <c r="G36" s="59">
        <v>5</v>
      </c>
      <c r="H36" s="59">
        <v>5</v>
      </c>
      <c r="I36" s="59">
        <v>5</v>
      </c>
      <c r="J36" s="59">
        <v>2</v>
      </c>
      <c r="K36" s="59">
        <v>2</v>
      </c>
      <c r="L36" s="59">
        <v>1</v>
      </c>
      <c r="M36" s="59">
        <v>1</v>
      </c>
    </row>
    <row r="37" spans="1:13" s="8" customFormat="1" ht="11.25" customHeight="1">
      <c r="A37" s="10" t="s">
        <v>3</v>
      </c>
      <c r="B37" s="59">
        <f>COUNTIFS(Jan!$B:$B,3001,Jan!$J:$J,13)</f>
        <v>0</v>
      </c>
      <c r="C37" s="59">
        <f>COUNTIFS(Feb!$B:$B,3001,Feb!$J:$J,13)</f>
        <v>0</v>
      </c>
      <c r="D37" s="59">
        <f>COUNTIFS(Mar!$B:$B,3001,Mar!$J:$J,13)</f>
        <v>0</v>
      </c>
      <c r="E37" s="59">
        <f>COUNTIFS(Apr!$B:$B,3001,Apr!$J:$J,13)</f>
        <v>0</v>
      </c>
      <c r="F37" s="59">
        <f>COUNTIFS(May!$B:$B,3001,May!$J:$J,13)</f>
        <v>0</v>
      </c>
      <c r="G37" s="59">
        <f>COUNTIFS(Jun!$B:$B,3001,Jun!$J:$J,13)</f>
        <v>0</v>
      </c>
      <c r="H37" s="59">
        <f>COUNTIFS(Jul!$B:$B,3001,Jul!$J:$J,13)</f>
        <v>0</v>
      </c>
      <c r="I37" s="59">
        <v>0</v>
      </c>
      <c r="J37" s="59">
        <f>COUNTIFS(Sep!$B:$B,3001,Sep!$J:$J,13)</f>
        <v>0</v>
      </c>
      <c r="K37" s="59">
        <f>COUNTIFS(Oct!$B:$B,3001,Oct!$J:$J,13)</f>
        <v>0</v>
      </c>
      <c r="L37" s="59">
        <f>COUNTIFS(Nov!$B:$B,3001,Nov!$J:$J,13)</f>
        <v>0</v>
      </c>
      <c r="M37" s="59">
        <v>0</v>
      </c>
    </row>
    <row r="38" spans="1:13" s="8" customFormat="1" ht="11.25" customHeight="1">
      <c r="A38" s="9" t="s">
        <v>218</v>
      </c>
      <c r="B38" s="59">
        <f>COUNTIFS(Jan!$B:$B,3001,Jan!$J:$J,43)</f>
        <v>0</v>
      </c>
      <c r="C38" s="59">
        <f>COUNTIFS(Feb!$B:$B,3001,Feb!$J:$J,43)</f>
        <v>0</v>
      </c>
      <c r="D38" s="59">
        <f>COUNTIFS(Mar!$B:$B,3001,Mar!$J:$J,43)</f>
        <v>0</v>
      </c>
      <c r="E38" s="59">
        <f>COUNTIFS(Apr!$B:$B,3001,Apr!$J:$J,43)</f>
        <v>0</v>
      </c>
      <c r="F38" s="59">
        <f>COUNTIFS(May!$B:$B,3001,May!$J:$J,43)</f>
        <v>0</v>
      </c>
      <c r="G38" s="59">
        <f>COUNTIFS(Jun!$B:$B,3001,Jun!$J:$J,43)</f>
        <v>0</v>
      </c>
      <c r="H38" s="59">
        <f>COUNTIFS(Jul!$B:$B,3001,Jul!$J:$J,43)</f>
        <v>0</v>
      </c>
      <c r="I38" s="59">
        <f>COUNTIFS(Aug!$B:$B,3001,Aug!$J:$J,43)</f>
        <v>0</v>
      </c>
      <c r="J38" s="59">
        <f>COUNTIFS(Sep!$B:$B,3001,Sep!$J:$J,43)</f>
        <v>0</v>
      </c>
      <c r="K38" s="59">
        <f>COUNTIFS(Oct!$B:$B,3001,Oct!$J:$J,43)</f>
        <v>0</v>
      </c>
      <c r="L38" s="59">
        <f>COUNTIFS(Nov!$B:$B,3001,Nov!$J:$J,43)</f>
        <v>0</v>
      </c>
      <c r="M38" s="59">
        <v>0</v>
      </c>
    </row>
    <row r="39" spans="1:13" s="8" customFormat="1" ht="11.25" customHeight="1">
      <c r="A39" s="10" t="s">
        <v>25</v>
      </c>
      <c r="B39" s="59">
        <f>COUNTIFS(Jan!$B:$B,3001,Jan!$J:$J,24)</f>
        <v>9</v>
      </c>
      <c r="C39" s="59">
        <v>8</v>
      </c>
      <c r="D39" s="59">
        <v>9</v>
      </c>
      <c r="E39" s="59">
        <v>4</v>
      </c>
      <c r="F39" s="59">
        <v>10</v>
      </c>
      <c r="G39" s="59">
        <v>6</v>
      </c>
      <c r="H39" s="59">
        <v>14</v>
      </c>
      <c r="I39" s="59">
        <v>7</v>
      </c>
      <c r="J39" s="59">
        <v>6</v>
      </c>
      <c r="K39" s="59">
        <v>3</v>
      </c>
      <c r="L39" s="59">
        <v>6</v>
      </c>
      <c r="M39" s="59">
        <v>1</v>
      </c>
    </row>
    <row r="40" spans="1:13" s="8" customFormat="1" ht="11.25" customHeight="1">
      <c r="A40" s="10" t="s">
        <v>34</v>
      </c>
      <c r="B40" s="59">
        <f>COUNTIFS(Jan!$B:$B,3001,Jan!$J:$J,9)</f>
        <v>0</v>
      </c>
      <c r="C40" s="59">
        <f>COUNTIFS(Feb!$B:$B,3001,Feb!$J:$J,9)</f>
        <v>0</v>
      </c>
      <c r="D40" s="59">
        <f>COUNTIFS(Mar!$B:$B,3001,Mar!$J:$J,9)</f>
        <v>0</v>
      </c>
      <c r="E40" s="59">
        <f>COUNTIFS(Apr!$B:$B,3001,Apr!$J:$J,9)</f>
        <v>0</v>
      </c>
      <c r="F40" s="59">
        <f>COUNTIFS(May!$B:$B,3001,May!$J:$J,9)</f>
        <v>0</v>
      </c>
      <c r="G40" s="59">
        <f>COUNTIFS(Jun!$B:$B,3001,Jun!$J:$J,9)</f>
        <v>0</v>
      </c>
      <c r="H40" s="59">
        <f>COUNTIFS(Jul!$B:$B,3001,Jul!$J:$J,9)</f>
        <v>0</v>
      </c>
      <c r="I40" s="59">
        <f>COUNTIFS(Aug!$B:$B,3001,Aug!$J:$J,9)</f>
        <v>0</v>
      </c>
      <c r="J40" s="59">
        <f>COUNTIFS(Sep!$B:$B,3001,Sep!$J:$J,9)</f>
        <v>0</v>
      </c>
      <c r="K40" s="59">
        <f>COUNTIFS(Oct!$B:$B,3001,Oct!$J:$J,9)</f>
        <v>0</v>
      </c>
      <c r="L40" s="59">
        <f>COUNTIFS(Nov!$B:$B,3001,Nov!$J:$J,9)</f>
        <v>0</v>
      </c>
      <c r="M40" s="59">
        <v>0</v>
      </c>
    </row>
    <row r="41" spans="1:13" s="8" customFormat="1" ht="11.25" customHeight="1">
      <c r="A41" s="10" t="s">
        <v>31</v>
      </c>
      <c r="B41" s="59">
        <f>COUNTIFS(Jan!$B:$B,3001,Jan!$J:$J,10)</f>
        <v>1</v>
      </c>
      <c r="C41" s="59">
        <f>COUNTIFS(Feb!$B:$B,3001,Feb!$J:$J,10)</f>
        <v>0</v>
      </c>
      <c r="D41" s="59">
        <f>COUNTIFS(Mar!$B:$B,3001,Mar!$J:$J,10)</f>
        <v>0</v>
      </c>
      <c r="E41" s="59">
        <f>COUNTIFS(Apr!$B:$B,3001,Apr!$J:$J,10)</f>
        <v>0</v>
      </c>
      <c r="F41" s="59">
        <f>COUNTIFS(May!$B:$B,3001,May!$J:$J,10)</f>
        <v>0</v>
      </c>
      <c r="G41" s="59">
        <f>COUNTIFS(Jun!$B:$B,3001,Jun!$J:$J,10)</f>
        <v>0</v>
      </c>
      <c r="H41" s="59">
        <f>COUNTIFS(Jul!$B:$B,3001,Jul!$J:$J,10)</f>
        <v>0</v>
      </c>
      <c r="I41" s="59">
        <v>1</v>
      </c>
      <c r="J41" s="59">
        <v>1</v>
      </c>
      <c r="K41" s="59">
        <f>COUNTIFS(Oct!$B:$B,3001,Oct!$J:$J,10)</f>
        <v>0</v>
      </c>
      <c r="L41" s="59">
        <f>COUNTIFS(Nov!$B:$B,3001,Nov!$J:$J,10)</f>
        <v>0</v>
      </c>
      <c r="M41" s="59">
        <v>0</v>
      </c>
    </row>
    <row r="42" spans="1:13" s="8" customFormat="1" ht="11.25" customHeight="1">
      <c r="A42" s="10" t="s">
        <v>144</v>
      </c>
      <c r="B42" s="59">
        <f>COUNTIFS(Jan!$B:$B,3001,Jan!$F:$F,462)</f>
        <v>0</v>
      </c>
      <c r="C42" s="59">
        <f>COUNTIFS(Feb!$B:$B,3001,Feb!$F:$F,462)</f>
        <v>0</v>
      </c>
      <c r="D42" s="59">
        <f>COUNTIFS(Mar!$B:$B,3001,Mar!$F:$F,462)</f>
        <v>0</v>
      </c>
      <c r="E42" s="59">
        <f>COUNTIFS(Apr!$B:$B,3001,Apr!$F:$F,462)</f>
        <v>0</v>
      </c>
      <c r="F42" s="59">
        <f>COUNTIFS(May!$B:$B,3001,May!$F:$F,462)</f>
        <v>0</v>
      </c>
      <c r="G42" s="59">
        <f>COUNTIFS(Jun!$B:$B,3001,Jun!$F:$F,462)</f>
        <v>0</v>
      </c>
      <c r="H42" s="59">
        <f>COUNTIFS(Jul!$B:$B,3001,Jul!$F:$F,462)</f>
        <v>0</v>
      </c>
      <c r="I42" s="59">
        <f>COUNTIFS(Aug!$B:$B,3001,Aug!$F:$F,462)</f>
        <v>0</v>
      </c>
      <c r="J42" s="59">
        <f>COUNTIFS(Sep!$B:$B,3001,Sep!$F:$F,462)</f>
        <v>0</v>
      </c>
      <c r="K42" s="59">
        <f>COUNTIFS(Oct!$B:$B,3001,Oct!$F:$F,462)</f>
        <v>0</v>
      </c>
      <c r="L42" s="59">
        <f>COUNTIFS(Nov!$B:$B,3001,Nov!$F:$F,462)</f>
        <v>0</v>
      </c>
      <c r="M42" s="59">
        <v>0</v>
      </c>
    </row>
    <row r="43" spans="1:13" s="8" customFormat="1" ht="11.25" customHeight="1">
      <c r="A43" s="10" t="s">
        <v>1</v>
      </c>
      <c r="B43" s="59">
        <f>COUNTIFS(Jan!$B:$B,3001,Jan!$J:$J,11)</f>
        <v>0</v>
      </c>
      <c r="C43" s="59">
        <f>COUNTIFS(Feb!$B:$B,3001,Feb!$J:$J,11)</f>
        <v>0</v>
      </c>
      <c r="D43" s="59">
        <f>COUNTIFS(Mar!$B:$B,3001,Mar!$J:$J,11)</f>
        <v>0</v>
      </c>
      <c r="E43" s="59">
        <f>COUNTIFS(Apr!$B:$B,3001,Apr!$J:$J,11)</f>
        <v>0</v>
      </c>
      <c r="F43" s="59">
        <f>COUNTIFS(May!$B:$B,3001,May!$J:$J,11)</f>
        <v>0</v>
      </c>
      <c r="G43" s="59">
        <f>COUNTIFS(Jun!$B:$B,3001,Jun!$J:$J,11)</f>
        <v>0</v>
      </c>
      <c r="H43" s="59">
        <f>COUNTIFS(Jul!$B:$B,3001,Jul!$J:$J,11)</f>
        <v>0</v>
      </c>
      <c r="I43" s="59">
        <v>1</v>
      </c>
      <c r="J43" s="59">
        <f>COUNTIFS(Sep!$B:$B,3001,Sep!$J:$J,11)</f>
        <v>0</v>
      </c>
      <c r="K43" s="59">
        <f>COUNTIFS(Oct!$B:$B,3001,Oct!$J:$J,11)</f>
        <v>0</v>
      </c>
      <c r="L43" s="59">
        <f>COUNTIFS(Nov!$B:$B,3001,Nov!$J:$J,11)</f>
        <v>0</v>
      </c>
      <c r="M43" s="59">
        <v>0</v>
      </c>
    </row>
    <row r="44" spans="1:13" s="8" customFormat="1" ht="11.25" customHeight="1">
      <c r="A44" s="10" t="s">
        <v>26</v>
      </c>
      <c r="B44" s="59">
        <f>COUNTIFS(Jan!$B:$B,3001,Jan!$J:$J,20)</f>
        <v>0</v>
      </c>
      <c r="C44" s="59">
        <f>COUNTIFS(Feb!$B:$B,3001,Feb!$J:$J,20)</f>
        <v>0</v>
      </c>
      <c r="D44" s="59">
        <f>COUNTIFS(Mar!$B:$B,3001,Mar!$J:$J,20)</f>
        <v>0</v>
      </c>
      <c r="E44" s="59">
        <f>COUNTIFS(Apr!$B:$B,3001,Apr!$J:$J,20)</f>
        <v>0</v>
      </c>
      <c r="F44" s="59">
        <f>COUNTIFS(May!$B:$B,3001,May!$J:$J,20)</f>
        <v>0</v>
      </c>
      <c r="G44" s="59">
        <f>COUNTIFS(Jun!$B:$B,3001,Jun!$J:$J,20)</f>
        <v>0</v>
      </c>
      <c r="H44" s="59">
        <f>COUNTIFS(Jul!$B:$B,3001,Jul!$J:$J,20)</f>
        <v>0</v>
      </c>
      <c r="I44" s="59">
        <f>COUNTIFS(Aug!$B:$B,3001,Aug!$J:$J,20)</f>
        <v>0</v>
      </c>
      <c r="J44" s="59">
        <f>COUNTIFS(Sep!$B:$B,3001,Sep!$J:$J,20)</f>
        <v>0</v>
      </c>
      <c r="K44" s="59">
        <v>1</v>
      </c>
      <c r="L44" s="59">
        <v>2</v>
      </c>
      <c r="M44" s="59">
        <v>0</v>
      </c>
    </row>
    <row r="45" spans="1:13" s="8" customFormat="1" ht="11.25" customHeight="1">
      <c r="A45" s="10" t="s">
        <v>32</v>
      </c>
      <c r="B45" s="59">
        <f>COUNTIFS(Jan!$B:$B,3001,Jan!$J:$J,2)</f>
        <v>1</v>
      </c>
      <c r="C45" s="59">
        <v>2</v>
      </c>
      <c r="D45" s="59">
        <v>2</v>
      </c>
      <c r="E45" s="59">
        <v>2</v>
      </c>
      <c r="F45" s="59">
        <v>2</v>
      </c>
      <c r="G45" s="59">
        <v>4</v>
      </c>
      <c r="H45" s="59">
        <v>4</v>
      </c>
      <c r="I45" s="59">
        <v>7</v>
      </c>
      <c r="J45" s="59">
        <v>3</v>
      </c>
      <c r="K45" s="59">
        <v>2</v>
      </c>
      <c r="L45" s="59">
        <v>3</v>
      </c>
      <c r="M45" s="59">
        <v>1</v>
      </c>
    </row>
    <row r="46" spans="1:13" s="8" customFormat="1" ht="11.25" customHeight="1">
      <c r="A46" s="10" t="s">
        <v>28</v>
      </c>
      <c r="B46" s="59">
        <f>COUNTIFS(Jan!$B:$B,3001,Jan!$J:$J,1700)+COUNTIFS(Jan!$B:$B,3001,Jan!$F:$F,1700)+COUNTIFS(Jan!$B:$B,3001,Jan!$J:$J,19)</f>
        <v>0</v>
      </c>
      <c r="C46" s="59">
        <f>COUNTIFS(Feb!$B:$B,3001,Feb!$J:$J,1700)+COUNTIFS(Feb!$B:$B,3001,Feb!$F:$F,1700)+COUNTIFS(Feb!$B:$B,3001,Feb!$J:$J,19)</f>
        <v>0</v>
      </c>
      <c r="D46" s="59">
        <f>COUNTIFS(Mar!$B:$B,3001,Mar!$J:$J,1700)+COUNTIFS(Mar!$B:$B,3001,Mar!$F:$F,1700)+COUNTIFS(Mar!$B:$B,3001,Mar!$J:$J,19)</f>
        <v>0</v>
      </c>
      <c r="E46" s="59">
        <f>COUNTIFS(Apr!$B:$B,3001,Apr!$J:$J,1700)+COUNTIFS(Apr!$B:$B,3001,Apr!$F:$F,1700)+COUNTIFS(Apr!$B:$B,3001,Apr!$J:$J,19)</f>
        <v>0</v>
      </c>
      <c r="F46" s="59">
        <f>COUNTIFS(May!$B:$B,3001,May!$J:$J,1700)+COUNTIFS(May!$B:$B,3001,May!$F:$F,1700)+COUNTIFS(May!$B:$B,3001,May!$J:$J,19)</f>
        <v>0</v>
      </c>
      <c r="G46" s="59">
        <f>COUNTIFS(Jun!$B:$B,3001,Jun!$J:$J,1700)+COUNTIFS(Jun!$B:$B,3001,Jun!$F:$F,1700)+COUNTIFS(Jun!$B:$B,3001,Jun!$J:$J,19)</f>
        <v>0</v>
      </c>
      <c r="H46" s="59">
        <f>COUNTIFS(Jul!$B:$B,3001,Jul!$J:$J,1700)+COUNTIFS(Jul!$B:$B,3001,Jul!$F:$F,1700)+COUNTIFS(Jul!$B:$B,3001,Jul!$J:$J,19)</f>
        <v>0</v>
      </c>
      <c r="I46" s="59">
        <f>COUNTIFS(Aug!$B:$B,3001,Aug!$J:$J,1700)+COUNTIFS(Aug!$B:$B,3001,Aug!$F:$F,1700)+COUNTIFS(Aug!$B:$B,3001,Aug!$J:$J,19)</f>
        <v>0</v>
      </c>
      <c r="J46" s="59">
        <f>COUNTIFS(Sep!$B:$B,3001,Sep!$J:$J,1700)+COUNTIFS(Sep!$B:$B,3001,Sep!$F:$F,1700)+COUNTIFS(Sep!$B:$B,3001,Sep!$J:$J,19)</f>
        <v>0</v>
      </c>
      <c r="K46" s="59">
        <f>COUNTIFS(Oct!$B:$B,3001,Oct!$J:$J,1700)+COUNTIFS(Oct!$B:$B,3001,Oct!$F:$F,1700)+COUNTIFS(Oct!$B:$B,3001,Oct!$J:$J,19)</f>
        <v>0</v>
      </c>
      <c r="L46" s="59">
        <v>1</v>
      </c>
      <c r="M46" s="59">
        <v>0</v>
      </c>
    </row>
    <row r="47" spans="1:13" s="8" customFormat="1" ht="11.25" customHeight="1">
      <c r="A47" s="10" t="s">
        <v>0</v>
      </c>
      <c r="B47" s="59">
        <f>COUNTIFS(Jan!$B:$B,3001,Jan!$J:$J,3)</f>
        <v>2</v>
      </c>
      <c r="C47" s="59">
        <v>4</v>
      </c>
      <c r="D47" s="59">
        <v>3</v>
      </c>
      <c r="E47" s="59">
        <v>1</v>
      </c>
      <c r="F47" s="59">
        <v>2</v>
      </c>
      <c r="G47" s="59">
        <v>1</v>
      </c>
      <c r="H47" s="59">
        <v>2</v>
      </c>
      <c r="I47" s="59">
        <v>5</v>
      </c>
      <c r="J47" s="59">
        <v>7</v>
      </c>
      <c r="K47" s="59">
        <v>2</v>
      </c>
      <c r="L47" s="59">
        <v>2</v>
      </c>
      <c r="M47" s="59">
        <v>2</v>
      </c>
    </row>
    <row r="48" spans="1:13" s="8" customFormat="1" ht="11.25" customHeight="1">
      <c r="A48" s="10" t="s">
        <v>35</v>
      </c>
      <c r="B48" s="59">
        <f>COUNTIFS(Jan!$B:$B,3001,Jan!$J:$J,7400)</f>
        <v>0</v>
      </c>
      <c r="C48" s="59">
        <f>COUNTIFS(Feb!$B:$B,3001,Feb!$J:$J,7400)</f>
        <v>0</v>
      </c>
      <c r="D48" s="59">
        <f>COUNTIFS(Mar!$B:$B,3001,Mar!$J:$J,7400)</f>
        <v>0</v>
      </c>
      <c r="E48" s="59">
        <f>COUNTIFS(Apr!$B:$B,3001,Apr!$J:$J,7400)</f>
        <v>0</v>
      </c>
      <c r="F48" s="59">
        <f>COUNTIFS(May!$B:$B,3001,May!$J:$J,7400)</f>
        <v>0</v>
      </c>
      <c r="G48" s="59">
        <f>COUNTIFS(Jun!$B:$B,3001,Jun!$J:$J,7400)</f>
        <v>0</v>
      </c>
      <c r="H48" s="59">
        <f>COUNTIFS(Jul!$B:$B,3001,Jul!$J:$J,7400)</f>
        <v>0</v>
      </c>
      <c r="I48" s="59">
        <f>COUNTIFS(Aug!$B:$B,3001,Aug!$J:$J,7400)</f>
        <v>0</v>
      </c>
      <c r="J48" s="59">
        <f>COUNTIFS(Sep!$B:$B,3001,Sep!$J:$J,7400)</f>
        <v>0</v>
      </c>
      <c r="K48" s="59">
        <f>COUNTIFS(Oct!$B:$B,3001,Oct!$J:$J,7400)</f>
        <v>0</v>
      </c>
      <c r="L48" s="59">
        <f>COUNTIFS(Nov!$B:$B,3001,Nov!$J:$J,7400)</f>
        <v>0</v>
      </c>
      <c r="M48" s="59">
        <v>0</v>
      </c>
    </row>
    <row r="49" spans="1:13" s="8" customFormat="1" ht="11.25" customHeight="1">
      <c r="A49" s="10" t="s">
        <v>2</v>
      </c>
      <c r="B49" s="59">
        <f>COUNTIFS(Jan!$B:$B,3001,Jan!$J:$J,14)</f>
        <v>0</v>
      </c>
      <c r="C49" s="59">
        <f>COUNTIFS(Feb!$B:$B,3001,Feb!$J:$J,14)</f>
        <v>0</v>
      </c>
      <c r="D49" s="59">
        <f>COUNTIFS(Mar!$B:$B,3001,Mar!$J:$J,14)</f>
        <v>0</v>
      </c>
      <c r="E49" s="59">
        <f>COUNTIFS(Apr!$B:$B,3001,Apr!$J:$J,14)</f>
        <v>0</v>
      </c>
      <c r="F49" s="59">
        <f>COUNTIFS(May!$B:$B,3001,May!$J:$J,14)</f>
        <v>0</v>
      </c>
      <c r="G49" s="59">
        <f>COUNTIFS(Jun!$B:$B,3001,Jun!$J:$J,14)</f>
        <v>0</v>
      </c>
      <c r="H49" s="59">
        <f>COUNTIFS(Jul!$B:$B,3001,Jul!$J:$J,14)</f>
        <v>0</v>
      </c>
      <c r="I49" s="59">
        <f>COUNTIFS(Aug!$B:$B,3001,Aug!$J:$J,14)</f>
        <v>0</v>
      </c>
      <c r="J49" s="59">
        <f>COUNTIFS(Sep!$B:$B,3001,Sep!$J:$J,14)</f>
        <v>0</v>
      </c>
      <c r="K49" s="59">
        <f>COUNTIFS(Oct!$B:$B,3001,Oct!$J:$J,14)</f>
        <v>0</v>
      </c>
      <c r="L49" s="59">
        <f>COUNTIFS(Nov!$B:$B,3001,Nov!$J:$J,14)</f>
        <v>0</v>
      </c>
      <c r="M49" s="59">
        <v>0</v>
      </c>
    </row>
    <row r="50" spans="1:13" s="8" customFormat="1" ht="11.25" customHeight="1">
      <c r="A50" s="10" t="s">
        <v>142</v>
      </c>
      <c r="B50" s="59">
        <f>COUNTIFS(Jan!$B:$B,3001,Jan!$F:$F,466)</f>
        <v>2</v>
      </c>
      <c r="C50" s="59">
        <v>1</v>
      </c>
      <c r="D50" s="59">
        <f>COUNTIFS(Mar!$B:$B,3001,Mar!$F:$F,466)</f>
        <v>0</v>
      </c>
      <c r="E50" s="59">
        <f>COUNTIFS(Apr!$B:$B,3001,Apr!$F:$F,466)</f>
        <v>0</v>
      </c>
      <c r="F50" s="59">
        <f>COUNTIFS(May!$B:$B,3001,May!$F:$F,466)</f>
        <v>0</v>
      </c>
      <c r="G50" s="59">
        <f>COUNTIFS(Jun!$B:$B,3001,Jun!$F:$F,466)</f>
        <v>0</v>
      </c>
      <c r="H50" s="59">
        <f>COUNTIFS(Jul!$B:$B,3001,Jul!$F:$F,466)</f>
        <v>0</v>
      </c>
      <c r="I50" s="59">
        <f>COUNTIFS(Aug!$B:$B,3001,Aug!$F:$F,466)</f>
        <v>0</v>
      </c>
      <c r="J50" s="59">
        <f>COUNTIFS(Sep!$B:$B,3001,Sep!$F:$F,466)</f>
        <v>0</v>
      </c>
      <c r="K50" s="59">
        <f>COUNTIFS(Oct!$B:$B,3001,Oct!$F:$F,466)</f>
        <v>0</v>
      </c>
      <c r="L50" s="59">
        <v>1</v>
      </c>
      <c r="M50" s="59">
        <v>0</v>
      </c>
    </row>
    <row r="51" spans="1:13" s="8" customFormat="1" ht="11.25" customHeight="1">
      <c r="A51" s="10" t="s">
        <v>27</v>
      </c>
      <c r="B51" s="59">
        <f>COUNTIFS(Jan!$B:$B,3001,Jan!$J:$J,25)</f>
        <v>0</v>
      </c>
      <c r="C51" s="59">
        <f>COUNTIFS(Feb!$B:$B,3001,Feb!$J:$J,25)</f>
        <v>0</v>
      </c>
      <c r="D51" s="59">
        <f>COUNTIFS(Mar!$B:$B,3001,Mar!$J:$J,25)</f>
        <v>0</v>
      </c>
      <c r="E51" s="59">
        <f>COUNTIFS(Apr!$B:$B,3001,Apr!$J:$J,25)</f>
        <v>0</v>
      </c>
      <c r="F51" s="59">
        <f>COUNTIFS(May!$B:$B,3001,May!$J:$J,25)</f>
        <v>0</v>
      </c>
      <c r="G51" s="59">
        <f>COUNTIFS(Jun!$B:$B,3001,Jun!$J:$J,25)</f>
        <v>0</v>
      </c>
      <c r="H51" s="59">
        <f>COUNTIFS(Jul!$B:$B,3001,Jul!$J:$J,25)</f>
        <v>0</v>
      </c>
      <c r="I51" s="59">
        <f>COUNTIFS(Aug!$B:$B,3001,Aug!$J:$J,25)</f>
        <v>0</v>
      </c>
      <c r="J51" s="59">
        <f>COUNTIFS(Sep!$B:$B,3001,Sep!$J:$J,25)</f>
        <v>0</v>
      </c>
      <c r="K51" s="59">
        <f>COUNTIFS(Oct!$B:$B,3001,Oct!$J:$J,25)</f>
        <v>0</v>
      </c>
      <c r="L51" s="59">
        <f>COUNTIFS(Nov!$B:$B,3001,Nov!$J:$J,25)</f>
        <v>0</v>
      </c>
      <c r="M51" s="59">
        <v>0</v>
      </c>
    </row>
    <row r="52" spans="1:13" s="8" customFormat="1" ht="11.25" customHeight="1" thickBot="1">
      <c r="A52" s="11" t="s">
        <v>16</v>
      </c>
      <c r="B52" s="60">
        <f>SUM(B34:B51)</f>
        <v>18</v>
      </c>
      <c r="C52" s="60">
        <f t="shared" ref="C52:M52" si="11">SUM(C34:C51)</f>
        <v>20</v>
      </c>
      <c r="D52" s="60">
        <f>SUM(D34:D51)</f>
        <v>26</v>
      </c>
      <c r="E52" s="60">
        <f>SUM(E34:E51)</f>
        <v>10</v>
      </c>
      <c r="F52" s="60">
        <f>SUM(F34:F51)</f>
        <v>19</v>
      </c>
      <c r="G52" s="60">
        <f>SUM(G34:G51)</f>
        <v>17</v>
      </c>
      <c r="H52" s="60">
        <f t="shared" si="11"/>
        <v>26</v>
      </c>
      <c r="I52" s="60">
        <f t="shared" si="11"/>
        <v>26</v>
      </c>
      <c r="J52" s="60">
        <f t="shared" si="11"/>
        <v>19</v>
      </c>
      <c r="K52" s="60">
        <f t="shared" si="11"/>
        <v>11</v>
      </c>
      <c r="L52" s="159">
        <f t="shared" si="11"/>
        <v>18</v>
      </c>
      <c r="M52" s="170">
        <f t="shared" si="11"/>
        <v>5</v>
      </c>
    </row>
    <row r="53" spans="1:13" ht="12" customHeight="1" thickBot="1">
      <c r="A53" s="55" t="s">
        <v>137</v>
      </c>
      <c r="B53" s="50">
        <v>41275</v>
      </c>
      <c r="C53" s="47">
        <v>41306</v>
      </c>
      <c r="D53" s="47">
        <v>41334</v>
      </c>
      <c r="E53" s="47">
        <v>41365</v>
      </c>
      <c r="F53" s="47">
        <v>41395</v>
      </c>
      <c r="G53" s="47">
        <v>41426</v>
      </c>
      <c r="H53" s="47">
        <v>41456</v>
      </c>
      <c r="I53" s="47">
        <v>41487</v>
      </c>
      <c r="J53" s="47">
        <v>41518</v>
      </c>
      <c r="K53" s="47">
        <v>41548</v>
      </c>
      <c r="L53" s="47">
        <v>41579</v>
      </c>
      <c r="M53" s="51">
        <v>41609</v>
      </c>
    </row>
    <row r="54" spans="1:13" s="8" customFormat="1" ht="11.25" customHeight="1">
      <c r="A54" s="10" t="s">
        <v>30</v>
      </c>
      <c r="B54" s="57">
        <f>COUNTIFS(Jan!$B:$B,3001,Jan!$J:$J,7)</f>
        <v>0</v>
      </c>
      <c r="C54" s="57">
        <f>COUNTIFS(Feb!$B:$B,3001,Feb!$J:$J,7)</f>
        <v>0</v>
      </c>
      <c r="D54" s="57">
        <f>COUNTIFS(Mar!$B:$B,3001,Mar!$J:$J,7)</f>
        <v>0</v>
      </c>
      <c r="E54" s="57">
        <f>COUNTIFS(Apr!$B:$B,3001,Apr!$J:$J,7)</f>
        <v>0</v>
      </c>
      <c r="F54" s="57">
        <f>COUNTIFS(May!$B:$B,3001,May!$J:$J,7)</f>
        <v>0</v>
      </c>
      <c r="G54" s="57">
        <f>COUNTIFS(Jun!$B:$B,3001,Jun!$J:$J,7)</f>
        <v>0</v>
      </c>
      <c r="H54" s="57">
        <f>COUNTIFS(Jul!$B:$B,3001,Jul!$J:$J,7)</f>
        <v>0</v>
      </c>
      <c r="I54" s="57">
        <f>COUNTIFS(Aug!$B:$B,3001,Aug!$J:$J,7)</f>
        <v>0</v>
      </c>
      <c r="J54" s="57">
        <f>COUNTIFS(Sep!$B:$B,3001,Sep!$J:$J,7)</f>
        <v>0</v>
      </c>
      <c r="K54" s="57">
        <f>COUNTIFS(Oct!$B:$B,3001,Oct!$J:$J,7)</f>
        <v>0</v>
      </c>
      <c r="L54" s="57">
        <f>COUNTIFS(Nov!$B:$B,3001,Nov!$J:$J,7)</f>
        <v>0</v>
      </c>
      <c r="M54" s="57">
        <v>0</v>
      </c>
    </row>
    <row r="55" spans="1:13" s="8" customFormat="1" ht="11.25" customHeight="1">
      <c r="A55" s="10" t="s">
        <v>29</v>
      </c>
      <c r="B55" s="59">
        <f>COUNTIFS(Jan!$B:$B,3001,Jan!$J:$J,8)</f>
        <v>0</v>
      </c>
      <c r="C55" s="59">
        <f>COUNTIFS(Feb!$B:$B,3001,Feb!$J:$J,8)</f>
        <v>0</v>
      </c>
      <c r="D55" s="59">
        <f>COUNTIFS(Mar!$B:$B,3001,Mar!$J:$J,8)</f>
        <v>0</v>
      </c>
      <c r="E55" s="59">
        <f>COUNTIFS(Apr!$B:$B,3001,Apr!$J:$J,8)</f>
        <v>0</v>
      </c>
      <c r="F55" s="59">
        <f>COUNTIFS(May!$B:$B,3001,May!$J:$J,8)</f>
        <v>0</v>
      </c>
      <c r="G55" s="59">
        <f>COUNTIFS(Jun!$B:$B,3001,Jun!$J:$J,8)</f>
        <v>0</v>
      </c>
      <c r="H55" s="59">
        <f>COUNTIFS(Jul!$B:$B,3001,Jul!$J:$J,8)</f>
        <v>0</v>
      </c>
      <c r="I55" s="59">
        <f>COUNTIFS(Aug!$B:$B,3001,Aug!$J:$J,8)</f>
        <v>0</v>
      </c>
      <c r="J55" s="59">
        <f>COUNTIFS(Sep!$B:$B,3001,Sep!$J:$J,8)</f>
        <v>0</v>
      </c>
      <c r="K55" s="59">
        <f>COUNTIFS(Oct!$B:$B,3001,Oct!$J:$J,8)</f>
        <v>0</v>
      </c>
      <c r="L55" s="59">
        <f>COUNTIFS(Nov!$B:$B,3001,Nov!$J:$J,8)</f>
        <v>0</v>
      </c>
      <c r="M55" s="59">
        <v>0</v>
      </c>
    </row>
    <row r="56" spans="1:13" s="8" customFormat="1" ht="11.25" customHeight="1">
      <c r="A56" s="10" t="s">
        <v>7</v>
      </c>
      <c r="B56" s="59">
        <f>COUNTIFS(Jan!$B:$B,3001,Jan!$J:$J,12)</f>
        <v>0</v>
      </c>
      <c r="C56" s="59">
        <f>COUNTIFS(Feb!$B:$B,3001,Feb!$J:$J,12)</f>
        <v>0</v>
      </c>
      <c r="D56" s="59">
        <f>COUNTIFS(Mar!$B:$B,3001,Mar!$J:$J,12)</f>
        <v>0</v>
      </c>
      <c r="E56" s="59">
        <f>COUNTIFS(Apr!$B:$B,3001,Apr!$J:$J,12)</f>
        <v>0</v>
      </c>
      <c r="F56" s="59">
        <f>COUNTIFS(May!$B:$B,3001,May!$J:$J,12)</f>
        <v>0</v>
      </c>
      <c r="G56" s="59">
        <f>COUNTIFS(Jun!$B:$B,3001,Jun!$J:$J,12)</f>
        <v>0</v>
      </c>
      <c r="H56" s="59">
        <f>COUNTIFS(Jul!$B:$B,3001,Jul!$J:$J,12)</f>
        <v>0</v>
      </c>
      <c r="I56" s="59">
        <f>COUNTIFS(Aug!$B:$B,3001,Aug!$J:$J,12)</f>
        <v>0</v>
      </c>
      <c r="J56" s="59">
        <f>COUNTIFS(Sep!$B:$B,3001,Sep!$J:$J,12)</f>
        <v>0</v>
      </c>
      <c r="K56" s="59">
        <f>COUNTIFS(Oct!$B:$B,3001,Oct!$J:$J,12)</f>
        <v>0</v>
      </c>
      <c r="L56" s="59">
        <f>COUNTIFS(Nov!$B:$B,3001,Nov!$J:$J,12)</f>
        <v>0</v>
      </c>
      <c r="M56" s="59">
        <v>0</v>
      </c>
    </row>
    <row r="57" spans="1:13" s="8" customFormat="1" ht="11.25" customHeight="1">
      <c r="A57" s="10" t="s">
        <v>10</v>
      </c>
      <c r="B57" s="59">
        <f>COUNTIFS(Jan!$B:$B,3001,Jan!$J:$J,5100)</f>
        <v>0</v>
      </c>
      <c r="C57" s="59">
        <f>COUNTIFS(Feb!$B:$B,3001,Feb!$J:$J,5100)</f>
        <v>0</v>
      </c>
      <c r="D57" s="59">
        <f>COUNTIFS(Mar!$B:$B,3001,Mar!$J:$J,5100)</f>
        <v>0</v>
      </c>
      <c r="E57" s="59">
        <f>COUNTIFS(Apr!$B:$B,3001,Apr!$J:$J,5100)</f>
        <v>0</v>
      </c>
      <c r="F57" s="59">
        <f>COUNTIFS(May!$B:$B,3001,May!$J:$J,5100)</f>
        <v>0</v>
      </c>
      <c r="G57" s="59">
        <f>COUNTIFS(Jun!$B:$B,3001,Jun!$J:$J,5100)</f>
        <v>0</v>
      </c>
      <c r="H57" s="59">
        <f>COUNTIFS(Jul!$B:$B,3001,Jul!$J:$J,5100)</f>
        <v>0</v>
      </c>
      <c r="I57" s="59">
        <f>COUNTIFS(Aug!$B:$B,3001,Aug!$J:$J,5100)</f>
        <v>0</v>
      </c>
      <c r="J57" s="59">
        <f>COUNTIFS(Sep!$B:$B,3001,Sep!$J:$J,5100)</f>
        <v>0</v>
      </c>
      <c r="K57" s="59">
        <f>COUNTIFS(Oct!$B:$B,3001,Oct!$J:$J,5100)</f>
        <v>0</v>
      </c>
      <c r="L57" s="59">
        <f>COUNTIFS(Nov!$B:$B,3001,Nov!$J:$J,5100)</f>
        <v>0</v>
      </c>
      <c r="M57" s="59">
        <v>0</v>
      </c>
    </row>
    <row r="58" spans="1:13" s="8" customFormat="1" ht="11.25" customHeight="1">
      <c r="A58" s="10" t="s">
        <v>36</v>
      </c>
      <c r="B58" s="59">
        <f>COUNTIFS(Jan!$B:$B,3001,Jan!$J:$J,6200)</f>
        <v>23</v>
      </c>
      <c r="C58" s="59">
        <v>21</v>
      </c>
      <c r="D58" s="59">
        <v>33</v>
      </c>
      <c r="E58" s="59">
        <v>16</v>
      </c>
      <c r="F58" s="59">
        <v>45</v>
      </c>
      <c r="G58" s="59">
        <v>39</v>
      </c>
      <c r="H58" s="59">
        <v>52</v>
      </c>
      <c r="I58" s="59">
        <v>38</v>
      </c>
      <c r="J58" s="59">
        <v>42</v>
      </c>
      <c r="K58" s="59">
        <v>17</v>
      </c>
      <c r="L58" s="59">
        <v>33</v>
      </c>
      <c r="M58" s="59">
        <v>17</v>
      </c>
    </row>
    <row r="59" spans="1:13" s="8" customFormat="1" ht="11.25" customHeight="1">
      <c r="A59" s="10" t="s">
        <v>145</v>
      </c>
      <c r="B59" s="59">
        <f>COUNTIFS(Jan!$B:$B,3001,Jan!$J:$J,28)</f>
        <v>0</v>
      </c>
      <c r="C59" s="59">
        <f>COUNTIFS(Feb!$B:$B,3001,Feb!$J:$J,28)</f>
        <v>0</v>
      </c>
      <c r="D59" s="59">
        <f>COUNTIFS(Mar!$B:$B,3001,Mar!$J:$J,28)</f>
        <v>0</v>
      </c>
      <c r="E59" s="59">
        <f>COUNTIFS(Apr!$B:$B,3001,Apr!$J:$J,28)</f>
        <v>0</v>
      </c>
      <c r="F59" s="59">
        <f>COUNTIFS(May!$B:$B,3001,May!$J:$J,28)</f>
        <v>0</v>
      </c>
      <c r="G59" s="59">
        <f>COUNTIFS(Jun!$B:$B,3001,Jun!$J:$J,28)</f>
        <v>0</v>
      </c>
      <c r="H59" s="59">
        <f>COUNTIFS(Jul!$B:$B,3001,Jul!$J:$J,28)</f>
        <v>0</v>
      </c>
      <c r="I59" s="59">
        <f>COUNTIFS(Aug!$B:$B,3001,Aug!$J:$J,28)</f>
        <v>0</v>
      </c>
      <c r="J59" s="59">
        <f>COUNTIFS(Sep!$B:$B,3001,Sep!$J:$J,28)</f>
        <v>0</v>
      </c>
      <c r="K59" s="59">
        <f>COUNTIFS(Oct!$B:$B,3001,Oct!$J:$J,28)</f>
        <v>0</v>
      </c>
      <c r="L59" s="59">
        <f>COUNTIFS(Nov!$B:$B,3001,Nov!$J:$J,28)</f>
        <v>0</v>
      </c>
      <c r="M59" s="59">
        <v>0</v>
      </c>
    </row>
    <row r="60" spans="1:13" s="8" customFormat="1" ht="11.25" customHeight="1">
      <c r="A60" s="10" t="s">
        <v>38</v>
      </c>
      <c r="B60" s="59">
        <f>COUNTIFS(Jan!$B:$B,3001,Jan!$J:$J,6100)</f>
        <v>0</v>
      </c>
      <c r="C60" s="59">
        <f>COUNTIFS(Feb!$B:$B,3001,Feb!$J:$J,6100)</f>
        <v>0</v>
      </c>
      <c r="D60" s="59">
        <f>COUNTIFS(Mar!$B:$B,3001,Mar!$J:$J,6100)</f>
        <v>0</v>
      </c>
      <c r="E60" s="59">
        <f>COUNTIFS(Apr!$B:$B,3001,Apr!$J:$J,6100)</f>
        <v>0</v>
      </c>
      <c r="F60" s="59">
        <f>COUNTIFS(May!$B:$B,3001,May!$J:$J,6100)</f>
        <v>0</v>
      </c>
      <c r="G60" s="59">
        <f>COUNTIFS(Jun!$B:$B,3001,Jun!$J:$J,6100)</f>
        <v>0</v>
      </c>
      <c r="H60" s="59">
        <f>COUNTIFS(Jul!$B:$B,3001,Jul!$J:$J,6100)</f>
        <v>0</v>
      </c>
      <c r="I60" s="59">
        <f>COUNTIFS(Aug!$B:$B,3001,Aug!$J:$J,6100)</f>
        <v>0</v>
      </c>
      <c r="J60" s="59">
        <f>COUNTIFS(Sep!$B:$B,3001,Sep!$J:$J,6100)</f>
        <v>0</v>
      </c>
      <c r="K60" s="59">
        <f>COUNTIFS(Oct!$B:$B,3001,Oct!$J:$J,6100)</f>
        <v>0</v>
      </c>
      <c r="L60" s="59">
        <f>COUNTIFS(Nov!$B:$B,3001,Nov!$J:$J,6100)</f>
        <v>0</v>
      </c>
      <c r="M60" s="59">
        <v>0</v>
      </c>
    </row>
    <row r="61" spans="1:13" s="8" customFormat="1" ht="11.25" customHeight="1">
      <c r="A61" s="10" t="s">
        <v>9</v>
      </c>
      <c r="B61" s="59">
        <f>COUNTIFS(Jan!$B:$B,3001,Jan!$J:$J,6)</f>
        <v>0</v>
      </c>
      <c r="C61" s="59">
        <f>COUNTIFS(Feb!$B:$B,3001,Feb!$J:$J,6)</f>
        <v>0</v>
      </c>
      <c r="D61" s="59">
        <f>COUNTIFS(Mar!$B:$B,3001,Mar!$J:$J,6)</f>
        <v>0</v>
      </c>
      <c r="E61" s="59">
        <f>COUNTIFS(Apr!$B:$B,3001,Apr!$J:$J,6)</f>
        <v>0</v>
      </c>
      <c r="F61" s="59">
        <f>COUNTIFS(May!$B:$B,3001,May!$J:$J,6)</f>
        <v>0</v>
      </c>
      <c r="G61" s="59">
        <f>COUNTIFS(Jun!$B:$B,3001,Jun!$J:$J,6)</f>
        <v>0</v>
      </c>
      <c r="H61" s="59">
        <f>COUNTIFS(Jul!$B:$B,3001,Jul!$J:$J,6)</f>
        <v>0</v>
      </c>
      <c r="I61" s="59">
        <f>COUNTIFS(Aug!$B:$B,3001,Aug!$J:$J,6)</f>
        <v>0</v>
      </c>
      <c r="J61" s="59">
        <f>COUNTIFS(Sep!$B:$B,3001,Sep!$J:$J,6)</f>
        <v>0</v>
      </c>
      <c r="K61" s="59">
        <f>COUNTIFS(Oct!$B:$B,3001,Oct!$J:$J,6)</f>
        <v>0</v>
      </c>
      <c r="L61" s="59">
        <f>COUNTIFS(Nov!$B:$B,3001,Nov!$J:$J,6)</f>
        <v>0</v>
      </c>
      <c r="M61" s="59">
        <v>0</v>
      </c>
    </row>
    <row r="62" spans="1:13" s="8" customFormat="1" ht="11.25" customHeight="1">
      <c r="A62" s="10" t="s">
        <v>8</v>
      </c>
      <c r="B62" s="59">
        <f>COUNTIFS(Jan!$B:$B,3001,Jan!$J:$J,4)</f>
        <v>0</v>
      </c>
      <c r="C62" s="59">
        <f>COUNTIFS(Feb!$B:$B,3001,Feb!$J:$J,4)</f>
        <v>0</v>
      </c>
      <c r="D62" s="59">
        <f>COUNTIFS(Mar!$B:$B,3001,Mar!$J:$J,4)</f>
        <v>0</v>
      </c>
      <c r="E62" s="59">
        <f>COUNTIFS(Apr!$B:$B,3001,Apr!$J:$J,4)</f>
        <v>0</v>
      </c>
      <c r="F62" s="59">
        <f>COUNTIFS(May!$B:$B,3001,May!$J:$J,4)</f>
        <v>0</v>
      </c>
      <c r="G62" s="59">
        <f>COUNTIFS(Jun!$B:$B,3001,Jun!$J:$J,4)</f>
        <v>0</v>
      </c>
      <c r="H62" s="59">
        <f>COUNTIFS(Jul!$B:$B,3001,Jul!$J:$J,4)</f>
        <v>0</v>
      </c>
      <c r="I62" s="59">
        <f>COUNTIFS(Aug!$B:$B,3001,Aug!$J:$J,4)</f>
        <v>0</v>
      </c>
      <c r="J62" s="59">
        <f>COUNTIFS(Sep!$B:$B,3001,Sep!$J:$J,4)</f>
        <v>0</v>
      </c>
      <c r="K62" s="59">
        <f>COUNTIFS(Oct!$B:$B,3001,Oct!$J:$J,4)</f>
        <v>0</v>
      </c>
      <c r="L62" s="59">
        <f>COUNTIFS(Nov!$B:$B,3001,Nov!$J:$J,4)</f>
        <v>0</v>
      </c>
      <c r="M62" s="59">
        <v>0</v>
      </c>
    </row>
    <row r="63" spans="1:13" s="8" customFormat="1" ht="11.25" customHeight="1">
      <c r="A63" s="10" t="s">
        <v>6</v>
      </c>
      <c r="B63" s="59">
        <f>COUNTIFS(Jan!$B:$B,3001,Jan!$J:$J,5)</f>
        <v>0</v>
      </c>
      <c r="C63" s="59">
        <f>COUNTIFS(Feb!$B:$B,3001,Feb!$J:$J,5)</f>
        <v>0</v>
      </c>
      <c r="D63" s="59">
        <f>COUNTIFS(Mar!$B:$B,3001,Mar!$J:$J,5)</f>
        <v>0</v>
      </c>
      <c r="E63" s="59">
        <f>COUNTIFS(Apr!$B:$B,3001,Apr!$J:$J,5)</f>
        <v>0</v>
      </c>
      <c r="F63" s="59">
        <f>COUNTIFS(May!$B:$B,3001,May!$J:$J,5)</f>
        <v>0</v>
      </c>
      <c r="G63" s="59">
        <f>COUNTIFS(Jun!$B:$B,3001,Jun!$J:$J,5)</f>
        <v>0</v>
      </c>
      <c r="H63" s="59">
        <f>COUNTIFS(Jul!$B:$B,3001,Jul!$J:$J,5)</f>
        <v>0</v>
      </c>
      <c r="I63" s="59">
        <f>COUNTIFS(Aug!$B:$B,3001,Aug!$J:$J,5)</f>
        <v>0</v>
      </c>
      <c r="J63" s="59">
        <f>COUNTIFS(Sep!$B:$B,3001,Sep!$J:$J,5)</f>
        <v>0</v>
      </c>
      <c r="K63" s="59">
        <f>COUNTIFS(Oct!$B:$B,3001,Oct!$J:$J,5)</f>
        <v>0</v>
      </c>
      <c r="L63" s="59">
        <f>COUNTIFS(Nov!$B:$B,3001,Nov!$J:$J,5)</f>
        <v>0</v>
      </c>
      <c r="M63" s="59">
        <v>0</v>
      </c>
    </row>
    <row r="64" spans="1:13" s="8" customFormat="1" ht="11.25" customHeight="1">
      <c r="A64" s="52" t="s">
        <v>141</v>
      </c>
      <c r="B64" s="69">
        <f>COUNTIFS(Jan!$B:$B,3001,Jan!$F:$F,456)</f>
        <v>0</v>
      </c>
      <c r="C64" s="69">
        <f>COUNTIFS(Feb!$B:$B,3001,Feb!$F:$F,456)</f>
        <v>0</v>
      </c>
      <c r="D64" s="69">
        <f>COUNTIFS(Mar!$B:$B,3001,Mar!$F:$F,456)</f>
        <v>0</v>
      </c>
      <c r="E64" s="69">
        <f>COUNTIFS(Apr!$B:$B,3001,Apr!$F:$F,456)</f>
        <v>0</v>
      </c>
      <c r="F64" s="69">
        <f>COUNTIFS(May!$B:$B,3001,May!$F:$F,456)</f>
        <v>0</v>
      </c>
      <c r="G64" s="69">
        <f>COUNTIFS(Jun!$B:$B,3001,Jun!$F:$F,456)</f>
        <v>0</v>
      </c>
      <c r="H64" s="69">
        <f>COUNTIFS(Jul!$B:$B,3001,Jul!$F:$F,456)</f>
        <v>0</v>
      </c>
      <c r="I64" s="69">
        <f>COUNTIFS(Aug!$B:$B,3001,Aug!$F:$F,456)</f>
        <v>0</v>
      </c>
      <c r="J64" s="69">
        <f>COUNTIFS(Sep!$B:$B,3001,Sep!$F:$F,456)</f>
        <v>0</v>
      </c>
      <c r="K64" s="69">
        <f>COUNTIFS(Oct!$B:$B,3001,Oct!$F:$F,456)</f>
        <v>0</v>
      </c>
      <c r="L64" s="69">
        <f>COUNTIFS(Nov!$B:$B,3001,Nov!$F:$F,456)</f>
        <v>0</v>
      </c>
      <c r="M64" s="69">
        <v>0</v>
      </c>
    </row>
    <row r="65" spans="1:13" s="8" customFormat="1" ht="11.25" customHeight="1" thickBot="1">
      <c r="A65" s="12" t="s">
        <v>16</v>
      </c>
      <c r="B65" s="70">
        <f>SUM(B54:B64)</f>
        <v>23</v>
      </c>
      <c r="C65" s="70">
        <f t="shared" ref="C65:M65" si="12">SUM(C54:C64)</f>
        <v>21</v>
      </c>
      <c r="D65" s="70">
        <f t="shared" si="12"/>
        <v>33</v>
      </c>
      <c r="E65" s="70">
        <f t="shared" si="12"/>
        <v>16</v>
      </c>
      <c r="F65" s="70">
        <f t="shared" si="12"/>
        <v>45</v>
      </c>
      <c r="G65" s="70">
        <f t="shared" si="12"/>
        <v>39</v>
      </c>
      <c r="H65" s="70">
        <f t="shared" si="12"/>
        <v>52</v>
      </c>
      <c r="I65" s="70">
        <f t="shared" si="12"/>
        <v>38</v>
      </c>
      <c r="J65" s="70">
        <f t="shared" si="12"/>
        <v>42</v>
      </c>
      <c r="K65" s="70">
        <f t="shared" si="12"/>
        <v>17</v>
      </c>
      <c r="L65" s="165">
        <f t="shared" si="12"/>
        <v>33</v>
      </c>
      <c r="M65" s="170">
        <f t="shared" si="12"/>
        <v>17</v>
      </c>
    </row>
    <row r="66" spans="1:13" s="8" customFormat="1" ht="15.75" customHeight="1">
      <c r="A66" s="6"/>
      <c r="B66" s="7"/>
      <c r="C66" s="7"/>
      <c r="D66" s="7"/>
      <c r="E66" s="7"/>
      <c r="F66" s="7"/>
      <c r="G66" s="7"/>
      <c r="H66" s="7"/>
      <c r="I66" s="7"/>
      <c r="J66" s="7"/>
      <c r="K66" s="7"/>
      <c r="L66" s="7"/>
      <c r="M66" s="7"/>
    </row>
    <row r="67" spans="1:13" ht="12" customHeight="1">
      <c r="A67" s="6"/>
      <c r="B67" s="7"/>
      <c r="C67" s="7"/>
      <c r="D67" s="7"/>
      <c r="E67" s="7"/>
      <c r="F67" s="7"/>
      <c r="G67" s="7"/>
      <c r="H67" s="7"/>
      <c r="I67" s="7"/>
      <c r="J67" s="7"/>
      <c r="K67" s="7"/>
      <c r="L67" s="7"/>
      <c r="M67" s="7"/>
    </row>
  </sheetData>
  <phoneticPr fontId="0" type="noConversion"/>
  <printOptions horizontalCentered="1" verticalCentered="1"/>
  <pageMargins left="0.14000000000000001" right="0.16" top="0.25" bottom="0.5" header="0.5" footer="0.25"/>
  <pageSetup scale="95" firstPageNumber="3" orientation="portrait" useFirstPageNumber="1" r:id="rId1"/>
  <headerFooter alignWithMargins="0">
    <oddFooter>&amp;R47 of 51</oddFooter>
  </headerFooter>
  <ignoredErrors>
    <ignoredError sqref="M32 M52 M65" formulaRange="1"/>
  </ignoredErrors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67"/>
  <sheetViews>
    <sheetView view="pageBreakPreview" topLeftCell="A16" zoomScale="90" zoomScaleNormal="100" zoomScaleSheetLayoutView="90" workbookViewId="0">
      <selection activeCell="M47" sqref="M47"/>
    </sheetView>
  </sheetViews>
  <sheetFormatPr defaultRowHeight="12.75"/>
  <cols>
    <col min="1" max="1" width="22.85546875" style="1" customWidth="1"/>
    <col min="2" max="13" width="7.140625" style="1" customWidth="1"/>
    <col min="14" max="14" width="4.42578125" style="1" customWidth="1"/>
    <col min="15" max="16384" width="9.140625" style="1"/>
  </cols>
  <sheetData>
    <row r="1" spans="1:21" ht="18" customHeight="1">
      <c r="A1" s="130"/>
      <c r="B1" s="131"/>
      <c r="C1" s="131"/>
      <c r="D1" s="131"/>
      <c r="E1" s="131"/>
      <c r="F1" s="131"/>
      <c r="G1" s="131"/>
      <c r="H1" s="130"/>
      <c r="I1" s="131"/>
      <c r="J1" s="131"/>
      <c r="K1" s="131"/>
      <c r="L1" s="130"/>
      <c r="M1" s="143" t="s">
        <v>22</v>
      </c>
    </row>
    <row r="2" spans="1:21" ht="18" customHeight="1">
      <c r="A2" s="130"/>
      <c r="B2" s="135"/>
      <c r="C2" s="135"/>
      <c r="D2" s="135"/>
      <c r="E2" s="135"/>
      <c r="F2" s="135"/>
      <c r="G2" s="135"/>
      <c r="H2" s="130"/>
      <c r="I2" s="135"/>
      <c r="J2" s="135"/>
      <c r="K2" s="135"/>
      <c r="L2" s="130"/>
      <c r="M2" s="155" t="s">
        <v>13</v>
      </c>
    </row>
    <row r="3" spans="1:21" s="5" customFormat="1" ht="18" customHeight="1">
      <c r="A3" s="133"/>
      <c r="B3" s="133"/>
      <c r="C3" s="133"/>
      <c r="D3" s="133"/>
      <c r="E3" s="133"/>
      <c r="F3" s="133"/>
      <c r="G3" s="133"/>
      <c r="H3" s="133"/>
      <c r="I3" s="133"/>
      <c r="J3" s="136"/>
      <c r="K3" s="136"/>
      <c r="L3" s="133"/>
      <c r="M3" s="155" t="s">
        <v>86</v>
      </c>
      <c r="N3" s="134"/>
      <c r="O3" s="134"/>
      <c r="P3" s="134"/>
      <c r="Q3" s="134"/>
      <c r="R3" s="134"/>
      <c r="S3" s="134"/>
      <c r="T3" s="134"/>
      <c r="U3" s="134"/>
    </row>
    <row r="4" spans="1:21" s="8" customFormat="1" ht="6.75" customHeight="1" thickBot="1">
      <c r="A4" s="38"/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</row>
    <row r="5" spans="1:21" s="8" customFormat="1" ht="11.25" customHeight="1" thickBot="1">
      <c r="A5" s="53" t="s">
        <v>19</v>
      </c>
      <c r="B5" s="50">
        <v>41275</v>
      </c>
      <c r="C5" s="47">
        <v>41306</v>
      </c>
      <c r="D5" s="47">
        <v>41334</v>
      </c>
      <c r="E5" s="47">
        <v>41365</v>
      </c>
      <c r="F5" s="47">
        <v>41395</v>
      </c>
      <c r="G5" s="47">
        <v>41426</v>
      </c>
      <c r="H5" s="47">
        <v>41456</v>
      </c>
      <c r="I5" s="47">
        <v>41487</v>
      </c>
      <c r="J5" s="47">
        <v>41518</v>
      </c>
      <c r="K5" s="47">
        <v>41548</v>
      </c>
      <c r="L5" s="47">
        <v>41579</v>
      </c>
      <c r="M5" s="51">
        <v>41609</v>
      </c>
    </row>
    <row r="6" spans="1:21" s="8" customFormat="1" ht="11.25" customHeight="1">
      <c r="A6" s="41" t="s">
        <v>129</v>
      </c>
      <c r="B6" s="57">
        <f t="shared" ref="B6:M6" si="0">B32</f>
        <v>31</v>
      </c>
      <c r="C6" s="57">
        <f t="shared" si="0"/>
        <v>27</v>
      </c>
      <c r="D6" s="57">
        <f t="shared" si="0"/>
        <v>18</v>
      </c>
      <c r="E6" s="57">
        <f t="shared" si="0"/>
        <v>12</v>
      </c>
      <c r="F6" s="57">
        <f t="shared" si="0"/>
        <v>22</v>
      </c>
      <c r="G6" s="57">
        <f t="shared" si="0"/>
        <v>28</v>
      </c>
      <c r="H6" s="57">
        <f t="shared" si="0"/>
        <v>54</v>
      </c>
      <c r="I6" s="57">
        <f t="shared" si="0"/>
        <v>60</v>
      </c>
      <c r="J6" s="57">
        <f t="shared" si="0"/>
        <v>62</v>
      </c>
      <c r="K6" s="57">
        <f t="shared" si="0"/>
        <v>50</v>
      </c>
      <c r="L6" s="156">
        <f t="shared" si="0"/>
        <v>73</v>
      </c>
      <c r="M6" s="168">
        <f t="shared" si="0"/>
        <v>59</v>
      </c>
    </row>
    <row r="7" spans="1:21" s="8" customFormat="1" ht="11.25" customHeight="1">
      <c r="A7" s="42" t="s">
        <v>18</v>
      </c>
      <c r="B7" s="57">
        <f t="shared" ref="B7:M7" si="1">SUM(B10:B12)</f>
        <v>74</v>
      </c>
      <c r="C7" s="57">
        <f t="shared" si="1"/>
        <v>87</v>
      </c>
      <c r="D7" s="57">
        <f t="shared" si="1"/>
        <v>71</v>
      </c>
      <c r="E7" s="57">
        <f t="shared" si="1"/>
        <v>72</v>
      </c>
      <c r="F7" s="57">
        <f t="shared" si="1"/>
        <v>72</v>
      </c>
      <c r="G7" s="57">
        <f t="shared" si="1"/>
        <v>67</v>
      </c>
      <c r="H7" s="57">
        <f t="shared" si="1"/>
        <v>51</v>
      </c>
      <c r="I7" s="57">
        <f t="shared" si="1"/>
        <v>70</v>
      </c>
      <c r="J7" s="57">
        <f t="shared" si="1"/>
        <v>61</v>
      </c>
      <c r="K7" s="57">
        <f t="shared" si="1"/>
        <v>57</v>
      </c>
      <c r="L7" s="156">
        <f t="shared" si="1"/>
        <v>75</v>
      </c>
      <c r="M7" s="171">
        <f t="shared" si="1"/>
        <v>75</v>
      </c>
    </row>
    <row r="8" spans="1:21" s="8" customFormat="1" ht="11.25" customHeight="1" thickBot="1">
      <c r="A8" s="43" t="s">
        <v>14</v>
      </c>
      <c r="B8" s="58">
        <f t="shared" ref="B8:M8" si="2">SUM(B6:B7)</f>
        <v>105</v>
      </c>
      <c r="C8" s="58">
        <f t="shared" si="2"/>
        <v>114</v>
      </c>
      <c r="D8" s="58">
        <f t="shared" si="2"/>
        <v>89</v>
      </c>
      <c r="E8" s="58">
        <f t="shared" si="2"/>
        <v>84</v>
      </c>
      <c r="F8" s="58">
        <f t="shared" si="2"/>
        <v>94</v>
      </c>
      <c r="G8" s="58">
        <f t="shared" si="2"/>
        <v>95</v>
      </c>
      <c r="H8" s="58">
        <f t="shared" si="2"/>
        <v>105</v>
      </c>
      <c r="I8" s="58">
        <f t="shared" si="2"/>
        <v>130</v>
      </c>
      <c r="J8" s="58">
        <f t="shared" si="2"/>
        <v>123</v>
      </c>
      <c r="K8" s="58">
        <f t="shared" si="2"/>
        <v>107</v>
      </c>
      <c r="L8" s="157">
        <f t="shared" si="2"/>
        <v>148</v>
      </c>
      <c r="M8" s="172">
        <f t="shared" si="2"/>
        <v>134</v>
      </c>
    </row>
    <row r="9" spans="1:21" s="8" customFormat="1" ht="11.25" customHeight="1" thickBot="1">
      <c r="A9" s="54" t="s">
        <v>18</v>
      </c>
      <c r="B9" s="50">
        <v>41275</v>
      </c>
      <c r="C9" s="47">
        <v>41306</v>
      </c>
      <c r="D9" s="47">
        <v>41334</v>
      </c>
      <c r="E9" s="47">
        <v>41365</v>
      </c>
      <c r="F9" s="47">
        <v>41395</v>
      </c>
      <c r="G9" s="47">
        <v>41426</v>
      </c>
      <c r="H9" s="47">
        <v>41456</v>
      </c>
      <c r="I9" s="47">
        <v>41487</v>
      </c>
      <c r="J9" s="47">
        <v>41518</v>
      </c>
      <c r="K9" s="47">
        <v>41548</v>
      </c>
      <c r="L9" s="47">
        <v>41579</v>
      </c>
      <c r="M9" s="51">
        <v>41609</v>
      </c>
    </row>
    <row r="10" spans="1:21" s="8" customFormat="1" ht="11.25" customHeight="1">
      <c r="A10" s="9" t="s">
        <v>128</v>
      </c>
      <c r="B10" s="57">
        <f t="shared" ref="B10:M10" si="3">B52</f>
        <v>22</v>
      </c>
      <c r="C10" s="57">
        <f t="shared" si="3"/>
        <v>27</v>
      </c>
      <c r="D10" s="57">
        <f t="shared" si="3"/>
        <v>20</v>
      </c>
      <c r="E10" s="57">
        <f t="shared" si="3"/>
        <v>18</v>
      </c>
      <c r="F10" s="57">
        <f t="shared" si="3"/>
        <v>15</v>
      </c>
      <c r="G10" s="59">
        <f t="shared" si="3"/>
        <v>16</v>
      </c>
      <c r="H10" s="59">
        <f t="shared" si="3"/>
        <v>12</v>
      </c>
      <c r="I10" s="59">
        <f t="shared" si="3"/>
        <v>20</v>
      </c>
      <c r="J10" s="59">
        <f t="shared" si="3"/>
        <v>9</v>
      </c>
      <c r="K10" s="59">
        <f t="shared" si="3"/>
        <v>7</v>
      </c>
      <c r="L10" s="158">
        <f t="shared" si="3"/>
        <v>14</v>
      </c>
      <c r="M10" s="168">
        <f t="shared" si="3"/>
        <v>13</v>
      </c>
    </row>
    <row r="11" spans="1:21" s="8" customFormat="1" ht="11.25" customHeight="1">
      <c r="A11" s="9" t="s">
        <v>127</v>
      </c>
      <c r="B11" s="59">
        <f t="shared" ref="B11:M11" si="4">B65</f>
        <v>20</v>
      </c>
      <c r="C11" s="59">
        <f t="shared" si="4"/>
        <v>19</v>
      </c>
      <c r="D11" s="59">
        <f t="shared" si="4"/>
        <v>18</v>
      </c>
      <c r="E11" s="59">
        <f t="shared" si="4"/>
        <v>15</v>
      </c>
      <c r="F11" s="59">
        <f t="shared" si="4"/>
        <v>27</v>
      </c>
      <c r="G11" s="59">
        <f t="shared" si="4"/>
        <v>22</v>
      </c>
      <c r="H11" s="59">
        <f t="shared" si="4"/>
        <v>24</v>
      </c>
      <c r="I11" s="59">
        <f t="shared" si="4"/>
        <v>20</v>
      </c>
      <c r="J11" s="59">
        <f t="shared" si="4"/>
        <v>38</v>
      </c>
      <c r="K11" s="59">
        <f t="shared" si="4"/>
        <v>43</v>
      </c>
      <c r="L11" s="158">
        <f t="shared" si="4"/>
        <v>51</v>
      </c>
      <c r="M11" s="169">
        <f t="shared" si="4"/>
        <v>54</v>
      </c>
    </row>
    <row r="12" spans="1:21" s="8" customFormat="1" ht="11.25" customHeight="1" thickBot="1">
      <c r="A12" s="2" t="s">
        <v>12</v>
      </c>
      <c r="B12" s="60">
        <f>COUNTIFS(Jan!$B:$B,3003,Jan!$F:$F,800)</f>
        <v>32</v>
      </c>
      <c r="C12" s="60">
        <v>41</v>
      </c>
      <c r="D12" s="60">
        <v>33</v>
      </c>
      <c r="E12" s="60">
        <v>39</v>
      </c>
      <c r="F12" s="60">
        <v>30</v>
      </c>
      <c r="G12" s="60">
        <v>29</v>
      </c>
      <c r="H12" s="60">
        <v>15</v>
      </c>
      <c r="I12" s="60">
        <v>30</v>
      </c>
      <c r="J12" s="60">
        <v>14</v>
      </c>
      <c r="K12" s="60">
        <v>7</v>
      </c>
      <c r="L12" s="60">
        <v>10</v>
      </c>
      <c r="M12" s="60">
        <v>8</v>
      </c>
    </row>
    <row r="13" spans="1:21" s="8" customFormat="1" ht="5.0999999999999996" customHeight="1" thickBot="1">
      <c r="A13" s="3"/>
      <c r="B13" s="17"/>
      <c r="C13" s="17"/>
      <c r="D13" s="17"/>
      <c r="E13" s="17"/>
      <c r="F13" s="17"/>
      <c r="G13" s="17"/>
      <c r="H13" s="17"/>
      <c r="I13" s="17"/>
      <c r="J13" s="17"/>
      <c r="K13" s="17"/>
      <c r="L13" s="17"/>
      <c r="M13" s="147"/>
    </row>
    <row r="14" spans="1:21" s="16" customFormat="1" ht="11.25" customHeight="1">
      <c r="A14" s="44" t="s">
        <v>131</v>
      </c>
      <c r="B14" s="120">
        <v>14233</v>
      </c>
      <c r="C14" s="120">
        <v>13385</v>
      </c>
      <c r="D14" s="120">
        <v>13732</v>
      </c>
      <c r="E14" s="120">
        <v>13610</v>
      </c>
      <c r="F14" s="120">
        <v>13624</v>
      </c>
      <c r="G14" s="120">
        <v>13260</v>
      </c>
      <c r="H14" s="119">
        <v>12781</v>
      </c>
      <c r="I14" s="61">
        <v>13142.32</v>
      </c>
      <c r="J14" s="61">
        <v>13154.73</v>
      </c>
      <c r="K14" s="118">
        <v>13282</v>
      </c>
      <c r="L14" s="160">
        <v>12823</v>
      </c>
      <c r="M14" s="173">
        <v>12619</v>
      </c>
      <c r="O14" s="22"/>
      <c r="P14" s="22"/>
      <c r="Q14" s="22"/>
    </row>
    <row r="15" spans="1:21" s="8" customFormat="1" ht="11.25" customHeight="1">
      <c r="A15" s="45" t="s">
        <v>132</v>
      </c>
      <c r="B15" s="62">
        <f>IFERROR((SUMIFS(Jan!$N:$N,Jan!$J:$J,1,Jan!$B:$B,3003)+SUMIFS(Jan!$N:$N,Jan!$D:$D,"&gt;1",Jan!$B:$B,3003))/(COUNTIFS(Jan!$J:$J,1,Jan!$B:$B,3003)+COUNTIFS(Jan!$D:$D,"&gt;1",Jan!$B:$B,3003)),"")</f>
        <v>19.424242424242426</v>
      </c>
      <c r="C15" s="62">
        <v>16.3</v>
      </c>
      <c r="D15" s="62">
        <v>16.55</v>
      </c>
      <c r="E15" s="62">
        <v>18.739999999999998</v>
      </c>
      <c r="F15" s="62">
        <v>15.87</v>
      </c>
      <c r="G15" s="62">
        <v>16.16</v>
      </c>
      <c r="H15" s="62">
        <v>14.13</v>
      </c>
      <c r="I15" s="62">
        <v>17.05</v>
      </c>
      <c r="J15" s="62">
        <v>15.46</v>
      </c>
      <c r="K15" s="62">
        <v>13.65</v>
      </c>
      <c r="L15" s="62">
        <v>16.93</v>
      </c>
      <c r="M15" s="62">
        <v>14.21</v>
      </c>
      <c r="N15" s="15"/>
      <c r="O15" s="1"/>
      <c r="P15" s="1"/>
      <c r="Q15" s="1"/>
    </row>
    <row r="16" spans="1:21" s="8" customFormat="1" ht="11.25" customHeight="1">
      <c r="A16" s="45" t="s">
        <v>133</v>
      </c>
      <c r="B16" s="62">
        <f>IFERROR(AVERAGEIFS(Jan!$N:$N,Jan!$F:$F,800,Jan!$B:$B,3003),"")</f>
        <v>19.5</v>
      </c>
      <c r="C16" s="62">
        <v>20.75</v>
      </c>
      <c r="D16" s="62">
        <v>21.44</v>
      </c>
      <c r="E16" s="62">
        <v>21.1</v>
      </c>
      <c r="F16" s="62">
        <v>21.32</v>
      </c>
      <c r="G16" s="62">
        <v>21.66</v>
      </c>
      <c r="H16" s="62">
        <v>19.12</v>
      </c>
      <c r="I16" s="62">
        <v>21.9</v>
      </c>
      <c r="J16" s="62">
        <v>19.93</v>
      </c>
      <c r="K16" s="62">
        <v>21.71</v>
      </c>
      <c r="L16" s="62">
        <v>21.82</v>
      </c>
      <c r="M16" s="62">
        <v>21.38</v>
      </c>
      <c r="O16" s="1"/>
      <c r="P16" s="1"/>
      <c r="Q16" s="1"/>
    </row>
    <row r="17" spans="1:17" s="8" customFormat="1" ht="11.25" customHeight="1">
      <c r="A17" s="45" t="s">
        <v>134</v>
      </c>
      <c r="B17" s="63">
        <f>IFERROR((SUMIFS(Jan!$M:$M,Jan!$J:$J,1,Jan!$B:$B,3003)+SUMIFS(Jan!$M:$M,Jan!$D:$D,"&gt;1",Jan!$B:$B,3003))/(COUNTIFS(Jan!$J:$J,1,Jan!$B:$B,3003)+COUNTIFS(Jan!$D:$D,"&gt;1",Jan!$B:$B,3003)),"")</f>
        <v>29.990909090909089</v>
      </c>
      <c r="C17" s="63">
        <v>24.3</v>
      </c>
      <c r="D17" s="63">
        <v>21.75</v>
      </c>
      <c r="E17" s="63">
        <v>20.02</v>
      </c>
      <c r="F17" s="63">
        <v>20.25</v>
      </c>
      <c r="G17" s="63">
        <v>23.33</v>
      </c>
      <c r="H17" s="63">
        <v>22.58</v>
      </c>
      <c r="I17" s="63">
        <v>26.77</v>
      </c>
      <c r="J17" s="63">
        <v>23.67</v>
      </c>
      <c r="K17" s="63">
        <v>27.12</v>
      </c>
      <c r="L17" s="63">
        <v>27.93</v>
      </c>
      <c r="M17" s="63">
        <v>27.51</v>
      </c>
      <c r="O17" s="1"/>
      <c r="P17" s="1"/>
      <c r="Q17" s="1"/>
    </row>
    <row r="18" spans="1:17" s="8" customFormat="1" ht="11.25" customHeight="1" thickBot="1">
      <c r="A18" s="43" t="s">
        <v>135</v>
      </c>
      <c r="B18" s="64">
        <f>IFERROR(AVERAGEIFS(Jan!$M:$M,Jan!$F:$F,800,Jan!$B:$B,3003),"")</f>
        <v>30.015624999999993</v>
      </c>
      <c r="C18" s="64">
        <v>26.92</v>
      </c>
      <c r="D18" s="64">
        <v>21.68</v>
      </c>
      <c r="E18" s="64">
        <v>18.23</v>
      </c>
      <c r="F18" s="64">
        <v>19.21</v>
      </c>
      <c r="G18" s="64">
        <v>21.19</v>
      </c>
      <c r="H18" s="64">
        <v>22.29</v>
      </c>
      <c r="I18" s="64">
        <v>23.56</v>
      </c>
      <c r="J18" s="64">
        <v>14.91</v>
      </c>
      <c r="K18" s="64">
        <v>0.79</v>
      </c>
      <c r="L18" s="64">
        <v>21.05</v>
      </c>
      <c r="M18" s="64">
        <v>31.59</v>
      </c>
    </row>
    <row r="19" spans="1:17" s="8" customFormat="1" ht="5.0999999999999996" customHeight="1" thickBot="1">
      <c r="A19" s="3"/>
      <c r="B19" s="17"/>
      <c r="C19" s="17"/>
      <c r="D19" s="17"/>
      <c r="E19" s="17"/>
      <c r="F19" s="17"/>
      <c r="G19" s="17"/>
      <c r="H19" s="17"/>
      <c r="I19" s="17"/>
      <c r="J19" s="17"/>
      <c r="K19" s="17"/>
      <c r="L19" s="17"/>
      <c r="M19" s="147"/>
    </row>
    <row r="20" spans="1:17" s="8" customFormat="1" ht="11.25" customHeight="1">
      <c r="A20" s="42" t="s">
        <v>52</v>
      </c>
      <c r="B20" s="65">
        <v>31</v>
      </c>
      <c r="C20" s="65">
        <v>28</v>
      </c>
      <c r="D20" s="65">
        <v>31</v>
      </c>
      <c r="E20" s="65">
        <v>30</v>
      </c>
      <c r="F20" s="65">
        <v>31</v>
      </c>
      <c r="G20" s="65">
        <v>30</v>
      </c>
      <c r="H20" s="65">
        <v>31</v>
      </c>
      <c r="I20" s="65">
        <v>31</v>
      </c>
      <c r="J20" s="65">
        <v>30</v>
      </c>
      <c r="K20" s="65">
        <v>31</v>
      </c>
      <c r="L20" s="161">
        <v>30</v>
      </c>
      <c r="M20" s="174">
        <v>31</v>
      </c>
    </row>
    <row r="21" spans="1:17" s="8" customFormat="1" ht="11.25" customHeight="1">
      <c r="A21" s="9" t="s">
        <v>15</v>
      </c>
      <c r="B21" s="66">
        <f>B12/B20</f>
        <v>1.032258064516129</v>
      </c>
      <c r="C21" s="66">
        <f t="shared" ref="C21:M21" si="5">C12/C20</f>
        <v>1.4642857142857142</v>
      </c>
      <c r="D21" s="66">
        <f>D12/D20</f>
        <v>1.064516129032258</v>
      </c>
      <c r="E21" s="66">
        <f>E12/E20</f>
        <v>1.3</v>
      </c>
      <c r="F21" s="66">
        <f>F12/F20</f>
        <v>0.967741935483871</v>
      </c>
      <c r="G21" s="66">
        <f>G12/G20</f>
        <v>0.96666666666666667</v>
      </c>
      <c r="H21" s="66">
        <f t="shared" si="5"/>
        <v>0.4838709677419355</v>
      </c>
      <c r="I21" s="66">
        <f t="shared" si="5"/>
        <v>0.967741935483871</v>
      </c>
      <c r="J21" s="66">
        <f t="shared" si="5"/>
        <v>0.46666666666666667</v>
      </c>
      <c r="K21" s="66">
        <f t="shared" si="5"/>
        <v>0.22580645161290322</v>
      </c>
      <c r="L21" s="162">
        <f t="shared" si="5"/>
        <v>0.33333333333333331</v>
      </c>
      <c r="M21" s="175">
        <f t="shared" si="5"/>
        <v>0.25806451612903225</v>
      </c>
    </row>
    <row r="22" spans="1:17" s="8" customFormat="1" ht="11.25" customHeight="1">
      <c r="A22" s="9" t="s">
        <v>130</v>
      </c>
      <c r="B22" s="67">
        <f t="shared" ref="B22:G22" si="6">IFERROR(B12/B7,0)</f>
        <v>0.43243243243243246</v>
      </c>
      <c r="C22" s="67">
        <f t="shared" si="6"/>
        <v>0.47126436781609193</v>
      </c>
      <c r="D22" s="67">
        <f t="shared" si="6"/>
        <v>0.46478873239436619</v>
      </c>
      <c r="E22" s="67">
        <f t="shared" si="6"/>
        <v>0.54166666666666663</v>
      </c>
      <c r="F22" s="67">
        <f t="shared" si="6"/>
        <v>0.41666666666666669</v>
      </c>
      <c r="G22" s="67">
        <f t="shared" si="6"/>
        <v>0.43283582089552236</v>
      </c>
      <c r="H22" s="67">
        <f t="shared" ref="H22:M22" si="7">IFERROR(H12/H7,0)</f>
        <v>0.29411764705882354</v>
      </c>
      <c r="I22" s="67">
        <f t="shared" si="7"/>
        <v>0.42857142857142855</v>
      </c>
      <c r="J22" s="67">
        <f t="shared" si="7"/>
        <v>0.22950819672131148</v>
      </c>
      <c r="K22" s="116">
        <f t="shared" si="7"/>
        <v>0.12280701754385964</v>
      </c>
      <c r="L22" s="67">
        <f t="shared" si="7"/>
        <v>0.13333333333333333</v>
      </c>
      <c r="M22" s="176">
        <f t="shared" si="7"/>
        <v>0.10666666666666667</v>
      </c>
      <c r="N22" s="1"/>
    </row>
    <row r="23" spans="1:17" s="8" customFormat="1" ht="11.25" customHeight="1" thickBot="1">
      <c r="A23" s="9" t="s">
        <v>53</v>
      </c>
      <c r="B23" s="67">
        <f t="shared" ref="B23:G23" si="8">IFERROR(B12/(B11+B12),0)</f>
        <v>0.61538461538461542</v>
      </c>
      <c r="C23" s="67">
        <f t="shared" si="8"/>
        <v>0.68333333333333335</v>
      </c>
      <c r="D23" s="67">
        <f t="shared" si="8"/>
        <v>0.6470588235294118</v>
      </c>
      <c r="E23" s="67">
        <f t="shared" si="8"/>
        <v>0.72222222222222221</v>
      </c>
      <c r="F23" s="67">
        <f t="shared" si="8"/>
        <v>0.52631578947368418</v>
      </c>
      <c r="G23" s="67">
        <f t="shared" si="8"/>
        <v>0.56862745098039214</v>
      </c>
      <c r="H23" s="67">
        <f t="shared" ref="H23:M23" si="9">IFERROR(H12/(H11+H12),0)</f>
        <v>0.38461538461538464</v>
      </c>
      <c r="I23" s="67">
        <f t="shared" si="9"/>
        <v>0.6</v>
      </c>
      <c r="J23" s="67">
        <f t="shared" si="9"/>
        <v>0.26923076923076922</v>
      </c>
      <c r="K23" s="117">
        <f t="shared" si="9"/>
        <v>0.14000000000000001</v>
      </c>
      <c r="L23" s="163">
        <f t="shared" si="9"/>
        <v>0.16393442622950818</v>
      </c>
      <c r="M23" s="177">
        <f t="shared" si="9"/>
        <v>0.12903225806451613</v>
      </c>
      <c r="N23" s="4"/>
    </row>
    <row r="24" spans="1:17" s="8" customFormat="1" ht="11.25" customHeight="1" thickBot="1">
      <c r="A24" s="56" t="s">
        <v>21</v>
      </c>
      <c r="B24" s="50">
        <v>41275</v>
      </c>
      <c r="C24" s="47">
        <v>41306</v>
      </c>
      <c r="D24" s="47">
        <v>41334</v>
      </c>
      <c r="E24" s="47">
        <v>41365</v>
      </c>
      <c r="F24" s="47">
        <v>41395</v>
      </c>
      <c r="G24" s="47">
        <v>41426</v>
      </c>
      <c r="H24" s="47">
        <v>41456</v>
      </c>
      <c r="I24" s="47">
        <v>41487</v>
      </c>
      <c r="J24" s="47">
        <v>41518</v>
      </c>
      <c r="K24" s="47">
        <v>41548</v>
      </c>
      <c r="L24" s="47">
        <v>41579</v>
      </c>
      <c r="M24" s="51">
        <v>41609</v>
      </c>
    </row>
    <row r="25" spans="1:17" s="8" customFormat="1" ht="11.25" customHeight="1">
      <c r="A25" s="18" t="s">
        <v>5</v>
      </c>
      <c r="B25" s="68">
        <f>COUNTIFS(Jan!$B:$B,3003,Jan!$J:$J,18)</f>
        <v>16</v>
      </c>
      <c r="C25" s="68">
        <v>9</v>
      </c>
      <c r="D25" s="68">
        <v>11</v>
      </c>
      <c r="E25" s="68">
        <v>6</v>
      </c>
      <c r="F25" s="68">
        <v>6</v>
      </c>
      <c r="G25" s="68">
        <v>9</v>
      </c>
      <c r="H25" s="68">
        <v>18</v>
      </c>
      <c r="I25" s="68">
        <v>6</v>
      </c>
      <c r="J25" s="68">
        <v>13</v>
      </c>
      <c r="K25" s="68">
        <v>5</v>
      </c>
      <c r="L25" s="68">
        <v>23</v>
      </c>
      <c r="M25" s="68">
        <v>15</v>
      </c>
    </row>
    <row r="26" spans="1:17" s="8" customFormat="1" ht="11.25" customHeight="1">
      <c r="A26" s="46" t="s">
        <v>40</v>
      </c>
      <c r="B26" s="57">
        <f>COUNTIFS(Jan!$B:$B,3003,Jan!$J:$J,41)</f>
        <v>0</v>
      </c>
      <c r="C26" s="57">
        <f>COUNTIFS(Feb!$B:$B,3003,Feb!$J:$J,41)</f>
        <v>0</v>
      </c>
      <c r="D26" s="57">
        <f>COUNTIFS(Mar!$B:$B,3003,Mar!$J:$J,41)</f>
        <v>0</v>
      </c>
      <c r="E26" s="57">
        <f>COUNTIFS(Apr!$B:$B,3003,Apr!$J:$J,41)</f>
        <v>0</v>
      </c>
      <c r="F26" s="57">
        <f>COUNTIFS(May!$B:$B,3003,May!$J:$J,41)</f>
        <v>0</v>
      </c>
      <c r="G26" s="57">
        <f>COUNTIFS(Jun!$B:$B,3003,Jun!$J:$J,41)</f>
        <v>0</v>
      </c>
      <c r="H26" s="57">
        <f>COUNTIFS(Jul!$B:$B,3003,Jul!$J:$J,41)</f>
        <v>0</v>
      </c>
      <c r="I26" s="57">
        <f>COUNTIFS(Aug!$B:$B,3003,Aug!$J:$J,41)</f>
        <v>0</v>
      </c>
      <c r="J26" s="57">
        <f>COUNTIFS(Sep!$B:$B,3003,Sep!$J:$J,41)</f>
        <v>0</v>
      </c>
      <c r="K26" s="57">
        <f>COUNTIFS(Oct!$B:$B,3003,Oct!$J:$J,41)</f>
        <v>0</v>
      </c>
      <c r="L26" s="57">
        <f>COUNTIFS(Nov!$B:$B,3003,Nov!$J:$J,41)</f>
        <v>0</v>
      </c>
      <c r="M26" s="57">
        <v>0</v>
      </c>
    </row>
    <row r="27" spans="1:17" s="8" customFormat="1" ht="11.25" customHeight="1">
      <c r="A27" s="9" t="s">
        <v>11</v>
      </c>
      <c r="B27" s="179">
        <f>COUNTIFS(Jan!$B:$B,3003,Jan!$J:$J,17)</f>
        <v>15</v>
      </c>
      <c r="C27" s="206">
        <v>18</v>
      </c>
      <c r="D27" s="206">
        <v>7</v>
      </c>
      <c r="E27" s="206">
        <v>6</v>
      </c>
      <c r="F27" s="206">
        <v>16</v>
      </c>
      <c r="G27" s="206">
        <v>19</v>
      </c>
      <c r="H27" s="206">
        <v>36</v>
      </c>
      <c r="I27" s="206">
        <v>23</v>
      </c>
      <c r="J27" s="206">
        <v>15</v>
      </c>
      <c r="K27" s="206">
        <v>15</v>
      </c>
      <c r="L27" s="206">
        <v>18</v>
      </c>
      <c r="M27" s="206">
        <v>15</v>
      </c>
    </row>
    <row r="28" spans="1:17" s="8" customFormat="1" ht="11.25" customHeight="1">
      <c r="A28" s="9" t="s">
        <v>143</v>
      </c>
      <c r="B28" s="59">
        <f>COUNTIFS(Jan!$B:$B,3003,Jan!$F:$F,455)</f>
        <v>0</v>
      </c>
      <c r="C28" s="59">
        <f>COUNTIFS(Feb!$B:$B,3003,Feb!$F:$F,455)</f>
        <v>0</v>
      </c>
      <c r="D28" s="59">
        <f>COUNTIFS(Mar!$B:$B,3003,Mar!$F:$F,455)</f>
        <v>0</v>
      </c>
      <c r="E28" s="59">
        <f>COUNTIFS(Apr!$B:$B,3003,Apr!$F:$F,455)</f>
        <v>0</v>
      </c>
      <c r="F28" s="59">
        <f>COUNTIFS(May!$B:$B,3003,May!$F:$F,455)</f>
        <v>0</v>
      </c>
      <c r="G28" s="59">
        <f>COUNTIFS(Jun!$B:$B,3003,Jun!$F:$F,455)</f>
        <v>0</v>
      </c>
      <c r="H28" s="59">
        <f>COUNTIFS(Jul!$B:$B,3003,Jul!$F:$F,455)</f>
        <v>0</v>
      </c>
      <c r="I28" s="59">
        <f>COUNTIFS(Aug!$B:$B,3003,Aug!$F:$F,455)</f>
        <v>0</v>
      </c>
      <c r="J28" s="59">
        <f>COUNTIFS(Sep!$B:$B,3003,Sep!$F:$F,455)</f>
        <v>0</v>
      </c>
      <c r="K28" s="59">
        <f>COUNTIFS(Oct!$B:$B,3003,Oct!$F:$F,455)</f>
        <v>0</v>
      </c>
      <c r="L28" s="59">
        <f>COUNTIFS(Nov!$B:$B,3003,Nov!$F:$F,455)</f>
        <v>0</v>
      </c>
      <c r="M28" s="59">
        <v>0</v>
      </c>
    </row>
    <row r="29" spans="1:17" s="8" customFormat="1" ht="11.25" customHeight="1">
      <c r="A29" s="9" t="s">
        <v>23</v>
      </c>
      <c r="B29" s="59">
        <f>COUNTIFS(Jan!$B:$B,3003,Jan!$J:$J,31)</f>
        <v>0</v>
      </c>
      <c r="C29" s="59">
        <f>COUNTIFS(Feb!$B:$B,3003,Feb!$J:$J,31)</f>
        <v>0</v>
      </c>
      <c r="D29" s="59">
        <f>COUNTIFS(Mar!$B:$B,3003,Mar!$J:$J,31)</f>
        <v>0</v>
      </c>
      <c r="E29" s="59">
        <f>COUNTIFS(Apr!$B:$B,3003,Apr!$J:$J,31)</f>
        <v>0</v>
      </c>
      <c r="F29" s="59">
        <f>COUNTIFS(May!$B:$B,3003,May!$J:$J,31)</f>
        <v>0</v>
      </c>
      <c r="G29" s="59">
        <f>COUNTIFS(Jun!$B:$B,3003,Jun!$J:$J,31)</f>
        <v>0</v>
      </c>
      <c r="H29" s="59">
        <f>COUNTIFS(Jul!$B:$B,3003,Jul!$J:$J,31)</f>
        <v>0</v>
      </c>
      <c r="I29" s="59">
        <v>31</v>
      </c>
      <c r="J29" s="59">
        <v>34</v>
      </c>
      <c r="K29" s="59">
        <v>30</v>
      </c>
      <c r="L29" s="59">
        <v>32</v>
      </c>
      <c r="M29" s="59">
        <v>29</v>
      </c>
    </row>
    <row r="30" spans="1:17" s="8" customFormat="1" ht="11.25" customHeight="1">
      <c r="A30" s="9" t="s">
        <v>37</v>
      </c>
      <c r="B30" s="59">
        <f>COUNTIFS(Jan!$B:$B,3003,Jan!$J:$J,4400)</f>
        <v>0</v>
      </c>
      <c r="C30" s="59">
        <f>COUNTIFS(Feb!$B:$B,3003,Feb!$J:$J,4400)</f>
        <v>0</v>
      </c>
      <c r="D30" s="59">
        <f>COUNTIFS(Mar!$B:$B,3003,Mar!$J:$J,4400)</f>
        <v>0</v>
      </c>
      <c r="E30" s="59">
        <f>COUNTIFS(Apr!$B:$B,3003,Apr!$J:$J,4400)</f>
        <v>0</v>
      </c>
      <c r="F30" s="59">
        <f>COUNTIFS(May!$B:$B,3003,May!$J:$J,4400)</f>
        <v>0</v>
      </c>
      <c r="G30" s="59">
        <f>COUNTIFS(Jun!$B:$B,3003,Jun!$J:$J,4400)</f>
        <v>0</v>
      </c>
      <c r="H30" s="59">
        <f>COUNTIFS(Jul!$B:$B,3003,Jul!$J:$J,4400)</f>
        <v>0</v>
      </c>
      <c r="I30" s="59">
        <f>COUNTIFS(Aug!$B:$B,3003,Aug!$J:$J,4400)</f>
        <v>0</v>
      </c>
      <c r="J30" s="59">
        <f>COUNTIFS(Sep!$B:$B,3003,Sep!$J:$J,4400)</f>
        <v>0</v>
      </c>
      <c r="K30" s="59">
        <f>COUNTIFS(Oct!$B:$B,3003,Oct!$J:$J,4400)</f>
        <v>0</v>
      </c>
      <c r="L30" s="59">
        <f>COUNTIFS(Nov!$B:$B,3003,Nov!$J:$J,4400)</f>
        <v>0</v>
      </c>
      <c r="M30" s="59">
        <v>0</v>
      </c>
    </row>
    <row r="31" spans="1:17" s="8" customFormat="1" ht="11.25" customHeight="1">
      <c r="A31" s="10" t="s">
        <v>24</v>
      </c>
      <c r="B31" s="59">
        <f>COUNTIFS(Jan!$B:$B,3003,Jan!$J:$J,30)</f>
        <v>0</v>
      </c>
      <c r="C31" s="59">
        <f>COUNTIFS(Feb!$B:$B,3003,Feb!$J:$J,30)</f>
        <v>0</v>
      </c>
      <c r="D31" s="59">
        <f>COUNTIFS(Mar!$B:$B,3003,Mar!$J:$J,30)</f>
        <v>0</v>
      </c>
      <c r="E31" s="59">
        <f>COUNTIFS(Apr!$B:$B,3003,Apr!$J:$J,30)</f>
        <v>0</v>
      </c>
      <c r="F31" s="59">
        <f>COUNTIFS(May!$B:$B,3003,May!$J:$J,30)</f>
        <v>0</v>
      </c>
      <c r="G31" s="59">
        <f>COUNTIFS(Jun!$B:$B,3003,Jun!$J:$J,30)</f>
        <v>0</v>
      </c>
      <c r="H31" s="59">
        <f>COUNTIFS(Jul!$B:$B,3003,Jul!$J:$J,30)</f>
        <v>0</v>
      </c>
      <c r="I31" s="59">
        <f>COUNTIFS(Aug!$B:$B,3003,Aug!$J:$J,30)</f>
        <v>0</v>
      </c>
      <c r="J31" s="59">
        <f>COUNTIFS(Sep!$B:$B,3003,Sep!$J:$J,30)</f>
        <v>0</v>
      </c>
      <c r="K31" s="59">
        <f>COUNTIFS(Oct!$B:$B,3003,Oct!$J:$J,30)</f>
        <v>0</v>
      </c>
      <c r="L31" s="59">
        <f>COUNTIFS(Nov!$B:$B,3003,Nov!$J:$J,30)</f>
        <v>0</v>
      </c>
      <c r="M31" s="59">
        <v>0</v>
      </c>
    </row>
    <row r="32" spans="1:17" s="14" customFormat="1" ht="11.25" customHeight="1" thickBot="1">
      <c r="A32" s="2" t="s">
        <v>140</v>
      </c>
      <c r="B32" s="60">
        <f>SUM(B25:B31)</f>
        <v>31</v>
      </c>
      <c r="C32" s="60">
        <f t="shared" ref="C32:M32" si="10">SUM(C25:C31)</f>
        <v>27</v>
      </c>
      <c r="D32" s="60">
        <f>SUM(D25:D31)</f>
        <v>18</v>
      </c>
      <c r="E32" s="60">
        <f>SUM(E25:E31)</f>
        <v>12</v>
      </c>
      <c r="F32" s="60">
        <f>SUM(F25:F31)</f>
        <v>22</v>
      </c>
      <c r="G32" s="60">
        <f>SUM(G25:G31)</f>
        <v>28</v>
      </c>
      <c r="H32" s="60">
        <f t="shared" si="10"/>
        <v>54</v>
      </c>
      <c r="I32" s="60">
        <f t="shared" si="10"/>
        <v>60</v>
      </c>
      <c r="J32" s="60">
        <f t="shared" si="10"/>
        <v>62</v>
      </c>
      <c r="K32" s="60">
        <f t="shared" si="10"/>
        <v>50</v>
      </c>
      <c r="L32" s="159">
        <f t="shared" si="10"/>
        <v>73</v>
      </c>
      <c r="M32" s="170">
        <f t="shared" si="10"/>
        <v>59</v>
      </c>
    </row>
    <row r="33" spans="1:13" ht="12" customHeight="1" thickBot="1">
      <c r="A33" s="55" t="s">
        <v>136</v>
      </c>
      <c r="B33" s="50">
        <v>41275</v>
      </c>
      <c r="C33" s="47">
        <v>41306</v>
      </c>
      <c r="D33" s="47">
        <v>41334</v>
      </c>
      <c r="E33" s="47">
        <v>41365</v>
      </c>
      <c r="F33" s="47">
        <v>41395</v>
      </c>
      <c r="G33" s="47">
        <v>41426</v>
      </c>
      <c r="H33" s="47">
        <v>41456</v>
      </c>
      <c r="I33" s="47">
        <v>41487</v>
      </c>
      <c r="J33" s="47">
        <v>41518</v>
      </c>
      <c r="K33" s="47">
        <v>41548</v>
      </c>
      <c r="L33" s="47">
        <v>41579</v>
      </c>
      <c r="M33" s="51">
        <v>41609</v>
      </c>
    </row>
    <row r="34" spans="1:13" s="8" customFormat="1" ht="11.25" customHeight="1">
      <c r="A34" s="46" t="s">
        <v>33</v>
      </c>
      <c r="B34" s="57">
        <f>COUNTIFS(Jan!$B:$B,3003,Jan!$J:$J,40)</f>
        <v>0</v>
      </c>
      <c r="C34" s="57">
        <f>COUNTIFS(Feb!$B:$B,3003,Feb!$J:$J,40)</f>
        <v>0</v>
      </c>
      <c r="D34" s="57">
        <f>COUNTIFS(Mar!$B:$B,3003,Mar!$J:$J,40)</f>
        <v>0</v>
      </c>
      <c r="E34" s="57">
        <f>COUNTIFS(Apr!$B:$B,3003,Apr!$J:$J,40)</f>
        <v>0</v>
      </c>
      <c r="F34" s="57">
        <f>COUNTIFS(May!$B:$B,3003,May!$J:$J,40)</f>
        <v>0</v>
      </c>
      <c r="G34" s="57">
        <f>COUNTIFS(Jun!$B:$B,3003,Jun!$J:$J,40)</f>
        <v>0</v>
      </c>
      <c r="H34" s="57">
        <f>COUNTIFS(Jul!$B:$B,3003,Jul!$J:$J,40)</f>
        <v>0</v>
      </c>
      <c r="I34" s="57">
        <f>COUNTIFS(Aug!$B:$B,3003,Aug!$J:$J,40)</f>
        <v>0</v>
      </c>
      <c r="J34" s="57">
        <f>COUNTIFS(Sep!$B:$B,3003,Sep!$J:$J,40)</f>
        <v>0</v>
      </c>
      <c r="K34" s="57">
        <f>COUNTIFS(Oct!$B:$B,3003,Oct!$J:$J,40)</f>
        <v>0</v>
      </c>
      <c r="L34" s="57">
        <f>COUNTIFS(Nov!$B:$B,3003,Nov!$J:$J,40)</f>
        <v>0</v>
      </c>
      <c r="M34" s="57">
        <v>0</v>
      </c>
    </row>
    <row r="35" spans="1:13" s="8" customFormat="1" ht="11.25" customHeight="1">
      <c r="A35" s="10" t="s">
        <v>4</v>
      </c>
      <c r="B35" s="59">
        <f>COUNTIFS(Jan!$B:$B,3003,Jan!$J:$J,15)</f>
        <v>1</v>
      </c>
      <c r="C35" s="59">
        <f>COUNTIFS(Feb!$B:$B,3003,Feb!$J:$J,15)</f>
        <v>0</v>
      </c>
      <c r="D35" s="59">
        <f>COUNTIFS(Mar!$B:$B,3003,Mar!$J:$J,15)</f>
        <v>0</v>
      </c>
      <c r="E35" s="59">
        <f>COUNTIFS(Apr!$B:$B,3003,Apr!$J:$J,15)</f>
        <v>0</v>
      </c>
      <c r="F35" s="59">
        <f>COUNTIFS(May!$B:$B,3003,May!$J:$J,15)</f>
        <v>0</v>
      </c>
      <c r="G35" s="59">
        <v>1</v>
      </c>
      <c r="H35" s="59">
        <f>COUNTIFS(Jul!$B:$B,3003,Jul!$J:$J,15)</f>
        <v>0</v>
      </c>
      <c r="I35" s="59">
        <v>1</v>
      </c>
      <c r="J35" s="59">
        <v>1</v>
      </c>
      <c r="K35" s="59">
        <f>COUNTIFS(Oct!$B:$B,3003,Oct!$J:$J,15)</f>
        <v>0</v>
      </c>
      <c r="L35" s="59">
        <v>2</v>
      </c>
      <c r="M35" s="59">
        <v>1</v>
      </c>
    </row>
    <row r="36" spans="1:13" s="8" customFormat="1" ht="11.25" customHeight="1">
      <c r="A36" s="10" t="s">
        <v>39</v>
      </c>
      <c r="B36" s="59">
        <f>COUNTIFS(Jan!$B:$B,3003,Jan!$J:$J,29)</f>
        <v>6</v>
      </c>
      <c r="C36" s="59">
        <v>7</v>
      </c>
      <c r="D36" s="59">
        <v>6</v>
      </c>
      <c r="E36" s="59">
        <v>3</v>
      </c>
      <c r="F36" s="59">
        <v>1</v>
      </c>
      <c r="G36" s="59">
        <v>1</v>
      </c>
      <c r="H36" s="59">
        <v>4</v>
      </c>
      <c r="I36" s="59">
        <v>3</v>
      </c>
      <c r="J36" s="59">
        <v>2</v>
      </c>
      <c r="K36" s="59">
        <v>3</v>
      </c>
      <c r="L36" s="59">
        <v>1</v>
      </c>
      <c r="M36" s="59">
        <v>2</v>
      </c>
    </row>
    <row r="37" spans="1:13" s="8" customFormat="1" ht="11.25" customHeight="1">
      <c r="A37" s="10" t="s">
        <v>3</v>
      </c>
      <c r="B37" s="59">
        <f>COUNTIFS(Jan!$B:$B,3003,Jan!$J:$J,13)</f>
        <v>0</v>
      </c>
      <c r="C37" s="59">
        <v>1</v>
      </c>
      <c r="D37" s="59">
        <f>COUNTIFS(Mar!$B:$B,3003,Mar!$J:$J,13)</f>
        <v>0</v>
      </c>
      <c r="E37" s="59">
        <f>COUNTIFS(Apr!$B:$B,3003,Apr!$J:$J,13)</f>
        <v>0</v>
      </c>
      <c r="F37" s="59">
        <f>COUNTIFS(May!$B:$B,3003,May!$J:$J,13)</f>
        <v>0</v>
      </c>
      <c r="G37" s="59">
        <f>COUNTIFS(Jun!$B:$B,3003,Jun!$J:$J,13)</f>
        <v>0</v>
      </c>
      <c r="H37" s="59">
        <f>COUNTIFS(Jul!$B:$B,3003,Jul!$J:$J,13)</f>
        <v>0</v>
      </c>
      <c r="I37" s="59">
        <f>COUNTIFS(Aug!$B:$B,3003,Aug!$J:$J,13)</f>
        <v>0</v>
      </c>
      <c r="J37" s="59">
        <f>COUNTIFS(Sep!$B:$B,3003,Sep!$J:$J,13)</f>
        <v>0</v>
      </c>
      <c r="K37" s="59">
        <f>COUNTIFS(Oct!$B:$B,3003,Oct!$J:$J,13)</f>
        <v>0</v>
      </c>
      <c r="L37" s="59">
        <v>1</v>
      </c>
      <c r="M37" s="59">
        <v>0</v>
      </c>
    </row>
    <row r="38" spans="1:13" s="8" customFormat="1" ht="11.25" customHeight="1">
      <c r="A38" s="9" t="s">
        <v>218</v>
      </c>
      <c r="B38" s="59">
        <f>COUNTIFS(Jan!$B:$B,3003,Jan!$J:$J,43)</f>
        <v>0</v>
      </c>
      <c r="C38" s="59">
        <f>COUNTIFS(Feb!$B:$B,3003,Feb!$J:$J,43)</f>
        <v>0</v>
      </c>
      <c r="D38" s="59">
        <f>COUNTIFS(Mar!$B:$B,3003,Mar!$J:$J,43)</f>
        <v>0</v>
      </c>
      <c r="E38" s="59">
        <f>COUNTIFS(Apr!$B:$B,3003,Apr!$J:$J,43)</f>
        <v>0</v>
      </c>
      <c r="F38" s="59">
        <f>COUNTIFS(May!$B:$B,3003,May!$J:$J,43)</f>
        <v>0</v>
      </c>
      <c r="G38" s="59">
        <f>COUNTIFS(Jun!$B:$B,3003,Jun!$J:$J,43)</f>
        <v>0</v>
      </c>
      <c r="H38" s="59">
        <f>COUNTIFS(Jul!$B:$B,3003,Jul!$J:$J,43)</f>
        <v>0</v>
      </c>
      <c r="I38" s="59">
        <f>COUNTIFS(Aug!$B:$B,3003,Aug!$J:$J,43)</f>
        <v>0</v>
      </c>
      <c r="J38" s="59">
        <f>COUNTIFS(Sep!$B:$B,3003,Sep!$J:$J,43)</f>
        <v>0</v>
      </c>
      <c r="K38" s="59">
        <f>COUNTIFS(Oct!$B:$B,3003,Oct!$J:$J,43)</f>
        <v>0</v>
      </c>
      <c r="L38" s="59">
        <f>COUNTIFS(Nov!$B:$B,3003,Nov!$J:$J,43)</f>
        <v>0</v>
      </c>
      <c r="M38" s="59">
        <v>1</v>
      </c>
    </row>
    <row r="39" spans="1:13" s="8" customFormat="1" ht="11.25" customHeight="1">
      <c r="A39" s="10" t="s">
        <v>25</v>
      </c>
      <c r="B39" s="59">
        <f>COUNTIFS(Jan!$B:$B,3003,Jan!$J:$J,24)</f>
        <v>8</v>
      </c>
      <c r="C39" s="59">
        <v>8</v>
      </c>
      <c r="D39" s="59">
        <v>11</v>
      </c>
      <c r="E39" s="59">
        <v>8</v>
      </c>
      <c r="F39" s="59">
        <v>7</v>
      </c>
      <c r="G39" s="59">
        <v>10</v>
      </c>
      <c r="H39" s="59">
        <v>5</v>
      </c>
      <c r="I39" s="59">
        <v>5</v>
      </c>
      <c r="J39" s="59">
        <v>2</v>
      </c>
      <c r="K39" s="59">
        <v>1</v>
      </c>
      <c r="L39" s="59">
        <v>1</v>
      </c>
      <c r="M39" s="59">
        <v>3</v>
      </c>
    </row>
    <row r="40" spans="1:13" s="8" customFormat="1" ht="11.25" customHeight="1">
      <c r="A40" s="10" t="s">
        <v>34</v>
      </c>
      <c r="B40" s="59">
        <f>COUNTIFS(Jan!$B:$B,3003,Jan!$J:$J,9)</f>
        <v>0</v>
      </c>
      <c r="C40" s="59">
        <f>COUNTIFS(Feb!$B:$B,3003,Feb!$J:$J,9)</f>
        <v>0</v>
      </c>
      <c r="D40" s="59">
        <f>COUNTIFS(Mar!$B:$B,3003,Mar!$J:$J,9)</f>
        <v>0</v>
      </c>
      <c r="E40" s="59">
        <f>COUNTIFS(Apr!$B:$B,3003,Apr!$J:$J,9)</f>
        <v>0</v>
      </c>
      <c r="F40" s="59">
        <f>COUNTIFS(May!$B:$B,3003,May!$J:$J,9)</f>
        <v>0</v>
      </c>
      <c r="G40" s="59">
        <f>COUNTIFS(Jun!$B:$B,3003,Jun!$J:$J,9)</f>
        <v>0</v>
      </c>
      <c r="H40" s="59">
        <f>COUNTIFS(Jul!$B:$B,3003,Jul!$J:$J,9)</f>
        <v>0</v>
      </c>
      <c r="I40" s="59">
        <f>COUNTIFS(Aug!$B:$B,3003,Aug!$J:$J,9)</f>
        <v>0</v>
      </c>
      <c r="J40" s="59">
        <f>COUNTIFS(Sep!$B:$B,3003,Sep!$J:$J,9)</f>
        <v>0</v>
      </c>
      <c r="K40" s="59">
        <f>COUNTIFS(Oct!$B:$B,3003,Oct!$J:$J,9)</f>
        <v>0</v>
      </c>
      <c r="L40" s="59">
        <f>COUNTIFS(Nov!$B:$B,3003,Nov!$J:$J,9)</f>
        <v>0</v>
      </c>
      <c r="M40" s="59">
        <v>0</v>
      </c>
    </row>
    <row r="41" spans="1:13" s="8" customFormat="1" ht="11.25" customHeight="1">
      <c r="A41" s="10" t="s">
        <v>31</v>
      </c>
      <c r="B41" s="59">
        <f>COUNTIFS(Jan!$B:$B,3003,Jan!$J:$J,10)</f>
        <v>0</v>
      </c>
      <c r="C41" s="59">
        <v>1</v>
      </c>
      <c r="D41" s="59">
        <f>COUNTIFS(Mar!$B:$B,3003,Mar!$J:$J,10)</f>
        <v>0</v>
      </c>
      <c r="E41" s="59">
        <v>1</v>
      </c>
      <c r="F41" s="59">
        <f>COUNTIFS(May!$B:$B,3003,May!$J:$J,10)</f>
        <v>0</v>
      </c>
      <c r="G41" s="59">
        <f>COUNTIFS(Jun!$B:$B,3003,Jun!$J:$J,10)</f>
        <v>0</v>
      </c>
      <c r="H41" s="59">
        <f>COUNTIFS(Jul!$B:$B,3003,Jul!$J:$J,10)</f>
        <v>0</v>
      </c>
      <c r="I41" s="59">
        <v>3</v>
      </c>
      <c r="J41" s="59">
        <v>1</v>
      </c>
      <c r="K41" s="59">
        <f>COUNTIFS(Oct!$B:$B,3003,Oct!$J:$J,10)</f>
        <v>0</v>
      </c>
      <c r="L41" s="59">
        <f>COUNTIFS(Nov!$B:$B,3003,Nov!$J:$J,10)</f>
        <v>0</v>
      </c>
      <c r="M41" s="59">
        <v>1</v>
      </c>
    </row>
    <row r="42" spans="1:13" s="8" customFormat="1" ht="11.25" customHeight="1">
      <c r="A42" s="10" t="s">
        <v>144</v>
      </c>
      <c r="B42" s="59">
        <f>COUNTIFS(Jan!$B:$B,3003,Jan!$F:$F,462)</f>
        <v>0</v>
      </c>
      <c r="C42" s="59">
        <f>COUNTIFS(Feb!$B:$B,3003,Feb!$F:$F,462)</f>
        <v>0</v>
      </c>
      <c r="D42" s="59">
        <f>COUNTIFS(Mar!$B:$B,3003,Mar!$F:$F,462)</f>
        <v>0</v>
      </c>
      <c r="E42" s="59">
        <f>COUNTIFS(Apr!$B:$B,3003,Apr!$F:$F,462)</f>
        <v>0</v>
      </c>
      <c r="F42" s="59">
        <f>COUNTIFS(May!$B:$B,3003,May!$F:$F,462)</f>
        <v>0</v>
      </c>
      <c r="G42" s="59">
        <f>COUNTIFS(Jun!$B:$B,3003,Jun!$F:$F,462)</f>
        <v>0</v>
      </c>
      <c r="H42" s="59">
        <f>COUNTIFS(Jul!$B:$B,3003,Jul!$F:$F,462)</f>
        <v>0</v>
      </c>
      <c r="I42" s="59">
        <f>COUNTIFS(Aug!$B:$B,3003,Aug!$F:$F,462)</f>
        <v>0</v>
      </c>
      <c r="J42" s="59">
        <f>COUNTIFS(Sep!$B:$B,3003,Sep!$F:$F,462)</f>
        <v>0</v>
      </c>
      <c r="K42" s="59">
        <f>COUNTIFS(Oct!$B:$B,3003,Oct!$F:$F,462)</f>
        <v>0</v>
      </c>
      <c r="L42" s="59">
        <f>COUNTIFS(Nov!$B:$B,3003,Nov!$F:$F,462)</f>
        <v>0</v>
      </c>
      <c r="M42" s="59">
        <v>0</v>
      </c>
    </row>
    <row r="43" spans="1:13" s="8" customFormat="1" ht="11.25" customHeight="1">
      <c r="A43" s="10" t="s">
        <v>1</v>
      </c>
      <c r="B43" s="59">
        <f>COUNTIFS(Jan!$B:$B,3003,Jan!$J:$J,11)</f>
        <v>0</v>
      </c>
      <c r="C43" s="59">
        <v>1</v>
      </c>
      <c r="D43" s="59">
        <f>COUNTIFS(Mar!$B:$B,3003,Mar!$J:$J,11)</f>
        <v>0</v>
      </c>
      <c r="E43" s="59">
        <f>COUNTIFS(Apr!$B:$B,3003,Apr!$J:$J,11)</f>
        <v>0</v>
      </c>
      <c r="F43" s="59">
        <f>COUNTIFS(May!$B:$B,3003,May!$J:$J,11)</f>
        <v>0</v>
      </c>
      <c r="G43" s="59">
        <f>COUNTIFS(Jun!$B:$B,3003,Jun!$J:$J,11)</f>
        <v>0</v>
      </c>
      <c r="H43" s="59">
        <f>COUNTIFS(Jul!$B:$B,3003,Jul!$J:$J,11)</f>
        <v>0</v>
      </c>
      <c r="I43" s="59">
        <f>COUNTIFS(Aug!$B:$B,3003,Aug!$J:$J,11)</f>
        <v>0</v>
      </c>
      <c r="J43" s="59">
        <f>COUNTIFS(Sep!$B:$B,3003,Sep!$J:$J,11)</f>
        <v>0</v>
      </c>
      <c r="K43" s="59">
        <f>COUNTIFS(Oct!$B:$B,3003,Oct!$J:$J,11)</f>
        <v>0</v>
      </c>
      <c r="L43" s="59">
        <f>COUNTIFS(Nov!$B:$B,3003,Nov!$J:$J,11)</f>
        <v>0</v>
      </c>
      <c r="M43" s="59">
        <v>0</v>
      </c>
    </row>
    <row r="44" spans="1:13" s="8" customFormat="1" ht="11.25" customHeight="1">
      <c r="A44" s="10" t="s">
        <v>26</v>
      </c>
      <c r="B44" s="59">
        <f>COUNTIFS(Jan!$B:$B,3003,Jan!$J:$J,20)</f>
        <v>0</v>
      </c>
      <c r="C44" s="59">
        <f>COUNTIFS(Feb!$B:$B,3003,Feb!$J:$J,20)</f>
        <v>0</v>
      </c>
      <c r="D44" s="59">
        <f>COUNTIFS(Mar!$B:$B,3003,Mar!$J:$J,20)</f>
        <v>0</v>
      </c>
      <c r="E44" s="59">
        <f>COUNTIFS(Apr!$B:$B,3003,Apr!$J:$J,20)</f>
        <v>0</v>
      </c>
      <c r="F44" s="59">
        <f>COUNTIFS(May!$B:$B,3003,May!$J:$J,20)</f>
        <v>0</v>
      </c>
      <c r="G44" s="59">
        <f>COUNTIFS(Jun!$B:$B,3003,Jun!$J:$J,20)</f>
        <v>0</v>
      </c>
      <c r="H44" s="59">
        <f>COUNTIFS(Jul!$B:$B,3003,Jul!$J:$J,20)</f>
        <v>0</v>
      </c>
      <c r="I44" s="59">
        <f>COUNTIFS(Aug!$B:$B,3003,Aug!$J:$J,20)</f>
        <v>0</v>
      </c>
      <c r="J44" s="59">
        <f>COUNTIFS(Sep!$B:$B,3003,Sep!$J:$J,20)</f>
        <v>0</v>
      </c>
      <c r="K44" s="59">
        <f>COUNTIFS(Oct!$B:$B,3003,Oct!$J:$J,20)</f>
        <v>0</v>
      </c>
      <c r="L44" s="59">
        <f>COUNTIFS(Nov!$B:$B,3003,Nov!$J:$J,20)</f>
        <v>0</v>
      </c>
      <c r="M44" s="59">
        <v>0</v>
      </c>
    </row>
    <row r="45" spans="1:13" s="8" customFormat="1" ht="11.25" customHeight="1">
      <c r="A45" s="10" t="s">
        <v>32</v>
      </c>
      <c r="B45" s="59">
        <f>COUNTIFS(Jan!$B:$B,3003,Jan!$J:$J,2)</f>
        <v>3</v>
      </c>
      <c r="C45" s="59">
        <v>1</v>
      </c>
      <c r="D45" s="59">
        <f>COUNTIFS(Mar!$B:$B,3003,Mar!$J:$J,2)</f>
        <v>0</v>
      </c>
      <c r="E45" s="59">
        <v>3</v>
      </c>
      <c r="F45" s="59">
        <v>4</v>
      </c>
      <c r="G45" s="59">
        <v>3</v>
      </c>
      <c r="H45" s="59">
        <v>3</v>
      </c>
      <c r="I45" s="59">
        <v>4</v>
      </c>
      <c r="J45" s="59">
        <v>2</v>
      </c>
      <c r="K45" s="59">
        <v>3</v>
      </c>
      <c r="L45" s="59">
        <v>5</v>
      </c>
      <c r="M45" s="59">
        <v>2</v>
      </c>
    </row>
    <row r="46" spans="1:13" s="8" customFormat="1" ht="11.25" customHeight="1">
      <c r="A46" s="10" t="s">
        <v>28</v>
      </c>
      <c r="B46" s="59">
        <f>COUNTIFS(Jan!$B:$B,3003,Jan!$J:$J,1700)+COUNTIFS(Jan!$B:$B,3003,Jan!$F:$F,1700)+COUNTIFS(Jan!$B:$B,3003,Jan!$J:$J,19)</f>
        <v>0</v>
      </c>
      <c r="C46" s="59">
        <f>COUNTIFS(Feb!$B:$B,3003,Feb!$J:$J,1700)+COUNTIFS(Feb!$B:$B,3003,Feb!$F:$F,1700)+COUNTIFS(Feb!$B:$B,3003,Feb!$J:$J,19)</f>
        <v>0</v>
      </c>
      <c r="D46" s="59">
        <f>COUNTIFS(Mar!$B:$B,3003,Mar!$J:$J,1700)+COUNTIFS(Mar!$B:$B,3003,Mar!$F:$F,1700)+COUNTIFS(Mar!$B:$B,3003,Mar!$J:$J,19)</f>
        <v>0</v>
      </c>
      <c r="E46" s="59">
        <f>COUNTIFS(Apr!$B:$B,3003,Apr!$J:$J,1700)+COUNTIFS(Apr!$B:$B,3003,Apr!$F:$F,1700)+COUNTIFS(Apr!$B:$B,3003,Apr!$J:$J,19)</f>
        <v>0</v>
      </c>
      <c r="F46" s="59">
        <f>COUNTIFS(May!$B:$B,3003,May!$J:$J,1700)+COUNTIFS(May!$B:$B,3003,May!$F:$F,1700)+COUNTIFS(May!$B:$B,3003,May!$J:$J,19)</f>
        <v>0</v>
      </c>
      <c r="G46" s="59">
        <f>COUNTIFS(Jun!$B:$B,3003,Jun!$J:$J,1700)+COUNTIFS(Jun!$B:$B,3003,Jun!$F:$F,1700)+COUNTIFS(Jun!$B:$B,3003,Jun!$J:$J,19)</f>
        <v>0</v>
      </c>
      <c r="H46" s="59">
        <f>COUNTIFS(Jul!$B:$B,3003,Jul!$J:$J,1700)+COUNTIFS(Jul!$B:$B,3003,Jul!$F:$F,1700)+COUNTIFS(Jul!$B:$B,3003,Jul!$J:$J,19)</f>
        <v>0</v>
      </c>
      <c r="I46" s="59">
        <v>1</v>
      </c>
      <c r="J46" s="59">
        <f>COUNTIFS(Sep!$B:$B,3003,Sep!$J:$J,1700)+COUNTIFS(Sep!$B:$B,3003,Sep!$F:$F,1700)+COUNTIFS(Sep!$B:$B,3003,Sep!$J:$J,19)</f>
        <v>0</v>
      </c>
      <c r="K46" s="59">
        <f>COUNTIFS(Oct!$B:$B,3003,Oct!$J:$J,1700)+COUNTIFS(Oct!$B:$B,3003,Oct!$F:$F,1700)+COUNTIFS(Oct!$B:$B,3003,Oct!$J:$J,19)</f>
        <v>0</v>
      </c>
      <c r="L46" s="59">
        <f>COUNTIFS(Nov!$B:$B,3003,Nov!$J:$J,1700)+COUNTIFS(Nov!$B:$B,3003,Nov!$F:$F,1700)+COUNTIFS(Nov!$B:$B,3003,Nov!$J:$J,19)</f>
        <v>0</v>
      </c>
      <c r="M46" s="59">
        <v>1</v>
      </c>
    </row>
    <row r="47" spans="1:13" s="8" customFormat="1" ht="11.25" customHeight="1">
      <c r="A47" s="10" t="s">
        <v>0</v>
      </c>
      <c r="B47" s="59">
        <f>COUNTIFS(Jan!$B:$B,3003,Jan!$J:$J,3)</f>
        <v>3</v>
      </c>
      <c r="C47" s="59">
        <v>5</v>
      </c>
      <c r="D47" s="59">
        <v>2</v>
      </c>
      <c r="E47" s="59">
        <v>2</v>
      </c>
      <c r="F47" s="59">
        <v>2</v>
      </c>
      <c r="G47" s="59">
        <v>1</v>
      </c>
      <c r="H47" s="59">
        <f>COUNTIFS(Jul!$B:$B,3003,Jul!$J:$J,3)</f>
        <v>0</v>
      </c>
      <c r="I47" s="59">
        <v>3</v>
      </c>
      <c r="J47" s="59">
        <v>1</v>
      </c>
      <c r="K47" s="59">
        <f>COUNTIFS(Oct!$B:$B,3003,Oct!$J:$J,3)</f>
        <v>0</v>
      </c>
      <c r="L47" s="59">
        <v>3</v>
      </c>
      <c r="M47" s="59">
        <v>2</v>
      </c>
    </row>
    <row r="48" spans="1:13" s="8" customFormat="1" ht="11.25" customHeight="1">
      <c r="A48" s="10" t="s">
        <v>35</v>
      </c>
      <c r="B48" s="59">
        <f>COUNTIFS(Jan!$B:$B,3003,Jan!$J:$J,7400)</f>
        <v>0</v>
      </c>
      <c r="C48" s="59">
        <f>COUNTIFS(Feb!$B:$B,3003,Feb!$J:$J,7400)</f>
        <v>0</v>
      </c>
      <c r="D48" s="59">
        <f>COUNTIFS(Mar!$B:$B,3003,Mar!$J:$J,7400)</f>
        <v>0</v>
      </c>
      <c r="E48" s="59">
        <f>COUNTIFS(Apr!$B:$B,3003,Apr!$J:$J,7400)</f>
        <v>0</v>
      </c>
      <c r="F48" s="59">
        <f>COUNTIFS(May!$B:$B,3003,May!$J:$J,7400)</f>
        <v>0</v>
      </c>
      <c r="G48" s="59">
        <f>COUNTIFS(Jun!$B:$B,3003,Jun!$J:$J,7400)</f>
        <v>0</v>
      </c>
      <c r="H48" s="59">
        <f>COUNTIFS(Jul!$B:$B,3003,Jul!$J:$J,7400)</f>
        <v>0</v>
      </c>
      <c r="I48" s="59">
        <f>COUNTIFS(Aug!$B:$B,3003,Aug!$J:$J,7400)</f>
        <v>0</v>
      </c>
      <c r="J48" s="59">
        <f>COUNTIFS(Sep!$B:$B,3003,Sep!$J:$J,7400)</f>
        <v>0</v>
      </c>
      <c r="K48" s="59">
        <f>COUNTIFS(Oct!$B:$B,3003,Oct!$J:$J,7400)</f>
        <v>0</v>
      </c>
      <c r="L48" s="59">
        <f>COUNTIFS(Nov!$B:$B,3003,Nov!$J:$J,7400)</f>
        <v>0</v>
      </c>
      <c r="M48" s="59">
        <v>0</v>
      </c>
    </row>
    <row r="49" spans="1:13" s="8" customFormat="1" ht="11.25" customHeight="1">
      <c r="A49" s="10" t="s">
        <v>2</v>
      </c>
      <c r="B49" s="59">
        <f>COUNTIFS(Jan!$B:$B,3003,Jan!$J:$J,14)</f>
        <v>0</v>
      </c>
      <c r="C49" s="59">
        <f>COUNTIFS(Feb!$B:$B,3003,Feb!$J:$J,14)</f>
        <v>0</v>
      </c>
      <c r="D49" s="59">
        <f>COUNTIFS(Mar!$B:$B,3003,Mar!$J:$J,14)</f>
        <v>0</v>
      </c>
      <c r="E49" s="59">
        <f>COUNTIFS(Apr!$B:$B,3003,Apr!$J:$J,14)</f>
        <v>0</v>
      </c>
      <c r="F49" s="59">
        <f>COUNTIFS(May!$B:$B,3003,May!$J:$J,14)</f>
        <v>0</v>
      </c>
      <c r="G49" s="59">
        <f>COUNTIFS(Jun!$B:$B,3003,Jun!$J:$J,14)</f>
        <v>0</v>
      </c>
      <c r="H49" s="59">
        <f>COUNTIFS(Jul!$B:$B,3003,Jul!$J:$J,14)</f>
        <v>0</v>
      </c>
      <c r="I49" s="59">
        <f>COUNTIFS(Aug!$B:$B,3003,Aug!$J:$J,14)</f>
        <v>0</v>
      </c>
      <c r="J49" s="59">
        <f>COUNTIFS(Sep!$B:$B,3003,Sep!$J:$J,14)</f>
        <v>0</v>
      </c>
      <c r="K49" s="59">
        <f>COUNTIFS(Oct!$B:$B,3003,Oct!$J:$J,14)</f>
        <v>0</v>
      </c>
      <c r="L49" s="59">
        <f>COUNTIFS(Nov!$B:$B,3003,Nov!$J:$J,14)</f>
        <v>0</v>
      </c>
      <c r="M49" s="59">
        <v>0</v>
      </c>
    </row>
    <row r="50" spans="1:13" s="8" customFormat="1" ht="11.25" customHeight="1">
      <c r="A50" s="10" t="s">
        <v>142</v>
      </c>
      <c r="B50" s="59">
        <f>COUNTIFS(Jan!$B:$B,3003,Jan!$F:$F,466)</f>
        <v>1</v>
      </c>
      <c r="C50" s="59">
        <v>3</v>
      </c>
      <c r="D50" s="59">
        <v>1</v>
      </c>
      <c r="E50" s="59">
        <v>1</v>
      </c>
      <c r="F50" s="59">
        <v>1</v>
      </c>
      <c r="G50" s="59">
        <f>COUNTIFS(Jun!$B:$B,3003,Jun!$F:$F,466)</f>
        <v>0</v>
      </c>
      <c r="H50" s="59">
        <f>COUNTIFS(Jul!$B:$B,3003,Jul!$F:$F,466)</f>
        <v>0</v>
      </c>
      <c r="I50" s="59">
        <f>COUNTIFS(Aug!$B:$B,3003,Aug!$F:$F,466)</f>
        <v>0</v>
      </c>
      <c r="J50" s="59">
        <f>COUNTIFS(Sep!$B:$B,3003,Sep!$F:$F,466)</f>
        <v>0</v>
      </c>
      <c r="K50" s="59">
        <f>COUNTIFS(Oct!$B:$B,3003,Oct!$F:$F,466)</f>
        <v>0</v>
      </c>
      <c r="L50" s="59">
        <v>1</v>
      </c>
      <c r="M50" s="59">
        <v>0</v>
      </c>
    </row>
    <row r="51" spans="1:13" s="8" customFormat="1" ht="11.25" customHeight="1">
      <c r="A51" s="10" t="s">
        <v>27</v>
      </c>
      <c r="B51" s="59">
        <f>COUNTIFS(Jan!$B:$B,3003,Jan!$J:$J,25)</f>
        <v>0</v>
      </c>
      <c r="C51" s="59">
        <f>COUNTIFS(Feb!$B:$B,3003,Feb!$J:$J,25)</f>
        <v>0</v>
      </c>
      <c r="D51" s="59">
        <f>COUNTIFS(Mar!$B:$B,3003,Mar!$J:$J,25)</f>
        <v>0</v>
      </c>
      <c r="E51" s="59">
        <f>COUNTIFS(Apr!$B:$B,3003,Apr!$J:$J,25)</f>
        <v>0</v>
      </c>
      <c r="F51" s="59">
        <f>COUNTIFS(May!$B:$B,3003,May!$J:$J,25)</f>
        <v>0</v>
      </c>
      <c r="G51" s="59">
        <f>COUNTIFS(Jun!$B:$B,3003,Jun!$J:$J,25)</f>
        <v>0</v>
      </c>
      <c r="H51" s="59">
        <f>COUNTIFS(Jul!$B:$B,3003,Jul!$J:$J,25)</f>
        <v>0</v>
      </c>
      <c r="I51" s="59">
        <f>COUNTIFS(Aug!$B:$B,3003,Aug!$J:$J,25)</f>
        <v>0</v>
      </c>
      <c r="J51" s="59">
        <f>COUNTIFS(Sep!$B:$B,3003,Sep!$J:$J,25)</f>
        <v>0</v>
      </c>
      <c r="K51" s="59">
        <f>COUNTIFS(Oct!$B:$B,3003,Oct!$J:$J,25)</f>
        <v>0</v>
      </c>
      <c r="L51" s="59">
        <f>COUNTIFS(Nov!$B:$B,3003,Nov!$J:$J,25)</f>
        <v>0</v>
      </c>
      <c r="M51" s="59">
        <v>0</v>
      </c>
    </row>
    <row r="52" spans="1:13" s="8" customFormat="1" ht="11.25" customHeight="1" thickBot="1">
      <c r="A52" s="11" t="s">
        <v>16</v>
      </c>
      <c r="B52" s="60">
        <f>SUM(B34:B51)</f>
        <v>22</v>
      </c>
      <c r="C52" s="60">
        <f t="shared" ref="C52:M52" si="11">SUM(C34:C51)</f>
        <v>27</v>
      </c>
      <c r="D52" s="60">
        <f>SUM(D34:D51)</f>
        <v>20</v>
      </c>
      <c r="E52" s="60">
        <f>SUM(E34:E51)</f>
        <v>18</v>
      </c>
      <c r="F52" s="60">
        <f>SUM(F34:F51)</f>
        <v>15</v>
      </c>
      <c r="G52" s="60">
        <f>SUM(G34:G51)</f>
        <v>16</v>
      </c>
      <c r="H52" s="60">
        <f t="shared" si="11"/>
        <v>12</v>
      </c>
      <c r="I52" s="60">
        <f t="shared" si="11"/>
        <v>20</v>
      </c>
      <c r="J52" s="60">
        <f t="shared" si="11"/>
        <v>9</v>
      </c>
      <c r="K52" s="60">
        <f t="shared" si="11"/>
        <v>7</v>
      </c>
      <c r="L52" s="159">
        <f t="shared" si="11"/>
        <v>14</v>
      </c>
      <c r="M52" s="170">
        <f t="shared" si="11"/>
        <v>13</v>
      </c>
    </row>
    <row r="53" spans="1:13" ht="12" customHeight="1" thickBot="1">
      <c r="A53" s="55" t="s">
        <v>137</v>
      </c>
      <c r="B53" s="50">
        <v>41275</v>
      </c>
      <c r="C53" s="47">
        <v>41306</v>
      </c>
      <c r="D53" s="47">
        <v>41334</v>
      </c>
      <c r="E53" s="47">
        <v>41365</v>
      </c>
      <c r="F53" s="47">
        <v>41395</v>
      </c>
      <c r="G53" s="47">
        <v>41426</v>
      </c>
      <c r="H53" s="47">
        <v>41456</v>
      </c>
      <c r="I53" s="47">
        <v>41487</v>
      </c>
      <c r="J53" s="47">
        <v>41518</v>
      </c>
      <c r="K53" s="47">
        <v>41548</v>
      </c>
      <c r="L53" s="47">
        <v>41579</v>
      </c>
      <c r="M53" s="51">
        <v>41609</v>
      </c>
    </row>
    <row r="54" spans="1:13" s="8" customFormat="1" ht="11.25" customHeight="1">
      <c r="A54" s="10" t="s">
        <v>30</v>
      </c>
      <c r="B54" s="57">
        <f>COUNTIFS(Jan!$B:$B,3003,Jan!$J:$J,7)</f>
        <v>1</v>
      </c>
      <c r="C54" s="57">
        <f>COUNTIFS(Feb!$B:$B,3003,Feb!$J:$J,7)</f>
        <v>0</v>
      </c>
      <c r="D54" s="57">
        <f>COUNTIFS(Mar!$B:$B,3003,Mar!$J:$J,7)</f>
        <v>0</v>
      </c>
      <c r="E54" s="57">
        <f>COUNTIFS(Apr!$B:$B,3003,Apr!$J:$J,7)</f>
        <v>0</v>
      </c>
      <c r="F54" s="57">
        <v>1</v>
      </c>
      <c r="G54" s="57">
        <v>1</v>
      </c>
      <c r="H54" s="57">
        <v>1</v>
      </c>
      <c r="I54" s="57">
        <v>1</v>
      </c>
      <c r="J54" s="57">
        <v>2</v>
      </c>
      <c r="K54" s="57">
        <v>3</v>
      </c>
      <c r="L54" s="57">
        <f>COUNTIFS(Nov!$B:$B,3003,Nov!$J:$J,7)</f>
        <v>0</v>
      </c>
      <c r="M54" s="57">
        <v>0</v>
      </c>
    </row>
    <row r="55" spans="1:13" s="8" customFormat="1" ht="11.25" customHeight="1">
      <c r="A55" s="10" t="s">
        <v>29</v>
      </c>
      <c r="B55" s="59">
        <f>COUNTIFS(Jan!$B:$B,3003,Jan!$J:$J,8)</f>
        <v>0</v>
      </c>
      <c r="C55" s="59">
        <f>COUNTIFS(Feb!$B:$B,3003,Feb!$J:$J,8)</f>
        <v>0</v>
      </c>
      <c r="D55" s="59">
        <f>COUNTIFS(Mar!$B:$B,3003,Mar!$J:$J,8)</f>
        <v>0</v>
      </c>
      <c r="E55" s="59">
        <f>COUNTIFS(Apr!$B:$B,3003,Apr!$J:$J,8)</f>
        <v>0</v>
      </c>
      <c r="F55" s="59">
        <f>COUNTIFS(May!$B:$B,3003,May!$J:$J,8)</f>
        <v>0</v>
      </c>
      <c r="G55" s="59">
        <f>COUNTIFS(Jun!$B:$B,3003,Jun!$J:$J,8)</f>
        <v>0</v>
      </c>
      <c r="H55" s="59">
        <f>COUNTIFS(Jul!$B:$B,3003,Jul!$J:$J,8)</f>
        <v>0</v>
      </c>
      <c r="I55" s="59">
        <f>COUNTIFS(Aug!$B:$B,3003,Aug!$J:$J,8)</f>
        <v>0</v>
      </c>
      <c r="J55" s="59">
        <f>COUNTIFS(Sep!$B:$B,3003,Sep!$J:$J,8)</f>
        <v>0</v>
      </c>
      <c r="K55" s="59">
        <f>COUNTIFS(Oct!$B:$B,3003,Oct!$J:$J,8)</f>
        <v>0</v>
      </c>
      <c r="L55" s="59">
        <f>COUNTIFS(Nov!$B:$B,3003,Nov!$J:$J,8)</f>
        <v>0</v>
      </c>
      <c r="M55" s="59">
        <v>0</v>
      </c>
    </row>
    <row r="56" spans="1:13" s="8" customFormat="1" ht="11.25" customHeight="1">
      <c r="A56" s="10" t="s">
        <v>7</v>
      </c>
      <c r="B56" s="59">
        <f>COUNTIFS(Jan!$B:$B,3003,Jan!$J:$J,12)</f>
        <v>0</v>
      </c>
      <c r="C56" s="59">
        <f>COUNTIFS(Feb!$B:$B,3003,Feb!$J:$J,12)</f>
        <v>0</v>
      </c>
      <c r="D56" s="59">
        <v>1</v>
      </c>
      <c r="E56" s="59">
        <v>4</v>
      </c>
      <c r="F56" s="59">
        <v>5</v>
      </c>
      <c r="G56" s="59">
        <v>4</v>
      </c>
      <c r="H56" s="59">
        <v>2</v>
      </c>
      <c r="I56" s="59">
        <v>5</v>
      </c>
      <c r="J56" s="59">
        <v>16</v>
      </c>
      <c r="K56" s="59">
        <v>18</v>
      </c>
      <c r="L56" s="59">
        <v>38</v>
      </c>
      <c r="M56" s="59">
        <v>28</v>
      </c>
    </row>
    <row r="57" spans="1:13" s="8" customFormat="1" ht="11.25" customHeight="1">
      <c r="A57" s="10" t="s">
        <v>10</v>
      </c>
      <c r="B57" s="59">
        <f>COUNTIFS(Jan!$B:$B,3003,Jan!$J:$J,5100)</f>
        <v>0</v>
      </c>
      <c r="C57" s="59">
        <f>COUNTIFS(Feb!$B:$B,3003,Feb!$J:$J,5100)</f>
        <v>0</v>
      </c>
      <c r="D57" s="59">
        <f>COUNTIFS(Mar!$B:$B,3003,Mar!$J:$J,5100)</f>
        <v>0</v>
      </c>
      <c r="E57" s="59">
        <f>COUNTIFS(Apr!$B:$B,3003,Apr!$J:$J,5100)</f>
        <v>0</v>
      </c>
      <c r="F57" s="59">
        <f>COUNTIFS(May!$B:$B,3003,May!$J:$J,5100)</f>
        <v>0</v>
      </c>
      <c r="G57" s="59">
        <f>COUNTIFS(Jun!$B:$B,3003,Jun!$J:$J,5100)</f>
        <v>0</v>
      </c>
      <c r="H57" s="59">
        <f>COUNTIFS(Jul!$B:$B,3003,Jul!$J:$J,5100)</f>
        <v>0</v>
      </c>
      <c r="I57" s="59">
        <f>COUNTIFS(Aug!$B:$B,3003,Aug!$J:$J,5100)</f>
        <v>0</v>
      </c>
      <c r="J57" s="59">
        <f>COUNTIFS(Sep!$B:$B,3003,Sep!$J:$J,5100)</f>
        <v>0</v>
      </c>
      <c r="K57" s="59">
        <f>COUNTIFS(Oct!$B:$B,3003,Oct!$J:$J,5100)</f>
        <v>0</v>
      </c>
      <c r="L57" s="59">
        <f>COUNTIFS(Nov!$B:$B,3003,Nov!$J:$J,5100)</f>
        <v>0</v>
      </c>
      <c r="M57" s="59">
        <v>0</v>
      </c>
    </row>
    <row r="58" spans="1:13" s="8" customFormat="1" ht="11.25" customHeight="1">
      <c r="A58" s="10" t="s">
        <v>36</v>
      </c>
      <c r="B58" s="59">
        <f>COUNTIFS(Jan!$B:$B,3003,Jan!$J:$J,6200)</f>
        <v>19</v>
      </c>
      <c r="C58" s="59">
        <v>19</v>
      </c>
      <c r="D58" s="59">
        <v>17</v>
      </c>
      <c r="E58" s="59">
        <v>10</v>
      </c>
      <c r="F58" s="59">
        <v>21</v>
      </c>
      <c r="G58" s="59">
        <v>17</v>
      </c>
      <c r="H58" s="59">
        <v>20</v>
      </c>
      <c r="I58" s="59">
        <v>14</v>
      </c>
      <c r="J58" s="59">
        <v>20</v>
      </c>
      <c r="K58" s="59">
        <v>21</v>
      </c>
      <c r="L58" s="59">
        <v>13</v>
      </c>
      <c r="M58" s="59">
        <v>26</v>
      </c>
    </row>
    <row r="59" spans="1:13" s="8" customFormat="1" ht="11.25" customHeight="1">
      <c r="A59" s="10" t="s">
        <v>145</v>
      </c>
      <c r="B59" s="59">
        <f>COUNTIFS(Jan!$B:$B,3003,Jan!$J:$J,28)</f>
        <v>0</v>
      </c>
      <c r="C59" s="59">
        <f>COUNTIFS(Feb!$B:$B,3003,Feb!$J:$J,28)</f>
        <v>0</v>
      </c>
      <c r="D59" s="59">
        <f>COUNTIFS(Mar!$B:$B,3003,Mar!$J:$J,28)</f>
        <v>0</v>
      </c>
      <c r="E59" s="59">
        <f>COUNTIFS(Apr!$B:$B,3003,Apr!$J:$J,28)</f>
        <v>0</v>
      </c>
      <c r="F59" s="59">
        <f>COUNTIFS(May!$B:$B,3003,May!$J:$J,28)</f>
        <v>0</v>
      </c>
      <c r="G59" s="59">
        <f>COUNTIFS(Jun!$B:$B,3003,Jun!$J:$J,28)</f>
        <v>0</v>
      </c>
      <c r="H59" s="59">
        <v>0</v>
      </c>
      <c r="I59" s="59">
        <f>COUNTIFS(Aug!$B:$B,3003,Aug!$J:$J,28)</f>
        <v>0</v>
      </c>
      <c r="J59" s="59">
        <f>COUNTIFS(Sep!$B:$B,3003,Sep!$J:$J,28)</f>
        <v>0</v>
      </c>
      <c r="K59" s="59">
        <f>COUNTIFS(Oct!$B:$B,3003,Oct!$J:$J,28)</f>
        <v>0</v>
      </c>
      <c r="L59" s="59">
        <f>COUNTIFS(Nov!$B:$B,3003,Nov!$J:$J,28)</f>
        <v>0</v>
      </c>
      <c r="M59" s="59">
        <v>0</v>
      </c>
    </row>
    <row r="60" spans="1:13" s="8" customFormat="1" ht="11.25" customHeight="1">
      <c r="A60" s="10" t="s">
        <v>38</v>
      </c>
      <c r="B60" s="59">
        <f>COUNTIFS(Jan!$B:$B,3003,Jan!$J:$J,6100)</f>
        <v>0</v>
      </c>
      <c r="C60" s="59">
        <f>COUNTIFS(Feb!$B:$B,3003,Feb!$J:$J,6100)</f>
        <v>0</v>
      </c>
      <c r="D60" s="59">
        <f>COUNTIFS(Mar!$B:$B,3003,Mar!$J:$J,6100)</f>
        <v>0</v>
      </c>
      <c r="E60" s="59">
        <f>COUNTIFS(Apr!$B:$B,3003,Apr!$J:$J,6100)</f>
        <v>0</v>
      </c>
      <c r="F60" s="59">
        <f>COUNTIFS(May!$B:$B,3003,May!$J:$J,6100)</f>
        <v>0</v>
      </c>
      <c r="G60" s="59">
        <f>COUNTIFS(Jun!$B:$B,3003,Jun!$J:$J,6100)</f>
        <v>0</v>
      </c>
      <c r="H60" s="59">
        <f>COUNTIFS(Jul!$B:$B,3003,Jul!$J:$J,6100)</f>
        <v>0</v>
      </c>
      <c r="I60" s="59">
        <f>COUNTIFS(Aug!$B:$B,3003,Aug!$J:$J,6100)</f>
        <v>0</v>
      </c>
      <c r="J60" s="59">
        <f>COUNTIFS(Sep!$B:$B,3003,Sep!$J:$J,6100)</f>
        <v>0</v>
      </c>
      <c r="K60" s="59">
        <f>COUNTIFS(Oct!$B:$B,3003,Oct!$J:$J,6100)</f>
        <v>0</v>
      </c>
      <c r="L60" s="59">
        <f>COUNTIFS(Nov!$B:$B,3003,Nov!$J:$J,6100)</f>
        <v>0</v>
      </c>
      <c r="M60" s="59">
        <v>0</v>
      </c>
    </row>
    <row r="61" spans="1:13" s="8" customFormat="1" ht="11.25" customHeight="1">
      <c r="A61" s="10" t="s">
        <v>9</v>
      </c>
      <c r="B61" s="59">
        <f>COUNTIFS(Jan!$B:$B,3003,Jan!$J:$J,6)</f>
        <v>0</v>
      </c>
      <c r="C61" s="59">
        <f>COUNTIFS(Feb!$B:$B,3003,Feb!$J:$J,6)</f>
        <v>0</v>
      </c>
      <c r="D61" s="59">
        <f>COUNTIFS(Mar!$B:$B,3003,Mar!$J:$J,6)</f>
        <v>0</v>
      </c>
      <c r="E61" s="59">
        <f>COUNTIFS(Apr!$B:$B,3003,Apr!$J:$J,6)</f>
        <v>0</v>
      </c>
      <c r="F61" s="59">
        <f>COUNTIFS(May!$B:$B,3003,May!$J:$J,6)</f>
        <v>0</v>
      </c>
      <c r="G61" s="59">
        <f>COUNTIFS(Jun!$B:$B,3003,Jun!$J:$J,6)</f>
        <v>0</v>
      </c>
      <c r="H61" s="59">
        <f>COUNTIFS(Jul!$B:$B,3003,Jul!$J:$J,6)</f>
        <v>0</v>
      </c>
      <c r="I61" s="59">
        <f>COUNTIFS(Aug!$B:$B,3003,Aug!$J:$J,6)</f>
        <v>0</v>
      </c>
      <c r="J61" s="59">
        <f>COUNTIFS(Sep!$B:$B,3003,Sep!$J:$J,6)</f>
        <v>0</v>
      </c>
      <c r="K61" s="59">
        <v>1</v>
      </c>
      <c r="L61" s="59">
        <f>COUNTIFS(Nov!$B:$B,3003,Nov!$J:$J,6)</f>
        <v>0</v>
      </c>
      <c r="M61" s="59">
        <v>0</v>
      </c>
    </row>
    <row r="62" spans="1:13" s="8" customFormat="1" ht="11.25" customHeight="1">
      <c r="A62" s="10" t="s">
        <v>8</v>
      </c>
      <c r="B62" s="59">
        <f>COUNTIFS(Jan!$B:$B,3003,Jan!$J:$J,4)</f>
        <v>0</v>
      </c>
      <c r="C62" s="59">
        <f>COUNTIFS(Feb!$B:$B,3003,Feb!$J:$J,4)</f>
        <v>0</v>
      </c>
      <c r="D62" s="59">
        <f>COUNTIFS(Mar!$B:$B,3003,Mar!$J:$J,4)</f>
        <v>0</v>
      </c>
      <c r="E62" s="59">
        <f>COUNTIFS(Apr!$B:$B,3003,Apr!$J:$J,4)</f>
        <v>0</v>
      </c>
      <c r="F62" s="59">
        <f>COUNTIFS(May!$B:$B,3003,May!$J:$J,4)</f>
        <v>0</v>
      </c>
      <c r="G62" s="59">
        <f>COUNTIFS(Jun!$B:$B,3003,Jun!$J:$J,4)</f>
        <v>0</v>
      </c>
      <c r="H62" s="59">
        <f>COUNTIFS(Jul!$B:$B,3003,Jul!$J:$J,4)</f>
        <v>0</v>
      </c>
      <c r="I62" s="59">
        <f>COUNTIFS(Aug!$B:$B,3003,Aug!$J:$J,4)</f>
        <v>0</v>
      </c>
      <c r="J62" s="59">
        <f>COUNTIFS(Sep!$B:$B,3003,Sep!$J:$J,4)</f>
        <v>0</v>
      </c>
      <c r="K62" s="59">
        <f>COUNTIFS(Oct!$B:$B,3003,Oct!$J:$J,4)</f>
        <v>0</v>
      </c>
      <c r="L62" s="59">
        <f>COUNTIFS(Nov!$B:$B,3003,Nov!$J:$J,4)</f>
        <v>0</v>
      </c>
      <c r="M62" s="59">
        <v>0</v>
      </c>
    </row>
    <row r="63" spans="1:13" s="8" customFormat="1" ht="11.25" customHeight="1">
      <c r="A63" s="10" t="s">
        <v>6</v>
      </c>
      <c r="B63" s="59">
        <f>COUNTIFS(Jan!$B:$B,3003,Jan!$J:$J,5)</f>
        <v>0</v>
      </c>
      <c r="C63" s="59">
        <f>COUNTIFS(Feb!$B:$B,3003,Feb!$J:$J,5)</f>
        <v>0</v>
      </c>
      <c r="D63" s="59">
        <f>COUNTIFS(Mar!$B:$B,3003,Mar!$J:$J,5)</f>
        <v>0</v>
      </c>
      <c r="E63" s="59">
        <f>COUNTIFS(Apr!$B:$B,3003,Apr!$J:$J,5)</f>
        <v>0</v>
      </c>
      <c r="F63" s="59">
        <f>COUNTIFS(May!$B:$B,3003,May!$J:$J,5)</f>
        <v>0</v>
      </c>
      <c r="G63" s="59">
        <f>COUNTIFS(Jun!$B:$B,3003,Jun!$J:$J,5)</f>
        <v>0</v>
      </c>
      <c r="H63" s="59">
        <f>COUNTIFS(Jul!$B:$B,3003,Jul!$J:$J,5)</f>
        <v>0</v>
      </c>
      <c r="I63" s="59">
        <f>COUNTIFS(Aug!$B:$B,3003,Aug!$J:$J,5)</f>
        <v>0</v>
      </c>
      <c r="J63" s="59">
        <f>COUNTIFS(Sep!$B:$B,3003,Sep!$J:$J,5)</f>
        <v>0</v>
      </c>
      <c r="K63" s="59">
        <f>COUNTIFS(Oct!$B:$B,3003,Oct!$J:$J,5)</f>
        <v>0</v>
      </c>
      <c r="L63" s="59">
        <f>COUNTIFS(Nov!$B:$B,3003,Nov!$J:$J,5)</f>
        <v>0</v>
      </c>
      <c r="M63" s="59">
        <v>0</v>
      </c>
    </row>
    <row r="64" spans="1:13" s="8" customFormat="1" ht="11.25" customHeight="1">
      <c r="A64" s="52" t="s">
        <v>141</v>
      </c>
      <c r="B64" s="69">
        <f>COUNTIFS(Jan!$B:$B,3003,Jan!$F:$F,456)</f>
        <v>0</v>
      </c>
      <c r="C64" s="69">
        <f>COUNTIFS(Feb!$B:$B,3003,Feb!$F:$F,456)</f>
        <v>0</v>
      </c>
      <c r="D64" s="69">
        <f>COUNTIFS(Mar!$B:$B,3003,Mar!$F:$F,456)</f>
        <v>0</v>
      </c>
      <c r="E64" s="69">
        <v>1</v>
      </c>
      <c r="F64" s="69">
        <f>COUNTIFS(May!$B:$B,3003,May!$F:$F,456)</f>
        <v>0</v>
      </c>
      <c r="G64" s="69">
        <f>COUNTIFS(Jun!$B:$B,3003,Jun!$F:$F,456)</f>
        <v>0</v>
      </c>
      <c r="H64" s="69">
        <v>1</v>
      </c>
      <c r="I64" s="69">
        <f>COUNTIFS(Aug!$B:$B,3003,Aug!$F:$F,456)</f>
        <v>0</v>
      </c>
      <c r="J64" s="69">
        <f>COUNTIFS(Sep!$B:$B,3003,Sep!$F:$F,456)</f>
        <v>0</v>
      </c>
      <c r="K64" s="69">
        <f>COUNTIFS(Oct!$B:$B,3003,Oct!$F:$F,456)</f>
        <v>0</v>
      </c>
      <c r="L64" s="69">
        <f>COUNTIFS(Nov!$B:$B,3003,Nov!$F:$F,456)</f>
        <v>0</v>
      </c>
      <c r="M64" s="69">
        <v>0</v>
      </c>
    </row>
    <row r="65" spans="1:13" s="8" customFormat="1" ht="11.25" customHeight="1" thickBot="1">
      <c r="A65" s="12" t="s">
        <v>16</v>
      </c>
      <c r="B65" s="70">
        <f>SUM(B54:B64)</f>
        <v>20</v>
      </c>
      <c r="C65" s="70">
        <f t="shared" ref="C65:M65" si="12">SUM(C54:C64)</f>
        <v>19</v>
      </c>
      <c r="D65" s="70">
        <f t="shared" si="12"/>
        <v>18</v>
      </c>
      <c r="E65" s="70">
        <f t="shared" si="12"/>
        <v>15</v>
      </c>
      <c r="F65" s="70">
        <f t="shared" si="12"/>
        <v>27</v>
      </c>
      <c r="G65" s="70">
        <f t="shared" si="12"/>
        <v>22</v>
      </c>
      <c r="H65" s="70">
        <f t="shared" si="12"/>
        <v>24</v>
      </c>
      <c r="I65" s="70">
        <f t="shared" si="12"/>
        <v>20</v>
      </c>
      <c r="J65" s="70">
        <f t="shared" si="12"/>
        <v>38</v>
      </c>
      <c r="K65" s="70">
        <f t="shared" si="12"/>
        <v>43</v>
      </c>
      <c r="L65" s="165">
        <f t="shared" si="12"/>
        <v>51</v>
      </c>
      <c r="M65" s="170">
        <f t="shared" si="12"/>
        <v>54</v>
      </c>
    </row>
    <row r="66" spans="1:13" s="8" customFormat="1" ht="15.75" customHeight="1">
      <c r="A66" s="6"/>
      <c r="B66" s="7"/>
      <c r="C66" s="7"/>
      <c r="D66" s="7"/>
      <c r="E66" s="7"/>
      <c r="F66" s="7"/>
      <c r="G66" s="7"/>
      <c r="H66" s="7"/>
      <c r="I66" s="7"/>
      <c r="J66" s="7"/>
      <c r="K66" s="7"/>
      <c r="L66" s="7"/>
      <c r="M66" s="7"/>
    </row>
    <row r="67" spans="1:13" ht="12" customHeight="1">
      <c r="A67" s="6"/>
      <c r="B67" s="7"/>
      <c r="C67" s="7"/>
      <c r="D67" s="7"/>
      <c r="E67" s="7"/>
      <c r="F67" s="7"/>
      <c r="G67" s="7"/>
      <c r="H67" s="7"/>
      <c r="I67" s="7"/>
      <c r="J67" s="7"/>
      <c r="K67" s="7"/>
      <c r="L67" s="7"/>
      <c r="M67" s="7"/>
    </row>
  </sheetData>
  <phoneticPr fontId="0" type="noConversion"/>
  <printOptions horizontalCentered="1" verticalCentered="1"/>
  <pageMargins left="0.14000000000000001" right="0.16" top="0.25" bottom="0.5" header="0.5" footer="0.25"/>
  <pageSetup scale="95" firstPageNumber="3" orientation="portrait" useFirstPageNumber="1" r:id="rId1"/>
  <headerFooter alignWithMargins="0">
    <oddFooter>&amp;R48 of 51</oddFooter>
  </headerFooter>
  <ignoredErrors>
    <ignoredError sqref="M32 M52 M65" formulaRange="1"/>
  </ignoredErrors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67"/>
  <sheetViews>
    <sheetView view="pageBreakPreview" zoomScale="90" zoomScaleNormal="100" zoomScaleSheetLayoutView="90" workbookViewId="0">
      <selection activeCell="M47" sqref="M47"/>
    </sheetView>
  </sheetViews>
  <sheetFormatPr defaultRowHeight="12.75"/>
  <cols>
    <col min="1" max="1" width="22.85546875" style="1" customWidth="1"/>
    <col min="2" max="13" width="7.140625" style="1" customWidth="1"/>
    <col min="14" max="14" width="4.42578125" style="1" customWidth="1"/>
    <col min="15" max="16384" width="9.140625" style="1"/>
  </cols>
  <sheetData>
    <row r="1" spans="1:21" ht="18" customHeight="1">
      <c r="A1" s="130"/>
      <c r="B1" s="131"/>
      <c r="C1" s="131"/>
      <c r="D1" s="131"/>
      <c r="E1" s="131"/>
      <c r="F1" s="131"/>
      <c r="G1" s="131"/>
      <c r="H1" s="130"/>
      <c r="I1" s="131"/>
      <c r="J1" s="131"/>
      <c r="K1" s="131"/>
      <c r="L1" s="130"/>
      <c r="M1" s="143" t="s">
        <v>22</v>
      </c>
    </row>
    <row r="2" spans="1:21" ht="18" customHeight="1">
      <c r="A2" s="130"/>
      <c r="B2" s="135"/>
      <c r="C2" s="135"/>
      <c r="D2" s="135"/>
      <c r="E2" s="135"/>
      <c r="F2" s="135"/>
      <c r="G2" s="135"/>
      <c r="H2" s="130"/>
      <c r="I2" s="135"/>
      <c r="J2" s="135"/>
      <c r="K2" s="135"/>
      <c r="L2" s="130"/>
      <c r="M2" s="155" t="s">
        <v>13</v>
      </c>
    </row>
    <row r="3" spans="1:21" s="5" customFormat="1" ht="18" customHeight="1">
      <c r="A3" s="133"/>
      <c r="B3" s="133"/>
      <c r="C3" s="133"/>
      <c r="D3" s="133"/>
      <c r="E3" s="133"/>
      <c r="F3" s="133"/>
      <c r="G3" s="133"/>
      <c r="H3" s="133"/>
      <c r="I3" s="133"/>
      <c r="J3" s="136"/>
      <c r="K3" s="136"/>
      <c r="L3" s="133"/>
      <c r="M3" s="155" t="s">
        <v>87</v>
      </c>
      <c r="N3" s="134"/>
      <c r="O3" s="134"/>
      <c r="P3" s="134"/>
      <c r="Q3" s="134"/>
      <c r="R3" s="134"/>
      <c r="S3" s="134"/>
      <c r="T3" s="134"/>
      <c r="U3" s="134"/>
    </row>
    <row r="4" spans="1:21" s="8" customFormat="1" ht="6.75" customHeight="1" thickBot="1">
      <c r="A4" s="38"/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</row>
    <row r="5" spans="1:21" s="8" customFormat="1" ht="11.25" customHeight="1" thickBot="1">
      <c r="A5" s="53" t="s">
        <v>19</v>
      </c>
      <c r="B5" s="50">
        <v>41275</v>
      </c>
      <c r="C5" s="47">
        <v>41306</v>
      </c>
      <c r="D5" s="47">
        <v>41334</v>
      </c>
      <c r="E5" s="47">
        <v>41365</v>
      </c>
      <c r="F5" s="47">
        <v>41395</v>
      </c>
      <c r="G5" s="47">
        <v>41426</v>
      </c>
      <c r="H5" s="47">
        <v>41456</v>
      </c>
      <c r="I5" s="47">
        <v>41487</v>
      </c>
      <c r="J5" s="47">
        <v>41518</v>
      </c>
      <c r="K5" s="47">
        <v>41548</v>
      </c>
      <c r="L5" s="47">
        <v>41579</v>
      </c>
      <c r="M5" s="51">
        <v>41609</v>
      </c>
    </row>
    <row r="6" spans="1:21" s="8" customFormat="1" ht="11.25" customHeight="1">
      <c r="A6" s="41" t="s">
        <v>129</v>
      </c>
      <c r="B6" s="57">
        <f t="shared" ref="B6:M6" si="0">B32</f>
        <v>100</v>
      </c>
      <c r="C6" s="57">
        <f t="shared" si="0"/>
        <v>43</v>
      </c>
      <c r="D6" s="57">
        <f t="shared" si="0"/>
        <v>25</v>
      </c>
      <c r="E6" s="57">
        <f t="shared" si="0"/>
        <v>36</v>
      </c>
      <c r="F6" s="57">
        <f t="shared" si="0"/>
        <v>46</v>
      </c>
      <c r="G6" s="57">
        <f t="shared" si="0"/>
        <v>94</v>
      </c>
      <c r="H6" s="57">
        <f t="shared" si="0"/>
        <v>121</v>
      </c>
      <c r="I6" s="57">
        <f t="shared" si="0"/>
        <v>179</v>
      </c>
      <c r="J6" s="57">
        <f t="shared" si="0"/>
        <v>169</v>
      </c>
      <c r="K6" s="57">
        <f t="shared" si="0"/>
        <v>94</v>
      </c>
      <c r="L6" s="156">
        <f t="shared" si="0"/>
        <v>122</v>
      </c>
      <c r="M6" s="168">
        <f t="shared" si="0"/>
        <v>112</v>
      </c>
    </row>
    <row r="7" spans="1:21" s="8" customFormat="1" ht="11.25" customHeight="1">
      <c r="A7" s="42" t="s">
        <v>18</v>
      </c>
      <c r="B7" s="57">
        <f t="shared" ref="B7:M7" si="1">SUM(B10:B12)</f>
        <v>60</v>
      </c>
      <c r="C7" s="57">
        <f t="shared" si="1"/>
        <v>37</v>
      </c>
      <c r="D7" s="57">
        <f t="shared" si="1"/>
        <v>57</v>
      </c>
      <c r="E7" s="57">
        <f t="shared" si="1"/>
        <v>51</v>
      </c>
      <c r="F7" s="57">
        <f t="shared" si="1"/>
        <v>60</v>
      </c>
      <c r="G7" s="57">
        <f t="shared" si="1"/>
        <v>83</v>
      </c>
      <c r="H7" s="57">
        <f t="shared" si="1"/>
        <v>102</v>
      </c>
      <c r="I7" s="57">
        <f t="shared" si="1"/>
        <v>90</v>
      </c>
      <c r="J7" s="57">
        <f t="shared" si="1"/>
        <v>80</v>
      </c>
      <c r="K7" s="57">
        <f t="shared" si="1"/>
        <v>69</v>
      </c>
      <c r="L7" s="156">
        <f t="shared" si="1"/>
        <v>57</v>
      </c>
      <c r="M7" s="171">
        <f t="shared" si="1"/>
        <v>82</v>
      </c>
    </row>
    <row r="8" spans="1:21" s="8" customFormat="1" ht="11.25" customHeight="1" thickBot="1">
      <c r="A8" s="43" t="s">
        <v>14</v>
      </c>
      <c r="B8" s="58">
        <f t="shared" ref="B8:M8" si="2">SUM(B6:B7)</f>
        <v>160</v>
      </c>
      <c r="C8" s="58">
        <f t="shared" si="2"/>
        <v>80</v>
      </c>
      <c r="D8" s="58">
        <f t="shared" si="2"/>
        <v>82</v>
      </c>
      <c r="E8" s="58">
        <f t="shared" si="2"/>
        <v>87</v>
      </c>
      <c r="F8" s="58">
        <f t="shared" si="2"/>
        <v>106</v>
      </c>
      <c r="G8" s="58">
        <f t="shared" si="2"/>
        <v>177</v>
      </c>
      <c r="H8" s="58">
        <f t="shared" si="2"/>
        <v>223</v>
      </c>
      <c r="I8" s="58">
        <f t="shared" si="2"/>
        <v>269</v>
      </c>
      <c r="J8" s="58">
        <f t="shared" si="2"/>
        <v>249</v>
      </c>
      <c r="K8" s="58">
        <f t="shared" si="2"/>
        <v>163</v>
      </c>
      <c r="L8" s="157">
        <f t="shared" si="2"/>
        <v>179</v>
      </c>
      <c r="M8" s="172">
        <f t="shared" si="2"/>
        <v>194</v>
      </c>
    </row>
    <row r="9" spans="1:21" s="8" customFormat="1" ht="11.25" customHeight="1" thickBot="1">
      <c r="A9" s="54" t="s">
        <v>18</v>
      </c>
      <c r="B9" s="50">
        <v>41275</v>
      </c>
      <c r="C9" s="47">
        <v>41306</v>
      </c>
      <c r="D9" s="47">
        <v>41334</v>
      </c>
      <c r="E9" s="47">
        <v>41365</v>
      </c>
      <c r="F9" s="47">
        <v>41395</v>
      </c>
      <c r="G9" s="47">
        <v>41426</v>
      </c>
      <c r="H9" s="47">
        <v>41456</v>
      </c>
      <c r="I9" s="47">
        <v>41487</v>
      </c>
      <c r="J9" s="47">
        <v>41518</v>
      </c>
      <c r="K9" s="47">
        <v>41548</v>
      </c>
      <c r="L9" s="47">
        <v>41579</v>
      </c>
      <c r="M9" s="51">
        <v>41609</v>
      </c>
    </row>
    <row r="10" spans="1:21" s="8" customFormat="1" ht="11.25" customHeight="1">
      <c r="A10" s="9" t="s">
        <v>128</v>
      </c>
      <c r="B10" s="57">
        <f t="shared" ref="B10:M10" si="3">B52</f>
        <v>22</v>
      </c>
      <c r="C10" s="57">
        <f t="shared" si="3"/>
        <v>8</v>
      </c>
      <c r="D10" s="57">
        <f t="shared" si="3"/>
        <v>25</v>
      </c>
      <c r="E10" s="57">
        <f t="shared" si="3"/>
        <v>14</v>
      </c>
      <c r="F10" s="57">
        <f t="shared" si="3"/>
        <v>16</v>
      </c>
      <c r="G10" s="59">
        <f t="shared" si="3"/>
        <v>29</v>
      </c>
      <c r="H10" s="59">
        <f t="shared" si="3"/>
        <v>23</v>
      </c>
      <c r="I10" s="59">
        <f t="shared" si="3"/>
        <v>40</v>
      </c>
      <c r="J10" s="59">
        <f t="shared" si="3"/>
        <v>31</v>
      </c>
      <c r="K10" s="59">
        <f t="shared" si="3"/>
        <v>19</v>
      </c>
      <c r="L10" s="158">
        <f t="shared" si="3"/>
        <v>20</v>
      </c>
      <c r="M10" s="168">
        <f t="shared" si="3"/>
        <v>37</v>
      </c>
    </row>
    <row r="11" spans="1:21" s="8" customFormat="1" ht="11.25" customHeight="1">
      <c r="A11" s="9" t="s">
        <v>127</v>
      </c>
      <c r="B11" s="59">
        <f t="shared" ref="B11:M11" si="4">B65</f>
        <v>18</v>
      </c>
      <c r="C11" s="59">
        <f t="shared" si="4"/>
        <v>8</v>
      </c>
      <c r="D11" s="59">
        <f t="shared" si="4"/>
        <v>13</v>
      </c>
      <c r="E11" s="59">
        <f t="shared" si="4"/>
        <v>10</v>
      </c>
      <c r="F11" s="59">
        <f t="shared" si="4"/>
        <v>27</v>
      </c>
      <c r="G11" s="59">
        <f t="shared" si="4"/>
        <v>30</v>
      </c>
      <c r="H11" s="59">
        <f t="shared" si="4"/>
        <v>50</v>
      </c>
      <c r="I11" s="59">
        <f t="shared" si="4"/>
        <v>27</v>
      </c>
      <c r="J11" s="59">
        <f t="shared" si="4"/>
        <v>26</v>
      </c>
      <c r="K11" s="59">
        <f t="shared" si="4"/>
        <v>15</v>
      </c>
      <c r="L11" s="158">
        <f t="shared" si="4"/>
        <v>18</v>
      </c>
      <c r="M11" s="169">
        <f t="shared" si="4"/>
        <v>21</v>
      </c>
    </row>
    <row r="12" spans="1:21" s="8" customFormat="1" ht="11.25" customHeight="1" thickBot="1">
      <c r="A12" s="2" t="s">
        <v>12</v>
      </c>
      <c r="B12" s="60">
        <f>COUNTIFS(Jan!$B:$B,3011,Jan!$F:$F,800)</f>
        <v>20</v>
      </c>
      <c r="C12" s="60">
        <v>21</v>
      </c>
      <c r="D12" s="60">
        <v>19</v>
      </c>
      <c r="E12" s="60">
        <v>27</v>
      </c>
      <c r="F12" s="60">
        <v>17</v>
      </c>
      <c r="G12" s="60">
        <v>24</v>
      </c>
      <c r="H12" s="60">
        <v>29</v>
      </c>
      <c r="I12" s="60">
        <v>23</v>
      </c>
      <c r="J12" s="60">
        <v>23</v>
      </c>
      <c r="K12" s="60">
        <v>35</v>
      </c>
      <c r="L12" s="60">
        <v>19</v>
      </c>
      <c r="M12" s="60">
        <v>24</v>
      </c>
    </row>
    <row r="13" spans="1:21" s="8" customFormat="1" ht="5.0999999999999996" customHeight="1" thickBot="1">
      <c r="A13" s="3"/>
      <c r="B13" s="17"/>
      <c r="C13" s="17"/>
      <c r="D13" s="17"/>
      <c r="E13" s="17"/>
      <c r="F13" s="17"/>
      <c r="G13" s="17"/>
      <c r="H13" s="17"/>
      <c r="I13" s="17"/>
      <c r="J13" s="17"/>
      <c r="K13" s="17"/>
      <c r="L13" s="17"/>
      <c r="M13" s="147"/>
    </row>
    <row r="14" spans="1:21" s="16" customFormat="1" ht="11.25" customHeight="1">
      <c r="A14" s="44" t="s">
        <v>131</v>
      </c>
      <c r="B14" s="120">
        <v>7965</v>
      </c>
      <c r="C14" s="120">
        <v>8099</v>
      </c>
      <c r="D14" s="120">
        <v>8381</v>
      </c>
      <c r="E14" s="120">
        <v>10187</v>
      </c>
      <c r="F14" s="120">
        <v>9535</v>
      </c>
      <c r="G14" s="120">
        <v>10737</v>
      </c>
      <c r="H14" s="119">
        <v>11568</v>
      </c>
      <c r="I14" s="61">
        <v>18222</v>
      </c>
      <c r="J14" s="61">
        <v>12200.33</v>
      </c>
      <c r="K14" s="118">
        <v>10108</v>
      </c>
      <c r="L14" s="160">
        <v>9102</v>
      </c>
      <c r="M14" s="173">
        <v>10933</v>
      </c>
      <c r="O14" s="22"/>
      <c r="P14" s="22"/>
      <c r="Q14" s="22"/>
    </row>
    <row r="15" spans="1:21" s="8" customFormat="1" ht="11.25" customHeight="1">
      <c r="A15" s="45" t="s">
        <v>132</v>
      </c>
      <c r="B15" s="62">
        <f>IFERROR((SUMIFS(Jan!$N:$N,Jan!$J:$J,1,Jan!$B:$B,3011)+SUMIFS(Jan!$N:$N,Jan!$D:$D,"&gt;1",Jan!$B:$B,3011))/(COUNTIFS(Jan!$J:$J,1,Jan!$B:$B,3011)+COUNTIFS(Jan!$D:$D,"&gt;1",Jan!$B:$B,3011)),"")</f>
        <v>22.3</v>
      </c>
      <c r="C15" s="62">
        <v>20.71</v>
      </c>
      <c r="D15" s="62">
        <v>23.7</v>
      </c>
      <c r="E15" s="62">
        <v>21.63</v>
      </c>
      <c r="F15" s="62">
        <v>18.54</v>
      </c>
      <c r="G15" s="62">
        <v>20.6</v>
      </c>
      <c r="H15" s="62">
        <v>19.88</v>
      </c>
      <c r="I15" s="62">
        <v>20.09</v>
      </c>
      <c r="J15" s="62">
        <v>20.329999999999998</v>
      </c>
      <c r="K15" s="62">
        <v>20.58</v>
      </c>
      <c r="L15" s="62">
        <v>20.38</v>
      </c>
      <c r="M15" s="62">
        <v>19.84</v>
      </c>
      <c r="N15" s="15"/>
      <c r="O15" s="1"/>
      <c r="P15" s="1"/>
      <c r="Q15" s="1"/>
    </row>
    <row r="16" spans="1:21" s="8" customFormat="1" ht="11.25" customHeight="1">
      <c r="A16" s="45" t="s">
        <v>133</v>
      </c>
      <c r="B16" s="62">
        <f>IFERROR(AVERAGEIFS(Jan!$N:$N,Jan!$F:$F,800,Jan!$B:$B,3011),"")</f>
        <v>22.3</v>
      </c>
      <c r="C16" s="62">
        <v>22.81</v>
      </c>
      <c r="D16" s="62">
        <v>23.68</v>
      </c>
      <c r="E16" s="62">
        <v>22.7</v>
      </c>
      <c r="F16" s="62">
        <v>23.17</v>
      </c>
      <c r="G16" s="62">
        <v>25.38</v>
      </c>
      <c r="H16" s="62">
        <v>24.21</v>
      </c>
      <c r="I16" s="62">
        <v>22.63</v>
      </c>
      <c r="J16" s="62">
        <v>24.13</v>
      </c>
      <c r="K16" s="62">
        <v>22.56</v>
      </c>
      <c r="L16" s="62">
        <v>21.38</v>
      </c>
      <c r="M16" s="62">
        <v>23.04</v>
      </c>
      <c r="O16" s="1"/>
      <c r="P16" s="1"/>
      <c r="Q16" s="1"/>
    </row>
    <row r="17" spans="1:17" s="8" customFormat="1" ht="11.25" customHeight="1">
      <c r="A17" s="45" t="s">
        <v>134</v>
      </c>
      <c r="B17" s="63">
        <f>IFERROR((SUMIFS(Jan!$M:$M,Jan!$J:$J,1,Jan!$B:$B,3011)+SUMIFS(Jan!$M:$M,Jan!$D:$D,"&gt;1",Jan!$B:$B,3011))/(COUNTIFS(Jan!$J:$J,1,Jan!$B:$B,3011)+COUNTIFS(Jan!$D:$D,"&gt;1",Jan!$B:$B,3011)),"")</f>
        <v>0.78000000000000014</v>
      </c>
      <c r="C17" s="63">
        <v>7.01</v>
      </c>
      <c r="D17" s="63">
        <v>3.57</v>
      </c>
      <c r="E17" s="63">
        <v>5.76</v>
      </c>
      <c r="F17" s="63">
        <v>8.25</v>
      </c>
      <c r="G17" s="63">
        <v>6.72</v>
      </c>
      <c r="H17" s="63">
        <v>6.47</v>
      </c>
      <c r="I17" s="63">
        <v>8.67</v>
      </c>
      <c r="J17" s="63">
        <v>5.44</v>
      </c>
      <c r="K17" s="63">
        <v>6.89</v>
      </c>
      <c r="L17" s="63">
        <v>8.56</v>
      </c>
      <c r="M17" s="63">
        <v>5.45</v>
      </c>
      <c r="O17" s="1"/>
      <c r="P17" s="1"/>
      <c r="Q17" s="1"/>
    </row>
    <row r="18" spans="1:17" s="8" customFormat="1" ht="11.25" customHeight="1" thickBot="1">
      <c r="A18" s="43" t="s">
        <v>135</v>
      </c>
      <c r="B18" s="64">
        <f>IFERROR(AVERAGEIFS(Jan!$M:$M,Jan!$F:$F,800,Jan!$B:$B,3011),"")</f>
        <v>0.78000000000000014</v>
      </c>
      <c r="C18" s="64">
        <v>3.39</v>
      </c>
      <c r="D18" s="64">
        <v>4.62</v>
      </c>
      <c r="E18" s="64">
        <v>1.92</v>
      </c>
      <c r="F18" s="64">
        <v>4.9400000000000004</v>
      </c>
      <c r="G18" s="64">
        <v>0.62</v>
      </c>
      <c r="H18" s="64">
        <v>1.84</v>
      </c>
      <c r="I18" s="64">
        <v>2.2999999999999998</v>
      </c>
      <c r="J18" s="64">
        <v>0.94</v>
      </c>
      <c r="K18" s="64">
        <v>1.82</v>
      </c>
      <c r="L18" s="64">
        <v>1.76</v>
      </c>
      <c r="M18" s="64">
        <v>1.55</v>
      </c>
    </row>
    <row r="19" spans="1:17" s="8" customFormat="1" ht="5.0999999999999996" customHeight="1" thickBot="1">
      <c r="A19" s="3"/>
      <c r="B19" s="17"/>
      <c r="C19" s="17"/>
      <c r="D19" s="17"/>
      <c r="E19" s="17"/>
      <c r="F19" s="17"/>
      <c r="G19" s="17"/>
      <c r="H19" s="17"/>
      <c r="I19" s="17"/>
      <c r="J19" s="17"/>
      <c r="K19" s="17"/>
      <c r="L19" s="17"/>
      <c r="M19" s="147"/>
    </row>
    <row r="20" spans="1:17" s="8" customFormat="1" ht="11.25" customHeight="1">
      <c r="A20" s="42" t="s">
        <v>52</v>
      </c>
      <c r="B20" s="65">
        <v>31</v>
      </c>
      <c r="C20" s="65">
        <v>28</v>
      </c>
      <c r="D20" s="65">
        <v>31</v>
      </c>
      <c r="E20" s="65">
        <v>30</v>
      </c>
      <c r="F20" s="65">
        <v>31</v>
      </c>
      <c r="G20" s="65">
        <v>30</v>
      </c>
      <c r="H20" s="65">
        <v>31</v>
      </c>
      <c r="I20" s="65">
        <v>31</v>
      </c>
      <c r="J20" s="65">
        <v>30</v>
      </c>
      <c r="K20" s="65">
        <v>31</v>
      </c>
      <c r="L20" s="161">
        <v>30</v>
      </c>
      <c r="M20" s="174">
        <v>31</v>
      </c>
    </row>
    <row r="21" spans="1:17" s="8" customFormat="1" ht="11.25" customHeight="1">
      <c r="A21" s="9" t="s">
        <v>15</v>
      </c>
      <c r="B21" s="66">
        <f>B12/B20</f>
        <v>0.64516129032258063</v>
      </c>
      <c r="C21" s="66">
        <f t="shared" ref="C21:M21" si="5">C12/C20</f>
        <v>0.75</v>
      </c>
      <c r="D21" s="66">
        <f>D12/D20</f>
        <v>0.61290322580645162</v>
      </c>
      <c r="E21" s="66">
        <f>E12/E20</f>
        <v>0.9</v>
      </c>
      <c r="F21" s="66">
        <f>F12/F20</f>
        <v>0.54838709677419351</v>
      </c>
      <c r="G21" s="66">
        <f>G12/G20</f>
        <v>0.8</v>
      </c>
      <c r="H21" s="66">
        <f t="shared" si="5"/>
        <v>0.93548387096774188</v>
      </c>
      <c r="I21" s="66">
        <f t="shared" si="5"/>
        <v>0.74193548387096775</v>
      </c>
      <c r="J21" s="66">
        <f t="shared" si="5"/>
        <v>0.76666666666666672</v>
      </c>
      <c r="K21" s="66">
        <f t="shared" si="5"/>
        <v>1.1290322580645162</v>
      </c>
      <c r="L21" s="162">
        <f t="shared" si="5"/>
        <v>0.6333333333333333</v>
      </c>
      <c r="M21" s="175">
        <f t="shared" si="5"/>
        <v>0.77419354838709675</v>
      </c>
    </row>
    <row r="22" spans="1:17" s="8" customFormat="1" ht="11.25" customHeight="1">
      <c r="A22" s="9" t="s">
        <v>130</v>
      </c>
      <c r="B22" s="67">
        <f t="shared" ref="B22:G22" si="6">IFERROR(B12/B7,0)</f>
        <v>0.33333333333333331</v>
      </c>
      <c r="C22" s="67">
        <f t="shared" si="6"/>
        <v>0.56756756756756754</v>
      </c>
      <c r="D22" s="67">
        <f t="shared" si="6"/>
        <v>0.33333333333333331</v>
      </c>
      <c r="E22" s="67">
        <f t="shared" si="6"/>
        <v>0.52941176470588236</v>
      </c>
      <c r="F22" s="67">
        <f t="shared" si="6"/>
        <v>0.28333333333333333</v>
      </c>
      <c r="G22" s="67">
        <f t="shared" si="6"/>
        <v>0.28915662650602408</v>
      </c>
      <c r="H22" s="67">
        <f t="shared" ref="H22:M22" si="7">IFERROR(H12/H7,0)</f>
        <v>0.28431372549019607</v>
      </c>
      <c r="I22" s="67">
        <f t="shared" si="7"/>
        <v>0.25555555555555554</v>
      </c>
      <c r="J22" s="67">
        <f t="shared" si="7"/>
        <v>0.28749999999999998</v>
      </c>
      <c r="K22" s="116">
        <f t="shared" si="7"/>
        <v>0.50724637681159424</v>
      </c>
      <c r="L22" s="67">
        <f t="shared" si="7"/>
        <v>0.33333333333333331</v>
      </c>
      <c r="M22" s="176">
        <f t="shared" si="7"/>
        <v>0.29268292682926828</v>
      </c>
      <c r="N22" s="1"/>
    </row>
    <row r="23" spans="1:17" s="8" customFormat="1" ht="11.25" customHeight="1" thickBot="1">
      <c r="A23" s="9" t="s">
        <v>53</v>
      </c>
      <c r="B23" s="67">
        <f t="shared" ref="B23:G23" si="8">IFERROR(B12/(B11+B12),0)</f>
        <v>0.52631578947368418</v>
      </c>
      <c r="C23" s="67">
        <f t="shared" si="8"/>
        <v>0.72413793103448276</v>
      </c>
      <c r="D23" s="67">
        <f t="shared" si="8"/>
        <v>0.59375</v>
      </c>
      <c r="E23" s="67">
        <f t="shared" si="8"/>
        <v>0.72972972972972971</v>
      </c>
      <c r="F23" s="67">
        <f t="shared" si="8"/>
        <v>0.38636363636363635</v>
      </c>
      <c r="G23" s="67">
        <f t="shared" si="8"/>
        <v>0.44444444444444442</v>
      </c>
      <c r="H23" s="67">
        <f t="shared" ref="H23:M23" si="9">IFERROR(H12/(H11+H12),0)</f>
        <v>0.36708860759493672</v>
      </c>
      <c r="I23" s="67">
        <f t="shared" si="9"/>
        <v>0.46</v>
      </c>
      <c r="J23" s="67">
        <f t="shared" si="9"/>
        <v>0.46938775510204084</v>
      </c>
      <c r="K23" s="117">
        <f t="shared" si="9"/>
        <v>0.7</v>
      </c>
      <c r="L23" s="163">
        <f t="shared" si="9"/>
        <v>0.51351351351351349</v>
      </c>
      <c r="M23" s="177">
        <f t="shared" si="9"/>
        <v>0.53333333333333333</v>
      </c>
      <c r="N23" s="4"/>
    </row>
    <row r="24" spans="1:17" s="8" customFormat="1" ht="11.25" customHeight="1" thickBot="1">
      <c r="A24" s="56" t="s">
        <v>21</v>
      </c>
      <c r="B24" s="50">
        <v>41275</v>
      </c>
      <c r="C24" s="47">
        <v>41306</v>
      </c>
      <c r="D24" s="47">
        <v>41334</v>
      </c>
      <c r="E24" s="47">
        <v>41365</v>
      </c>
      <c r="F24" s="47">
        <v>41395</v>
      </c>
      <c r="G24" s="47">
        <v>41426</v>
      </c>
      <c r="H24" s="47">
        <v>41456</v>
      </c>
      <c r="I24" s="47">
        <v>41487</v>
      </c>
      <c r="J24" s="47">
        <v>41518</v>
      </c>
      <c r="K24" s="47">
        <v>41548</v>
      </c>
      <c r="L24" s="47">
        <v>41579</v>
      </c>
      <c r="M24" s="51">
        <v>41609</v>
      </c>
    </row>
    <row r="25" spans="1:17" s="8" customFormat="1" ht="11.25" customHeight="1">
      <c r="A25" s="18" t="s">
        <v>5</v>
      </c>
      <c r="B25" s="68">
        <f>COUNTIFS(Jan!$B:$B,3011,Jan!$J:$J,18)</f>
        <v>7</v>
      </c>
      <c r="C25" s="68">
        <v>14</v>
      </c>
      <c r="D25" s="68">
        <v>9</v>
      </c>
      <c r="E25" s="68">
        <v>9</v>
      </c>
      <c r="F25" s="68">
        <v>8</v>
      </c>
      <c r="G25" s="68">
        <v>19</v>
      </c>
      <c r="H25" s="68">
        <v>15</v>
      </c>
      <c r="I25" s="68">
        <v>29</v>
      </c>
      <c r="J25" s="68">
        <v>26</v>
      </c>
      <c r="K25" s="68">
        <v>15</v>
      </c>
      <c r="L25" s="68">
        <v>16</v>
      </c>
      <c r="M25" s="68">
        <v>12</v>
      </c>
    </row>
    <row r="26" spans="1:17" s="8" customFormat="1" ht="11.25" customHeight="1">
      <c r="A26" s="46" t="s">
        <v>40</v>
      </c>
      <c r="B26" s="57">
        <f>COUNTIFS(Jan!$B:$B,3011,Jan!$J:$J,41)</f>
        <v>0</v>
      </c>
      <c r="C26" s="57">
        <f>COUNTIFS(Feb!$B:$B,3011,Feb!$J:$J,41)</f>
        <v>0</v>
      </c>
      <c r="D26" s="57">
        <f>COUNTIFS(Mar!$B:$B,3011,Mar!$J:$J,41)</f>
        <v>0</v>
      </c>
      <c r="E26" s="57">
        <f>COUNTIFS(Apr!$B:$B,3011,Apr!$J:$J,41)</f>
        <v>0</v>
      </c>
      <c r="F26" s="57">
        <f>COUNTIFS(May!$B:$B,3011,May!$J:$J,41)</f>
        <v>0</v>
      </c>
      <c r="G26" s="57">
        <f>COUNTIFS(Jun!$B:$B,3011,Jun!$J:$J,41)</f>
        <v>0</v>
      </c>
      <c r="H26" s="57">
        <f>COUNTIFS(Jul!$B:$B,3011,Jul!$J:$J,41)</f>
        <v>0</v>
      </c>
      <c r="I26" s="57">
        <f>COUNTIFS(Aug!$B:$B,3011,Aug!$J:$J,41)</f>
        <v>0</v>
      </c>
      <c r="J26" s="57">
        <v>5</v>
      </c>
      <c r="K26" s="57">
        <f>COUNTIFS(Oct!$B:$B,3011,Oct!$J:$J,41)</f>
        <v>0</v>
      </c>
      <c r="L26" s="57">
        <f>COUNTIFS(Nov!$B:$B,3011,Nov!$J:$J,41)</f>
        <v>0</v>
      </c>
      <c r="M26" s="57">
        <v>0</v>
      </c>
    </row>
    <row r="27" spans="1:17" s="8" customFormat="1" ht="11.25" customHeight="1">
      <c r="A27" s="9" t="s">
        <v>11</v>
      </c>
      <c r="B27" s="179">
        <f>COUNTIFS(Jan!$B:$B,3011,Jan!$J:$J,17)</f>
        <v>93</v>
      </c>
      <c r="C27" s="206">
        <v>29</v>
      </c>
      <c r="D27" s="206">
        <v>16</v>
      </c>
      <c r="E27" s="206">
        <v>26</v>
      </c>
      <c r="F27" s="206">
        <v>37</v>
      </c>
      <c r="G27" s="206">
        <v>72</v>
      </c>
      <c r="H27" s="206">
        <v>102</v>
      </c>
      <c r="I27" s="206">
        <v>106</v>
      </c>
      <c r="J27" s="206">
        <v>104</v>
      </c>
      <c r="K27" s="206">
        <v>46</v>
      </c>
      <c r="L27" s="206">
        <v>76</v>
      </c>
      <c r="M27" s="206">
        <v>75</v>
      </c>
    </row>
    <row r="28" spans="1:17" s="8" customFormat="1" ht="11.25" customHeight="1">
      <c r="A28" s="9" t="s">
        <v>143</v>
      </c>
      <c r="B28" s="59">
        <f>COUNTIFS(Jan!$B:$B,3011,Jan!$F:$F,455)</f>
        <v>0</v>
      </c>
      <c r="C28" s="59">
        <f>COUNTIFS(Feb!$B:$B,3011,Feb!$F:$F,455)</f>
        <v>0</v>
      </c>
      <c r="D28" s="59">
        <f>COUNTIFS(Mar!$B:$B,3011,Mar!$F:$F,455)</f>
        <v>0</v>
      </c>
      <c r="E28" s="59">
        <f>COUNTIFS(Apr!$B:$B,3011,Apr!$F:$F,455)</f>
        <v>0</v>
      </c>
      <c r="F28" s="59">
        <f>COUNTIFS(May!$B:$B,3011,May!$F:$F,455)</f>
        <v>0</v>
      </c>
      <c r="G28" s="59">
        <f>COUNTIFS(Jun!$B:$B,3011,Jun!$F:$F,455)</f>
        <v>0</v>
      </c>
      <c r="H28" s="59">
        <f>COUNTIFS(Jul!$B:$B,3011,Jul!$F:$F,455)</f>
        <v>0</v>
      </c>
      <c r="I28" s="59">
        <f>COUNTIFS(Aug!$B:$B,3011,Aug!$F:$F,455)</f>
        <v>0</v>
      </c>
      <c r="J28" s="59">
        <f>COUNTIFS(Sep!$B:$B,3011,Sep!$F:$F,455)</f>
        <v>0</v>
      </c>
      <c r="K28" s="59">
        <f>COUNTIFS(Oct!$B:$B,3011,Oct!$F:$F,455)</f>
        <v>0</v>
      </c>
      <c r="L28" s="59">
        <f>COUNTIFS(Nov!$B:$B,3011,Nov!$F:$F,455)</f>
        <v>0</v>
      </c>
      <c r="M28" s="59">
        <v>0</v>
      </c>
    </row>
    <row r="29" spans="1:17" s="8" customFormat="1" ht="11.25" customHeight="1">
      <c r="A29" s="9" t="s">
        <v>23</v>
      </c>
      <c r="B29" s="59">
        <f>COUNTIFS(Jan!$B:$B,3011,Jan!$J:$J,31)</f>
        <v>0</v>
      </c>
      <c r="C29" s="59">
        <f>COUNTIFS(Feb!$B:$B,3011,Feb!$J:$J,31)</f>
        <v>0</v>
      </c>
      <c r="D29" s="59">
        <f>COUNTIFS(Mar!$B:$B,3011,Mar!$J:$J,31)</f>
        <v>0</v>
      </c>
      <c r="E29" s="59">
        <f>COUNTIFS(Apr!$B:$B,3011,Apr!$J:$J,31)</f>
        <v>0</v>
      </c>
      <c r="F29" s="59">
        <f>COUNTIFS(May!$B:$B,3011,May!$J:$J,31)</f>
        <v>0</v>
      </c>
      <c r="G29" s="59">
        <f>COUNTIFS(Jun!$B:$B,3011,Jun!$J:$J,31)</f>
        <v>0</v>
      </c>
      <c r="H29" s="59">
        <f>COUNTIFS(Jul!$B:$B,3011,Jul!$J:$J,31)</f>
        <v>0</v>
      </c>
      <c r="I29" s="59">
        <v>41</v>
      </c>
      <c r="J29" s="59">
        <v>29</v>
      </c>
      <c r="K29" s="59">
        <v>32</v>
      </c>
      <c r="L29" s="59">
        <v>28</v>
      </c>
      <c r="M29" s="59">
        <v>25</v>
      </c>
    </row>
    <row r="30" spans="1:17" s="8" customFormat="1" ht="11.25" customHeight="1">
      <c r="A30" s="9" t="s">
        <v>37</v>
      </c>
      <c r="B30" s="59">
        <f>COUNTIFS(Jan!$B:$B,3011,Jan!$J:$J,4400)</f>
        <v>0</v>
      </c>
      <c r="C30" s="59">
        <f>COUNTIFS(Feb!$B:$B,3011,Feb!$J:$J,4400)</f>
        <v>0</v>
      </c>
      <c r="D30" s="59">
        <f>COUNTIFS(Mar!$B:$B,3011,Mar!$J:$J,4400)</f>
        <v>0</v>
      </c>
      <c r="E30" s="59">
        <v>1</v>
      </c>
      <c r="F30" s="59">
        <v>1</v>
      </c>
      <c r="G30" s="59">
        <v>3</v>
      </c>
      <c r="H30" s="59">
        <v>4</v>
      </c>
      <c r="I30" s="59">
        <v>3</v>
      </c>
      <c r="J30" s="59">
        <v>5</v>
      </c>
      <c r="K30" s="59">
        <v>1</v>
      </c>
      <c r="L30" s="59">
        <v>2</v>
      </c>
      <c r="M30" s="59">
        <v>0</v>
      </c>
    </row>
    <row r="31" spans="1:17" s="8" customFormat="1" ht="11.25" customHeight="1">
      <c r="A31" s="10" t="s">
        <v>24</v>
      </c>
      <c r="B31" s="59">
        <f>COUNTIFS(Jan!$B:$B,3011,Jan!$J:$J,30)</f>
        <v>0</v>
      </c>
      <c r="C31" s="59">
        <f>COUNTIFS(Feb!$B:$B,3011,Feb!$J:$J,30)</f>
        <v>0</v>
      </c>
      <c r="D31" s="59">
        <f>COUNTIFS(Mar!$B:$B,3011,Mar!$J:$J,30)</f>
        <v>0</v>
      </c>
      <c r="E31" s="59">
        <f>COUNTIFS(Apr!$B:$B,3011,Apr!$J:$J,30)</f>
        <v>0</v>
      </c>
      <c r="F31" s="59">
        <f>COUNTIFS(May!$B:$B,3011,May!$J:$J,30)</f>
        <v>0</v>
      </c>
      <c r="G31" s="59">
        <f>COUNTIFS(Jun!$B:$B,3011,Jun!$J:$J,30)</f>
        <v>0</v>
      </c>
      <c r="H31" s="59">
        <f>COUNTIFS(Jul!$B:$B,3011,Jul!$J:$J,30)</f>
        <v>0</v>
      </c>
      <c r="I31" s="59">
        <f>COUNTIFS(Aug!$B:$B,3011,Aug!$J:$J,30)</f>
        <v>0</v>
      </c>
      <c r="J31" s="59">
        <f>COUNTIFS(Sep!$B:$B,3011,Sep!$J:$J,30)</f>
        <v>0</v>
      </c>
      <c r="K31" s="59">
        <f>COUNTIFS(Oct!$B:$B,3011,Oct!$J:$J,30)</f>
        <v>0</v>
      </c>
      <c r="L31" s="59">
        <f>COUNTIFS(Nov!$B:$B,3011,Nov!$J:$J,30)</f>
        <v>0</v>
      </c>
      <c r="M31" s="59">
        <v>0</v>
      </c>
    </row>
    <row r="32" spans="1:17" s="14" customFormat="1" ht="11.25" customHeight="1" thickBot="1">
      <c r="A32" s="2" t="s">
        <v>140</v>
      </c>
      <c r="B32" s="60">
        <f>SUM(B25:B31)</f>
        <v>100</v>
      </c>
      <c r="C32" s="60">
        <f t="shared" ref="C32:M32" si="10">SUM(C25:C31)</f>
        <v>43</v>
      </c>
      <c r="D32" s="60">
        <f>SUM(D25:D31)</f>
        <v>25</v>
      </c>
      <c r="E32" s="60">
        <f>SUM(E25:E31)</f>
        <v>36</v>
      </c>
      <c r="F32" s="60">
        <f>SUM(F25:F31)</f>
        <v>46</v>
      </c>
      <c r="G32" s="60">
        <f>SUM(G25:G31)</f>
        <v>94</v>
      </c>
      <c r="H32" s="60">
        <f t="shared" si="10"/>
        <v>121</v>
      </c>
      <c r="I32" s="60">
        <f t="shared" si="10"/>
        <v>179</v>
      </c>
      <c r="J32" s="60">
        <f t="shared" si="10"/>
        <v>169</v>
      </c>
      <c r="K32" s="60">
        <f t="shared" si="10"/>
        <v>94</v>
      </c>
      <c r="L32" s="159">
        <f t="shared" si="10"/>
        <v>122</v>
      </c>
      <c r="M32" s="170">
        <f t="shared" si="10"/>
        <v>112</v>
      </c>
    </row>
    <row r="33" spans="1:13" ht="12" customHeight="1" thickBot="1">
      <c r="A33" s="55" t="s">
        <v>136</v>
      </c>
      <c r="B33" s="50">
        <v>41275</v>
      </c>
      <c r="C33" s="47">
        <v>41306</v>
      </c>
      <c r="D33" s="47">
        <v>41334</v>
      </c>
      <c r="E33" s="47">
        <v>41365</v>
      </c>
      <c r="F33" s="47">
        <v>41395</v>
      </c>
      <c r="G33" s="47">
        <v>41426</v>
      </c>
      <c r="H33" s="47">
        <v>41456</v>
      </c>
      <c r="I33" s="47">
        <v>41487</v>
      </c>
      <c r="J33" s="47">
        <v>41518</v>
      </c>
      <c r="K33" s="47">
        <v>41548</v>
      </c>
      <c r="L33" s="47">
        <v>41579</v>
      </c>
      <c r="M33" s="51">
        <v>41609</v>
      </c>
    </row>
    <row r="34" spans="1:13" s="8" customFormat="1" ht="11.25" customHeight="1">
      <c r="A34" s="46" t="s">
        <v>33</v>
      </c>
      <c r="B34" s="57">
        <f>COUNTIFS(Jan!$B:$B,3011,Jan!$J:$J,40)</f>
        <v>0</v>
      </c>
      <c r="C34" s="57">
        <f>COUNTIFS(Feb!$B:$B,3011,Feb!$J:$J,40)</f>
        <v>0</v>
      </c>
      <c r="D34" s="57">
        <v>1</v>
      </c>
      <c r="E34" s="57">
        <f>COUNTIFS(Apr!$B:$B,3011,Apr!$J:$J,40)</f>
        <v>0</v>
      </c>
      <c r="F34" s="57">
        <f>COUNTIFS(May!$B:$B,3011,May!$J:$J,40)</f>
        <v>0</v>
      </c>
      <c r="G34" s="57">
        <f>COUNTIFS(Jun!$B:$B,3011,Jun!$J:$J,40)</f>
        <v>0</v>
      </c>
      <c r="H34" s="57">
        <f>COUNTIFS(Jul!$B:$B,3011,Jul!$J:$J,40)</f>
        <v>0</v>
      </c>
      <c r="I34" s="57">
        <v>1</v>
      </c>
      <c r="J34" s="57">
        <f>COUNTIFS(Sep!$B:$B,3011,Sep!$J:$J,40)</f>
        <v>0</v>
      </c>
      <c r="K34" s="57">
        <v>1</v>
      </c>
      <c r="L34" s="57">
        <f>COUNTIFS(Nov!$B:$B,3011,Nov!$J:$J,40)</f>
        <v>0</v>
      </c>
      <c r="M34" s="57">
        <v>1</v>
      </c>
    </row>
    <row r="35" spans="1:13" s="8" customFormat="1" ht="11.25" customHeight="1">
      <c r="A35" s="10" t="s">
        <v>4</v>
      </c>
      <c r="B35" s="59">
        <f>COUNTIFS(Jan!$B:$B,3011,Jan!$J:$J,15)</f>
        <v>0</v>
      </c>
      <c r="C35" s="59">
        <f>COUNTIFS(Feb!$B:$B,3011,Feb!$J:$J,15)</f>
        <v>0</v>
      </c>
      <c r="D35" s="59">
        <f>COUNTIFS(Mar!$B:$B,3011,Mar!$J:$J,15)</f>
        <v>0</v>
      </c>
      <c r="E35" s="59">
        <v>3</v>
      </c>
      <c r="F35" s="59">
        <v>2</v>
      </c>
      <c r="G35" s="59">
        <f>COUNTIFS(Jun!$B:$B,3011,Jun!$J:$J,15)</f>
        <v>0</v>
      </c>
      <c r="H35" s="59">
        <v>2</v>
      </c>
      <c r="I35" s="59">
        <v>5</v>
      </c>
      <c r="J35" s="59">
        <v>1</v>
      </c>
      <c r="K35" s="59">
        <v>1</v>
      </c>
      <c r="L35" s="59">
        <v>1</v>
      </c>
      <c r="M35" s="59">
        <v>5</v>
      </c>
    </row>
    <row r="36" spans="1:13" s="8" customFormat="1" ht="11.25" customHeight="1">
      <c r="A36" s="10" t="s">
        <v>39</v>
      </c>
      <c r="B36" s="59">
        <f>COUNTIFS(Jan!$B:$B,3011,Jan!$J:$J,29)</f>
        <v>2</v>
      </c>
      <c r="C36" s="59">
        <v>1</v>
      </c>
      <c r="D36" s="59">
        <v>5</v>
      </c>
      <c r="E36" s="59">
        <v>1</v>
      </c>
      <c r="F36" s="59">
        <v>6</v>
      </c>
      <c r="G36" s="59">
        <v>2</v>
      </c>
      <c r="H36" s="59">
        <v>2</v>
      </c>
      <c r="I36" s="59">
        <f>COUNTIFS(Aug!$B:$B,3011,Aug!$J:$J,29)</f>
        <v>0</v>
      </c>
      <c r="J36" s="59">
        <v>4</v>
      </c>
      <c r="K36" s="59">
        <v>3</v>
      </c>
      <c r="L36" s="59">
        <v>1</v>
      </c>
      <c r="M36" s="59">
        <v>2</v>
      </c>
    </row>
    <row r="37" spans="1:13" s="8" customFormat="1" ht="11.25" customHeight="1">
      <c r="A37" s="10" t="s">
        <v>3</v>
      </c>
      <c r="B37" s="59">
        <f>COUNTIFS(Jan!$B:$B,3011,Jan!$J:$J,13)</f>
        <v>3</v>
      </c>
      <c r="C37" s="59">
        <v>1</v>
      </c>
      <c r="D37" s="59">
        <v>2</v>
      </c>
      <c r="E37" s="59">
        <v>1</v>
      </c>
      <c r="F37" s="59">
        <f>COUNTIFS(May!$B:$B,3011,May!$J:$J,13)</f>
        <v>0</v>
      </c>
      <c r="G37" s="59">
        <v>1</v>
      </c>
      <c r="H37" s="59">
        <f>COUNTIFS(Jul!$B:$B,3011,Jul!$J:$J,13)</f>
        <v>0</v>
      </c>
      <c r="I37" s="59">
        <v>3</v>
      </c>
      <c r="J37" s="59">
        <v>3</v>
      </c>
      <c r="K37" s="59">
        <f>COUNTIFS(Oct!$B:$B,3011,Oct!$J:$J,13)</f>
        <v>0</v>
      </c>
      <c r="L37" s="59">
        <f>COUNTIFS(Nov!$B:$B,3011,Nov!$J:$J,13)</f>
        <v>0</v>
      </c>
      <c r="M37" s="59">
        <v>0</v>
      </c>
    </row>
    <row r="38" spans="1:13" s="8" customFormat="1" ht="11.25" customHeight="1">
      <c r="A38" s="9" t="s">
        <v>218</v>
      </c>
      <c r="B38" s="59">
        <f>COUNTIFS(Jan!$B:$B,3011,Jan!$J:$J,43)</f>
        <v>0</v>
      </c>
      <c r="C38" s="59">
        <f>COUNTIFS(Feb!$B:$B,3011,Feb!$J:$J,43)</f>
        <v>0</v>
      </c>
      <c r="D38" s="59">
        <f>COUNTIFS(Mar!$B:$B,3011,Mar!$J:$J,43)</f>
        <v>0</v>
      </c>
      <c r="E38" s="59">
        <f>COUNTIFS(Apr!$B:$B,3011,Apr!$J:$J,43)</f>
        <v>0</v>
      </c>
      <c r="F38" s="59">
        <f>COUNTIFS(May!$B:$B,3011,May!$J:$J,43)</f>
        <v>0</v>
      </c>
      <c r="G38" s="59">
        <v>1</v>
      </c>
      <c r="H38" s="59">
        <f>COUNTIFS(Jul!$B:$B,3011,Jul!$J:$J,43)</f>
        <v>0</v>
      </c>
      <c r="I38" s="59">
        <v>1</v>
      </c>
      <c r="J38" s="59">
        <v>1</v>
      </c>
      <c r="K38" s="59">
        <f>COUNTIFS(Oct!$B:$B,3011,Oct!$J:$J,43)</f>
        <v>0</v>
      </c>
      <c r="L38" s="59">
        <f>COUNTIFS(Nov!$B:$B,3011,Nov!$J:$J,43)</f>
        <v>0</v>
      </c>
      <c r="M38" s="59">
        <v>1</v>
      </c>
    </row>
    <row r="39" spans="1:13" s="8" customFormat="1" ht="11.25" customHeight="1">
      <c r="A39" s="10" t="s">
        <v>25</v>
      </c>
      <c r="B39" s="59">
        <f>COUNTIFS(Jan!$B:$B,3011,Jan!$J:$J,24)</f>
        <v>6</v>
      </c>
      <c r="C39" s="59">
        <v>2</v>
      </c>
      <c r="D39" s="59">
        <v>5</v>
      </c>
      <c r="E39" s="59">
        <v>6</v>
      </c>
      <c r="F39" s="59">
        <v>1</v>
      </c>
      <c r="G39" s="59">
        <v>6</v>
      </c>
      <c r="H39" s="59">
        <v>6</v>
      </c>
      <c r="I39" s="59">
        <v>2</v>
      </c>
      <c r="J39" s="59">
        <v>6</v>
      </c>
      <c r="K39" s="59">
        <v>4</v>
      </c>
      <c r="L39" s="59">
        <v>3</v>
      </c>
      <c r="M39" s="59">
        <v>1</v>
      </c>
    </row>
    <row r="40" spans="1:13" s="8" customFormat="1" ht="11.25" customHeight="1">
      <c r="A40" s="10" t="s">
        <v>34</v>
      </c>
      <c r="B40" s="59">
        <f>COUNTIFS(Jan!$B:$B,3011,Jan!$J:$J,9)</f>
        <v>0</v>
      </c>
      <c r="C40" s="59">
        <f>COUNTIFS(Feb!$B:$B,3011,Feb!$J:$J,9)</f>
        <v>0</v>
      </c>
      <c r="D40" s="59">
        <v>1</v>
      </c>
      <c r="E40" s="59">
        <f>COUNTIFS(Apr!$B:$B,3011,Apr!$J:$J,9)</f>
        <v>0</v>
      </c>
      <c r="F40" s="59">
        <f>COUNTIFS(May!$B:$B,3011,May!$J:$J,9)</f>
        <v>0</v>
      </c>
      <c r="G40" s="59">
        <v>2</v>
      </c>
      <c r="H40" s="59">
        <f>COUNTIFS(Jul!$B:$B,3011,Jul!$J:$J,9)</f>
        <v>0</v>
      </c>
      <c r="I40" s="59">
        <v>1</v>
      </c>
      <c r="J40" s="59">
        <v>1</v>
      </c>
      <c r="K40" s="59">
        <f>COUNTIFS(Oct!$B:$B,3011,Oct!$J:$J,9)</f>
        <v>0</v>
      </c>
      <c r="L40" s="59">
        <f>COUNTIFS(Nov!$B:$B,3011,Nov!$J:$J,9)</f>
        <v>0</v>
      </c>
      <c r="M40" s="59">
        <v>7</v>
      </c>
    </row>
    <row r="41" spans="1:13" s="8" customFormat="1" ht="11.25" customHeight="1">
      <c r="A41" s="10" t="s">
        <v>31</v>
      </c>
      <c r="B41" s="59">
        <f>COUNTIFS(Jan!$B:$B,3011,Jan!$J:$J,10)</f>
        <v>2</v>
      </c>
      <c r="C41" s="59">
        <f>COUNTIFS(Feb!$B:$B,3011,Feb!$J:$J,10)</f>
        <v>0</v>
      </c>
      <c r="D41" s="59">
        <f>COUNTIFS(Mar!$B:$B,3011,Mar!$J:$J,10)</f>
        <v>0</v>
      </c>
      <c r="E41" s="59">
        <f>COUNTIFS(Apr!$B:$B,3011,Apr!$J:$J,10)</f>
        <v>0</v>
      </c>
      <c r="F41" s="59">
        <f>COUNTIFS(May!$B:$B,3011,May!$J:$J,10)</f>
        <v>0</v>
      </c>
      <c r="G41" s="59">
        <v>1</v>
      </c>
      <c r="H41" s="59">
        <f>COUNTIFS(Jul!$B:$B,3011,Jul!$J:$J,10)</f>
        <v>0</v>
      </c>
      <c r="I41" s="59">
        <v>4</v>
      </c>
      <c r="J41" s="59">
        <f>COUNTIFS(Sep!$B:$B,3011,Sep!$J:$J,10)</f>
        <v>0</v>
      </c>
      <c r="K41" s="59">
        <v>1</v>
      </c>
      <c r="L41" s="59">
        <f>COUNTIFS(Nov!$B:$B,3011,Nov!$J:$J,10)</f>
        <v>0</v>
      </c>
      <c r="M41" s="59">
        <v>2</v>
      </c>
    </row>
    <row r="42" spans="1:13" s="8" customFormat="1" ht="11.25" customHeight="1">
      <c r="A42" s="10" t="s">
        <v>144</v>
      </c>
      <c r="B42" s="59">
        <f>COUNTIFS(Jan!$B:$B,3011,Jan!$F:$F,462)</f>
        <v>0</v>
      </c>
      <c r="C42" s="59">
        <f>COUNTIFS(Feb!$B:$B,3011,Feb!$F:$F,462)</f>
        <v>0</v>
      </c>
      <c r="D42" s="59">
        <f>COUNTIFS(Mar!$B:$B,3011,Mar!$F:$F,462)</f>
        <v>0</v>
      </c>
      <c r="E42" s="59">
        <f>COUNTIFS(Apr!$B:$B,3011,Apr!$F:$F,462)</f>
        <v>0</v>
      </c>
      <c r="F42" s="59">
        <f>COUNTIFS(May!$B:$B,3011,May!$F:$F,462)</f>
        <v>0</v>
      </c>
      <c r="G42" s="59">
        <f>COUNTIFS(Jun!$B:$B,3011,Jun!$F:$F,462)</f>
        <v>0</v>
      </c>
      <c r="H42" s="59">
        <f>COUNTIFS(Jul!$B:$B,3011,Jul!$F:$F,462)</f>
        <v>0</v>
      </c>
      <c r="I42" s="59">
        <f>COUNTIFS(Aug!$B:$B,3011,Aug!$F:$F,462)</f>
        <v>0</v>
      </c>
      <c r="J42" s="59">
        <f>COUNTIFS(Sep!$B:$B,3011,Sep!$F:$F,462)</f>
        <v>0</v>
      </c>
      <c r="K42" s="59">
        <f>COUNTIFS(Oct!$B:$B,3011,Oct!$F:$F,462)</f>
        <v>0</v>
      </c>
      <c r="L42" s="59">
        <f>COUNTIFS(Nov!$B:$B,3011,Nov!$F:$F,462)</f>
        <v>0</v>
      </c>
      <c r="M42" s="59">
        <v>0</v>
      </c>
    </row>
    <row r="43" spans="1:13" s="8" customFormat="1" ht="11.25" customHeight="1">
      <c r="A43" s="10" t="s">
        <v>1</v>
      </c>
      <c r="B43" s="59">
        <f>COUNTIFS(Jan!$B:$B,3011,Jan!$J:$J,11)</f>
        <v>0</v>
      </c>
      <c r="C43" s="59">
        <f>COUNTIFS(Feb!$B:$B,3011,Feb!$J:$J,11)</f>
        <v>0</v>
      </c>
      <c r="D43" s="59">
        <v>1</v>
      </c>
      <c r="E43" s="59">
        <f>COUNTIFS(Apr!$B:$B,3011,Apr!$J:$J,11)</f>
        <v>0</v>
      </c>
      <c r="F43" s="59">
        <f>COUNTIFS(May!$B:$B,3011,May!$J:$J,11)</f>
        <v>0</v>
      </c>
      <c r="G43" s="59">
        <v>1</v>
      </c>
      <c r="H43" s="59">
        <v>3</v>
      </c>
      <c r="I43" s="59">
        <v>3</v>
      </c>
      <c r="J43" s="59">
        <f>COUNTIFS(Sep!$B:$B,3011,Sep!$J:$J,11)</f>
        <v>0</v>
      </c>
      <c r="K43" s="59">
        <v>1</v>
      </c>
      <c r="L43" s="59">
        <v>6</v>
      </c>
      <c r="M43" s="59">
        <v>4</v>
      </c>
    </row>
    <row r="44" spans="1:13" s="8" customFormat="1" ht="11.25" customHeight="1">
      <c r="A44" s="10" t="s">
        <v>26</v>
      </c>
      <c r="B44" s="59">
        <f>COUNTIFS(Jan!$B:$B,3011,Jan!$J:$J,20)</f>
        <v>0</v>
      </c>
      <c r="C44" s="59">
        <f>COUNTIFS(Feb!$B:$B,3011,Feb!$J:$J,20)</f>
        <v>0</v>
      </c>
      <c r="D44" s="59">
        <f>COUNTIFS(Mar!$B:$B,3011,Mar!$J:$J,20)</f>
        <v>0</v>
      </c>
      <c r="E44" s="59">
        <f>COUNTIFS(Apr!$B:$B,3011,Apr!$J:$J,20)</f>
        <v>0</v>
      </c>
      <c r="F44" s="59">
        <f>COUNTIFS(May!$B:$B,3011,May!$J:$J,20)</f>
        <v>0</v>
      </c>
      <c r="G44" s="59">
        <f>COUNTIFS(Jun!$B:$B,3011,Jun!$J:$J,20)</f>
        <v>0</v>
      </c>
      <c r="H44" s="59">
        <f>COUNTIFS(Jul!$B:$B,3011,Jul!$J:$J,20)</f>
        <v>0</v>
      </c>
      <c r="I44" s="59">
        <f>COUNTIFS(Aug!$B:$B,3011,Aug!$J:$J,20)</f>
        <v>0</v>
      </c>
      <c r="J44" s="59">
        <f>COUNTIFS(Sep!$B:$B,3011,Sep!$J:$J,20)</f>
        <v>0</v>
      </c>
      <c r="K44" s="59">
        <f>COUNTIFS(Oct!$B:$B,3011,Oct!$J:$J,20)</f>
        <v>0</v>
      </c>
      <c r="L44" s="59">
        <f>COUNTIFS(Nov!$B:$B,3011,Nov!$J:$J,20)</f>
        <v>0</v>
      </c>
      <c r="M44" s="59">
        <v>0</v>
      </c>
    </row>
    <row r="45" spans="1:13" s="8" customFormat="1" ht="11.25" customHeight="1">
      <c r="A45" s="10" t="s">
        <v>32</v>
      </c>
      <c r="B45" s="59">
        <f>COUNTIFS(Jan!$B:$B,3011,Jan!$J:$J,2)</f>
        <v>4</v>
      </c>
      <c r="C45" s="59">
        <v>2</v>
      </c>
      <c r="D45" s="59">
        <v>5</v>
      </c>
      <c r="E45" s="59">
        <v>2</v>
      </c>
      <c r="F45" s="59">
        <v>4</v>
      </c>
      <c r="G45" s="59">
        <v>12</v>
      </c>
      <c r="H45" s="59">
        <v>4</v>
      </c>
      <c r="I45" s="59">
        <v>8</v>
      </c>
      <c r="J45" s="59">
        <v>8</v>
      </c>
      <c r="K45" s="59">
        <v>3</v>
      </c>
      <c r="L45" s="59">
        <v>5</v>
      </c>
      <c r="M45" s="59">
        <v>9</v>
      </c>
    </row>
    <row r="46" spans="1:13" s="8" customFormat="1" ht="11.25" customHeight="1">
      <c r="A46" s="10" t="s">
        <v>28</v>
      </c>
      <c r="B46" s="59">
        <f>COUNTIFS(Jan!$B:$B,3011,Jan!$J:$J,1700)+COUNTIFS(Jan!$B:$B,3011,Jan!$F:$F,1700)+COUNTIFS(Jan!$B:$B,3011,Jan!$J:$J,19)</f>
        <v>0</v>
      </c>
      <c r="C46" s="59">
        <f>COUNTIFS(Feb!$B:$B,3011,Feb!$J:$J,1700)+COUNTIFS(Feb!$B:$B,3011,Feb!$F:$F,1700)+COUNTIFS(Feb!$B:$B,3011,Feb!$J:$J,19)</f>
        <v>0</v>
      </c>
      <c r="D46" s="59">
        <f>COUNTIFS(Mar!$B:$B,3011,Mar!$J:$J,1700)+COUNTIFS(Mar!$B:$B,3011,Mar!$F:$F,1700)+COUNTIFS(Mar!$B:$B,3011,Mar!$J:$J,19)</f>
        <v>0</v>
      </c>
      <c r="E46" s="59">
        <f>COUNTIFS(Apr!$B:$B,3011,Apr!$J:$J,1700)+COUNTIFS(Apr!$B:$B,3011,Apr!$F:$F,1700)+COUNTIFS(Apr!$B:$B,3011,Apr!$J:$J,19)</f>
        <v>0</v>
      </c>
      <c r="F46" s="59">
        <f>COUNTIFS(May!$B:$B,3011,May!$J:$J,1700)+COUNTIFS(May!$B:$B,3011,May!$F:$F,1700)+COUNTIFS(May!$B:$B,3011,May!$J:$J,19)</f>
        <v>0</v>
      </c>
      <c r="G46" s="59">
        <f>COUNTIFS(Jun!$B:$B,3011,Jun!$J:$J,1700)+COUNTIFS(Jun!$B:$B,3011,Jun!$F:$F,1700)+COUNTIFS(Jun!$B:$B,3011,Jun!$J:$J,19)</f>
        <v>0</v>
      </c>
      <c r="H46" s="59">
        <f>COUNTIFS(Jul!$B:$B,3011,Jul!$J:$J,1700)+COUNTIFS(Jul!$B:$B,3011,Jul!$F:$F,1700)+COUNTIFS(Jul!$B:$B,3011,Jul!$J:$J,19)</f>
        <v>0</v>
      </c>
      <c r="I46" s="59">
        <v>1</v>
      </c>
      <c r="J46" s="59">
        <v>1</v>
      </c>
      <c r="K46" s="59">
        <f>COUNTIFS(Oct!$B:$B,3011,Oct!$J:$J,1700)+COUNTIFS(Oct!$B:$B,3011,Oct!$F:$F,1700)+COUNTIFS(Oct!$B:$B,3011,Oct!$J:$J,19)</f>
        <v>0</v>
      </c>
      <c r="L46" s="59">
        <v>2</v>
      </c>
      <c r="M46" s="59">
        <v>3</v>
      </c>
    </row>
    <row r="47" spans="1:13" s="8" customFormat="1" ht="11.25" customHeight="1">
      <c r="A47" s="10" t="s">
        <v>0</v>
      </c>
      <c r="B47" s="59">
        <f>COUNTIFS(Jan!$B:$B,3011,Jan!$J:$J,3)</f>
        <v>5</v>
      </c>
      <c r="C47" s="59">
        <v>2</v>
      </c>
      <c r="D47" s="59">
        <v>5</v>
      </c>
      <c r="E47" s="59">
        <v>1</v>
      </c>
      <c r="F47" s="59">
        <v>3</v>
      </c>
      <c r="G47" s="59">
        <v>3</v>
      </c>
      <c r="H47" s="59">
        <v>6</v>
      </c>
      <c r="I47" s="59">
        <v>11</v>
      </c>
      <c r="J47" s="59">
        <v>4</v>
      </c>
      <c r="K47" s="59">
        <v>4</v>
      </c>
      <c r="L47" s="59">
        <v>2</v>
      </c>
      <c r="M47" s="59">
        <v>2</v>
      </c>
    </row>
    <row r="48" spans="1:13" s="8" customFormat="1" ht="11.25" customHeight="1">
      <c r="A48" s="10" t="s">
        <v>35</v>
      </c>
      <c r="B48" s="59">
        <f>COUNTIFS(Jan!$B:$B,3011,Jan!$J:$J,7400)</f>
        <v>0</v>
      </c>
      <c r="C48" s="59">
        <f>COUNTIFS(Feb!$B:$B,3011,Feb!$J:$J,7400)</f>
        <v>0</v>
      </c>
      <c r="D48" s="59">
        <f>COUNTIFS(Mar!$B:$B,3011,Mar!$J:$J,7400)</f>
        <v>0</v>
      </c>
      <c r="E48" s="59">
        <f>COUNTIFS(Apr!$B:$B,3011,Apr!$J:$J,7400)</f>
        <v>0</v>
      </c>
      <c r="F48" s="59">
        <f>COUNTIFS(May!$B:$B,3011,May!$J:$J,7400)</f>
        <v>0</v>
      </c>
      <c r="G48" s="59">
        <f>COUNTIFS(Jun!$B:$B,3011,Jun!$J:$J,7400)</f>
        <v>0</v>
      </c>
      <c r="H48" s="59">
        <f>COUNTIFS(Jul!$B:$B,3011,Jul!$J:$J,7400)</f>
        <v>0</v>
      </c>
      <c r="I48" s="59">
        <f>COUNTIFS(Aug!$B:$B,3011,Aug!$J:$J,7400)</f>
        <v>0</v>
      </c>
      <c r="J48" s="59">
        <f>COUNTIFS(Sep!$B:$B,3011,Sep!$J:$J,7400)</f>
        <v>0</v>
      </c>
      <c r="K48" s="59">
        <f>COUNTIFS(Oct!$B:$B,3011,Oct!$J:$J,7400)</f>
        <v>0</v>
      </c>
      <c r="L48" s="59">
        <f>COUNTIFS(Nov!$B:$B,3011,Nov!$J:$J,7400)</f>
        <v>0</v>
      </c>
      <c r="M48" s="59">
        <v>0</v>
      </c>
    </row>
    <row r="49" spans="1:13" s="8" customFormat="1" ht="11.25" customHeight="1">
      <c r="A49" s="10" t="s">
        <v>2</v>
      </c>
      <c r="B49" s="59">
        <f>COUNTIFS(Jan!$B:$B,3011,Jan!$J:$J,14)</f>
        <v>0</v>
      </c>
      <c r="C49" s="59">
        <f>COUNTIFS(Feb!$B:$B,3011,Feb!$J:$J,14)</f>
        <v>0</v>
      </c>
      <c r="D49" s="59">
        <f>COUNTIFS(Mar!$B:$B,3011,Mar!$J:$J,14)</f>
        <v>0</v>
      </c>
      <c r="E49" s="59">
        <f>COUNTIFS(Apr!$B:$B,3011,Apr!$J:$J,14)</f>
        <v>0</v>
      </c>
      <c r="F49" s="59">
        <f>COUNTIFS(May!$B:$B,3011,May!$J:$J,14)</f>
        <v>0</v>
      </c>
      <c r="G49" s="59">
        <f>COUNTIFS(Jun!$B:$B,3011,Jun!$J:$J,14)</f>
        <v>0</v>
      </c>
      <c r="H49" s="59">
        <f>COUNTIFS(Jul!$B:$B,3011,Jul!$J:$J,14)</f>
        <v>0</v>
      </c>
      <c r="I49" s="59">
        <f>COUNTIFS(Aug!$B:$B,3011,Aug!$J:$J,14)</f>
        <v>0</v>
      </c>
      <c r="J49" s="59">
        <v>2</v>
      </c>
      <c r="K49" s="59">
        <f>COUNTIFS(Oct!$B:$B,3011,Oct!$J:$J,14)</f>
        <v>0</v>
      </c>
      <c r="L49" s="59">
        <f>COUNTIFS(Nov!$B:$B,3011,Nov!$J:$J,14)</f>
        <v>0</v>
      </c>
      <c r="M49" s="59">
        <v>0</v>
      </c>
    </row>
    <row r="50" spans="1:13" s="8" customFormat="1" ht="11.25" customHeight="1">
      <c r="A50" s="10" t="s">
        <v>142</v>
      </c>
      <c r="B50" s="59">
        <f>COUNTIFS(Jan!$B:$B,3011,Jan!$F:$F,466)</f>
        <v>0</v>
      </c>
      <c r="C50" s="59">
        <f>COUNTIFS(Feb!$B:$B,3011,Feb!$F:$F,466)</f>
        <v>0</v>
      </c>
      <c r="D50" s="59">
        <f>COUNTIFS(Mar!$B:$B,3011,Mar!$F:$F,466)</f>
        <v>0</v>
      </c>
      <c r="E50" s="59">
        <f>COUNTIFS(Apr!$B:$B,3011,Apr!$F:$F,466)</f>
        <v>0</v>
      </c>
      <c r="F50" s="59">
        <f>COUNTIFS(May!$B:$B,3011,May!$F:$F,466)</f>
        <v>0</v>
      </c>
      <c r="G50" s="59">
        <f>COUNTIFS(Jun!$B:$B,3011,Jun!$F:$F,466)</f>
        <v>0</v>
      </c>
      <c r="H50" s="59">
        <f>COUNTIFS(Jul!$B:$B,3011,Jul!$F:$F,466)</f>
        <v>0</v>
      </c>
      <c r="I50" s="59">
        <f>COUNTIFS(Aug!$B:$B,3011,Aug!$F:$F,466)</f>
        <v>0</v>
      </c>
      <c r="J50" s="59">
        <f>COUNTIFS(Sep!$B:$B,3011,Sep!$F:$F,466)</f>
        <v>0</v>
      </c>
      <c r="K50" s="59">
        <v>1</v>
      </c>
      <c r="L50" s="59">
        <f>COUNTIFS(Nov!$B:$B,3011,Nov!$F:$F,466)</f>
        <v>0</v>
      </c>
      <c r="M50" s="59">
        <v>0</v>
      </c>
    </row>
    <row r="51" spans="1:13" s="8" customFormat="1" ht="11.25" customHeight="1">
      <c r="A51" s="10" t="s">
        <v>27</v>
      </c>
      <c r="B51" s="59">
        <f>COUNTIFS(Jan!$B:$B,3011,Jan!$J:$J,25)</f>
        <v>0</v>
      </c>
      <c r="C51" s="59">
        <f>COUNTIFS(Feb!$B:$B,3011,Feb!$J:$J,25)</f>
        <v>0</v>
      </c>
      <c r="D51" s="59">
        <f>COUNTIFS(Mar!$B:$B,3011,Mar!$J:$J,25)</f>
        <v>0</v>
      </c>
      <c r="E51" s="59">
        <f>COUNTIFS(Apr!$B:$B,3011,Apr!$J:$J,25)</f>
        <v>0</v>
      </c>
      <c r="F51" s="59">
        <f>COUNTIFS(May!$B:$B,3011,May!$J:$J,25)</f>
        <v>0</v>
      </c>
      <c r="G51" s="59">
        <f>COUNTIFS(Jun!$B:$B,3011,Jun!$J:$J,25)</f>
        <v>0</v>
      </c>
      <c r="H51" s="59">
        <f>COUNTIFS(Jul!$B:$B,3011,Jul!$J:$J,25)</f>
        <v>0</v>
      </c>
      <c r="I51" s="59">
        <f>COUNTIFS(Aug!$B:$B,3011,Aug!$J:$J,25)</f>
        <v>0</v>
      </c>
      <c r="J51" s="59">
        <f>COUNTIFS(Sep!$B:$B,3011,Sep!$J:$J,25)</f>
        <v>0</v>
      </c>
      <c r="K51" s="59">
        <f>COUNTIFS(Oct!$B:$B,3011,Oct!$J:$J,25)</f>
        <v>0</v>
      </c>
      <c r="L51" s="59">
        <f>COUNTIFS(Nov!$B:$B,3011,Nov!$J:$J,25)</f>
        <v>0</v>
      </c>
      <c r="M51" s="59">
        <v>0</v>
      </c>
    </row>
    <row r="52" spans="1:13" s="8" customFormat="1" ht="11.25" customHeight="1" thickBot="1">
      <c r="A52" s="11" t="s">
        <v>16</v>
      </c>
      <c r="B52" s="60">
        <f>SUM(B34:B51)</f>
        <v>22</v>
      </c>
      <c r="C52" s="60">
        <f t="shared" ref="C52:M52" si="11">SUM(C34:C51)</f>
        <v>8</v>
      </c>
      <c r="D52" s="60">
        <f>SUM(D34:D51)</f>
        <v>25</v>
      </c>
      <c r="E52" s="60">
        <f>SUM(E34:E51)</f>
        <v>14</v>
      </c>
      <c r="F52" s="60">
        <f>SUM(F34:F51)</f>
        <v>16</v>
      </c>
      <c r="G52" s="60">
        <f>SUM(G34:G51)</f>
        <v>29</v>
      </c>
      <c r="H52" s="60">
        <f t="shared" si="11"/>
        <v>23</v>
      </c>
      <c r="I52" s="60">
        <f t="shared" si="11"/>
        <v>40</v>
      </c>
      <c r="J52" s="60">
        <f t="shared" si="11"/>
        <v>31</v>
      </c>
      <c r="K52" s="60">
        <f t="shared" si="11"/>
        <v>19</v>
      </c>
      <c r="L52" s="159">
        <f t="shared" si="11"/>
        <v>20</v>
      </c>
      <c r="M52" s="170">
        <f t="shared" si="11"/>
        <v>37</v>
      </c>
    </row>
    <row r="53" spans="1:13" ht="12" customHeight="1" thickBot="1">
      <c r="A53" s="55" t="s">
        <v>137</v>
      </c>
      <c r="B53" s="50">
        <v>41275</v>
      </c>
      <c r="C53" s="47">
        <v>41306</v>
      </c>
      <c r="D53" s="47">
        <v>41334</v>
      </c>
      <c r="E53" s="47">
        <v>41365</v>
      </c>
      <c r="F53" s="47">
        <v>41395</v>
      </c>
      <c r="G53" s="47">
        <v>41426</v>
      </c>
      <c r="H53" s="47">
        <v>41456</v>
      </c>
      <c r="I53" s="47">
        <v>41487</v>
      </c>
      <c r="J53" s="47">
        <v>41518</v>
      </c>
      <c r="K53" s="47">
        <v>41548</v>
      </c>
      <c r="L53" s="47">
        <v>41579</v>
      </c>
      <c r="M53" s="51">
        <v>41609</v>
      </c>
    </row>
    <row r="54" spans="1:13" s="8" customFormat="1" ht="11.25" customHeight="1">
      <c r="A54" s="10" t="s">
        <v>30</v>
      </c>
      <c r="B54" s="57">
        <f>COUNTIFS(Jan!$B:$B,3011,Jan!$J:$J,7)</f>
        <v>4</v>
      </c>
      <c r="C54" s="57">
        <f>COUNTIFS(Feb!$B:$B,3011,Feb!$J:$J,7)</f>
        <v>0</v>
      </c>
      <c r="D54" s="57">
        <f>COUNTIFS(Mar!$B:$B,3011,Mar!$J:$J,7)</f>
        <v>0</v>
      </c>
      <c r="E54" s="57">
        <f>COUNTIFS(Apr!$B:$B,3011,Apr!$J:$J,7)</f>
        <v>0</v>
      </c>
      <c r="F54" s="57">
        <v>2</v>
      </c>
      <c r="G54" s="57">
        <f>COUNTIFS(Jun!$B:$B,3011,Jun!$J:$J,7)</f>
        <v>0</v>
      </c>
      <c r="H54" s="57">
        <f>COUNTIFS(Jul!$B:$B,3011,Jul!$J:$J,7)</f>
        <v>0</v>
      </c>
      <c r="I54" s="57">
        <v>1</v>
      </c>
      <c r="J54" s="57">
        <v>2</v>
      </c>
      <c r="K54" s="57">
        <v>3</v>
      </c>
      <c r="L54" s="57">
        <v>2</v>
      </c>
      <c r="M54" s="57">
        <v>1</v>
      </c>
    </row>
    <row r="55" spans="1:13" s="8" customFormat="1" ht="11.25" customHeight="1">
      <c r="A55" s="10" t="s">
        <v>29</v>
      </c>
      <c r="B55" s="59">
        <f>COUNTIFS(Jan!$B:$B,3011,Jan!$J:$J,8)</f>
        <v>2</v>
      </c>
      <c r="C55" s="59">
        <f>COUNTIFS(Feb!$B:$B,3011,Feb!$J:$J,8)</f>
        <v>0</v>
      </c>
      <c r="D55" s="59">
        <f>COUNTIFS(Mar!$B:$B,3011,Mar!$J:$J,8)</f>
        <v>0</v>
      </c>
      <c r="E55" s="59">
        <f>COUNTIFS(Apr!$B:$B,3011,Apr!$J:$J,8)</f>
        <v>0</v>
      </c>
      <c r="F55" s="59">
        <f>COUNTIFS(May!$B:$B,3011,May!$J:$J,8)</f>
        <v>0</v>
      </c>
      <c r="G55" s="59">
        <f>COUNTIFS(Jun!$B:$B,3011,Jun!$J:$J,8)</f>
        <v>0</v>
      </c>
      <c r="H55" s="59">
        <f>COUNTIFS(Jul!$B:$B,3011,Jul!$J:$J,8)</f>
        <v>0</v>
      </c>
      <c r="I55" s="59">
        <f>COUNTIFS(Aug!$B:$B,3011,Aug!$J:$J,8)</f>
        <v>0</v>
      </c>
      <c r="J55" s="59">
        <f>COUNTIFS(Sep!$B:$B,3011,Sep!$J:$J,8)</f>
        <v>0</v>
      </c>
      <c r="K55" s="59">
        <f>COUNTIFS(Oct!$B:$B,3011,Oct!$J:$J,8)</f>
        <v>0</v>
      </c>
      <c r="L55" s="59">
        <f>COUNTIFS(Nov!$B:$B,3011,Nov!$J:$J,8)</f>
        <v>0</v>
      </c>
      <c r="M55" s="59">
        <v>0</v>
      </c>
    </row>
    <row r="56" spans="1:13" s="8" customFormat="1" ht="11.25" customHeight="1">
      <c r="A56" s="10" t="s">
        <v>7</v>
      </c>
      <c r="B56" s="59">
        <f>COUNTIFS(Jan!$B:$B,3011,Jan!$J:$J,12)</f>
        <v>0</v>
      </c>
      <c r="C56" s="59">
        <f>COUNTIFS(Feb!$B:$B,3011,Feb!$J:$J,12)</f>
        <v>0</v>
      </c>
      <c r="D56" s="59">
        <v>1</v>
      </c>
      <c r="E56" s="59">
        <f>COUNTIFS(Apr!$B:$B,3011,Apr!$J:$J,12)</f>
        <v>0</v>
      </c>
      <c r="F56" s="59">
        <v>3</v>
      </c>
      <c r="G56" s="59">
        <f>COUNTIFS(Jun!$B:$B,3011,Jun!$J:$J,12)</f>
        <v>0</v>
      </c>
      <c r="H56" s="59">
        <f>COUNTIFS(Jul!$B:$B,3011,Jul!$J:$J,12)</f>
        <v>0</v>
      </c>
      <c r="I56" s="59">
        <f>COUNTIFS(Aug!$B:$B,3011,Aug!$J:$J,12)</f>
        <v>0</v>
      </c>
      <c r="J56" s="59">
        <f>COUNTIFS(Sep!$B:$B,3011,Sep!$J:$J,12)</f>
        <v>0</v>
      </c>
      <c r="K56" s="59">
        <f>COUNTIFS(Oct!$B:$B,3011,Oct!$J:$J,12)</f>
        <v>0</v>
      </c>
      <c r="L56" s="59">
        <v>2</v>
      </c>
      <c r="M56" s="59">
        <v>2</v>
      </c>
    </row>
    <row r="57" spans="1:13" s="8" customFormat="1" ht="11.25" customHeight="1">
      <c r="A57" s="10" t="s">
        <v>10</v>
      </c>
      <c r="B57" s="59">
        <f>COUNTIFS(Jan!$B:$B,3011,Jan!$J:$J,5100)</f>
        <v>0</v>
      </c>
      <c r="C57" s="59">
        <f>COUNTIFS(Feb!$B:$B,3011,Feb!$J:$J,5100)</f>
        <v>0</v>
      </c>
      <c r="D57" s="59">
        <f>COUNTIFS(Mar!$B:$B,3011,Mar!$J:$J,5100)</f>
        <v>0</v>
      </c>
      <c r="E57" s="59">
        <f>COUNTIFS(Apr!$B:$B,3011,Apr!$J:$J,5100)</f>
        <v>0</v>
      </c>
      <c r="F57" s="59">
        <f>COUNTIFS(May!$B:$B,3011,May!$J:$J,5100)</f>
        <v>0</v>
      </c>
      <c r="G57" s="59">
        <f>COUNTIFS(Jun!$B:$B,3011,Jun!$J:$J,5100)</f>
        <v>0</v>
      </c>
      <c r="H57" s="59">
        <f>COUNTIFS(Jul!$B:$B,3011,Jul!$J:$J,5100)</f>
        <v>0</v>
      </c>
      <c r="I57" s="59">
        <f>COUNTIFS(Aug!$B:$B,3011,Aug!$J:$J,5100)</f>
        <v>0</v>
      </c>
      <c r="J57" s="59">
        <f>COUNTIFS(Sep!$B:$B,3011,Sep!$J:$J,5100)</f>
        <v>0</v>
      </c>
      <c r="K57" s="59">
        <f>COUNTIFS(Oct!$B:$B,3011,Oct!$J:$J,5100)</f>
        <v>0</v>
      </c>
      <c r="L57" s="59">
        <f>COUNTIFS(Nov!$B:$B,3011,Nov!$J:$J,5100)</f>
        <v>0</v>
      </c>
      <c r="M57" s="59">
        <v>0</v>
      </c>
    </row>
    <row r="58" spans="1:13" s="8" customFormat="1" ht="11.25" customHeight="1">
      <c r="A58" s="10" t="s">
        <v>36</v>
      </c>
      <c r="B58" s="59">
        <f>COUNTIFS(Jan!$B:$B,3011,Jan!$J:$J,6200)</f>
        <v>12</v>
      </c>
      <c r="C58" s="59">
        <v>8</v>
      </c>
      <c r="D58" s="59">
        <v>12</v>
      </c>
      <c r="E58" s="59">
        <v>10</v>
      </c>
      <c r="F58" s="59">
        <v>22</v>
      </c>
      <c r="G58" s="59">
        <v>30</v>
      </c>
      <c r="H58" s="59">
        <v>50</v>
      </c>
      <c r="I58" s="59">
        <v>26</v>
      </c>
      <c r="J58" s="59">
        <v>24</v>
      </c>
      <c r="K58" s="59">
        <v>12</v>
      </c>
      <c r="L58" s="59">
        <v>14</v>
      </c>
      <c r="M58" s="59">
        <v>18</v>
      </c>
    </row>
    <row r="59" spans="1:13" s="8" customFormat="1" ht="11.25" customHeight="1">
      <c r="A59" s="10" t="s">
        <v>145</v>
      </c>
      <c r="B59" s="59">
        <f>COUNTIFS(Jan!$B:$B,3011,Jan!$J:$J,28)</f>
        <v>0</v>
      </c>
      <c r="C59" s="59">
        <f>COUNTIFS(Feb!$B:$B,3011,Feb!$J:$J,28)</f>
        <v>0</v>
      </c>
      <c r="D59" s="59">
        <f>COUNTIFS(Mar!$B:$B,3011,Mar!$J:$J,28)</f>
        <v>0</v>
      </c>
      <c r="E59" s="59">
        <f>COUNTIFS(Apr!$B:$B,3011,Apr!$J:$J,28)</f>
        <v>0</v>
      </c>
      <c r="F59" s="59">
        <f>COUNTIFS(May!$B:$B,3011,May!$J:$J,28)</f>
        <v>0</v>
      </c>
      <c r="G59" s="59">
        <f>COUNTIFS(Jun!$B:$B,3011,Jun!$J:$J,28)</f>
        <v>0</v>
      </c>
      <c r="H59" s="59">
        <f>COUNTIFS(Jul!$B:$B,3011,Jul!$J:$J,28)</f>
        <v>0</v>
      </c>
      <c r="I59" s="59">
        <f>COUNTIFS(Aug!$B:$B,3011,Aug!$J:$J,28)</f>
        <v>0</v>
      </c>
      <c r="J59" s="59">
        <f>COUNTIFS(Sep!$B:$B,3011,Sep!$J:$J,28)</f>
        <v>0</v>
      </c>
      <c r="K59" s="59">
        <f>COUNTIFS(Oct!$B:$B,3011,Oct!$J:$J,28)</f>
        <v>0</v>
      </c>
      <c r="L59" s="59">
        <f>COUNTIFS(Nov!$B:$B,3011,Nov!$J:$J,28)</f>
        <v>0</v>
      </c>
      <c r="M59" s="59">
        <v>0</v>
      </c>
    </row>
    <row r="60" spans="1:13" s="8" customFormat="1" ht="11.25" customHeight="1">
      <c r="A60" s="10" t="s">
        <v>38</v>
      </c>
      <c r="B60" s="59">
        <f>COUNTIFS(Jan!$B:$B,3011,Jan!$J:$J,6100)</f>
        <v>0</v>
      </c>
      <c r="C60" s="59">
        <f>COUNTIFS(Feb!$B:$B,3011,Feb!$J:$J,6100)</f>
        <v>0</v>
      </c>
      <c r="D60" s="59">
        <f>COUNTIFS(Mar!$B:$B,3011,Mar!$J:$J,6100)</f>
        <v>0</v>
      </c>
      <c r="E60" s="59">
        <f>COUNTIFS(Apr!$B:$B,3011,Apr!$J:$J,6100)</f>
        <v>0</v>
      </c>
      <c r="F60" s="59">
        <f>COUNTIFS(May!$B:$B,3011,May!$J:$J,6100)</f>
        <v>0</v>
      </c>
      <c r="G60" s="59">
        <f>COUNTIFS(Jun!$B:$B,3011,Jun!$J:$J,6100)</f>
        <v>0</v>
      </c>
      <c r="H60" s="59">
        <f>COUNTIFS(Jul!$B:$B,3011,Jul!$J:$J,6100)</f>
        <v>0</v>
      </c>
      <c r="I60" s="59">
        <f>COUNTIFS(Aug!$B:$B,3011,Aug!$J:$J,6100)</f>
        <v>0</v>
      </c>
      <c r="J60" s="59">
        <f>COUNTIFS(Sep!$B:$B,3011,Sep!$J:$J,6100)</f>
        <v>0</v>
      </c>
      <c r="K60" s="59">
        <f>COUNTIFS(Oct!$B:$B,3011,Oct!$J:$J,6100)</f>
        <v>0</v>
      </c>
      <c r="L60" s="59">
        <f>COUNTIFS(Nov!$B:$B,3011,Nov!$J:$J,6100)</f>
        <v>0</v>
      </c>
      <c r="M60" s="59">
        <v>0</v>
      </c>
    </row>
    <row r="61" spans="1:13" s="8" customFormat="1" ht="11.25" customHeight="1">
      <c r="A61" s="10" t="s">
        <v>9</v>
      </c>
      <c r="B61" s="59">
        <f>COUNTIFS(Jan!$B:$B,3011,Jan!$J:$J,6)</f>
        <v>0</v>
      </c>
      <c r="C61" s="59">
        <f>COUNTIFS(Feb!$B:$B,3011,Feb!$J:$J,6)</f>
        <v>0</v>
      </c>
      <c r="D61" s="59">
        <f>COUNTIFS(Mar!$B:$B,3011,Mar!$J:$J,6)</f>
        <v>0</v>
      </c>
      <c r="E61" s="59">
        <f>COUNTIFS(Apr!$B:$B,3011,Apr!$J:$J,6)</f>
        <v>0</v>
      </c>
      <c r="F61" s="59">
        <f>COUNTIFS(May!$B:$B,3011,May!$J:$J,6)</f>
        <v>0</v>
      </c>
      <c r="G61" s="59">
        <f>COUNTIFS(Jun!$B:$B,3011,Jun!$J:$J,6)</f>
        <v>0</v>
      </c>
      <c r="H61" s="59">
        <f>COUNTIFS(Jul!$B:$B,3011,Jul!$J:$J,6)</f>
        <v>0</v>
      </c>
      <c r="I61" s="59">
        <f>COUNTIFS(Aug!$B:$B,3011,Aug!$J:$J,6)</f>
        <v>0</v>
      </c>
      <c r="J61" s="59">
        <f>COUNTIFS(Sep!$B:$B,3011,Sep!$J:$J,6)</f>
        <v>0</v>
      </c>
      <c r="K61" s="59">
        <f>COUNTIFS(Oct!$B:$B,3011,Oct!$J:$J,6)</f>
        <v>0</v>
      </c>
      <c r="L61" s="59">
        <f>COUNTIFS(Nov!$B:$B,3011,Nov!$J:$J,6)</f>
        <v>0</v>
      </c>
      <c r="M61" s="59">
        <v>0</v>
      </c>
    </row>
    <row r="62" spans="1:13" s="8" customFormat="1" ht="11.25" customHeight="1">
      <c r="A62" s="10" t="s">
        <v>8</v>
      </c>
      <c r="B62" s="59">
        <f>COUNTIFS(Jan!$B:$B,3011,Jan!$J:$J,4)</f>
        <v>0</v>
      </c>
      <c r="C62" s="59">
        <f>COUNTIFS(Feb!$B:$B,3011,Feb!$J:$J,4)</f>
        <v>0</v>
      </c>
      <c r="D62" s="59">
        <f>COUNTIFS(Mar!$B:$B,3011,Mar!$J:$J,4)</f>
        <v>0</v>
      </c>
      <c r="E62" s="59">
        <f>COUNTIFS(Apr!$B:$B,3011,Apr!$J:$J,4)</f>
        <v>0</v>
      </c>
      <c r="F62" s="59">
        <f>COUNTIFS(May!$B:$B,3011,May!$J:$J,4)</f>
        <v>0</v>
      </c>
      <c r="G62" s="59">
        <f>COUNTIFS(Jun!$B:$B,3011,Jun!$J:$J,4)</f>
        <v>0</v>
      </c>
      <c r="H62" s="59">
        <f>COUNTIFS(Jul!$B:$B,3011,Jul!$J:$J,4)</f>
        <v>0</v>
      </c>
      <c r="I62" s="59">
        <f>COUNTIFS(Aug!$B:$B,3011,Aug!$J:$J,4)</f>
        <v>0</v>
      </c>
      <c r="J62" s="59">
        <f>COUNTIFS(Sep!$B:$B,3011,Sep!$J:$J,4)</f>
        <v>0</v>
      </c>
      <c r="K62" s="59">
        <f>COUNTIFS(Oct!$B:$B,3011,Oct!$J:$J,4)</f>
        <v>0</v>
      </c>
      <c r="L62" s="59">
        <f>COUNTIFS(Nov!$B:$B,3011,Nov!$J:$J,4)</f>
        <v>0</v>
      </c>
      <c r="M62" s="59">
        <v>0</v>
      </c>
    </row>
    <row r="63" spans="1:13" s="8" customFormat="1" ht="11.25" customHeight="1">
      <c r="A63" s="10" t="s">
        <v>6</v>
      </c>
      <c r="B63" s="59">
        <f>COUNTIFS(Jan!$B:$B,3011,Jan!$J:$J,5)</f>
        <v>0</v>
      </c>
      <c r="C63" s="59">
        <f>COUNTIFS(Feb!$B:$B,3011,Feb!$J:$J,5)</f>
        <v>0</v>
      </c>
      <c r="D63" s="59">
        <f>COUNTIFS(Mar!$B:$B,3011,Mar!$J:$J,5)</f>
        <v>0</v>
      </c>
      <c r="E63" s="59">
        <f>COUNTIFS(Apr!$B:$B,3011,Apr!$J:$J,5)</f>
        <v>0</v>
      </c>
      <c r="F63" s="59">
        <f>COUNTIFS(May!$B:$B,3011,May!$J:$J,5)</f>
        <v>0</v>
      </c>
      <c r="G63" s="59">
        <f>COUNTIFS(Jun!$B:$B,3011,Jun!$J:$J,5)</f>
        <v>0</v>
      </c>
      <c r="H63" s="59">
        <f>COUNTIFS(Jul!$B:$B,3011,Jul!$J:$J,5)</f>
        <v>0</v>
      </c>
      <c r="I63" s="59">
        <f>COUNTIFS(Aug!$B:$B,3011,Aug!$J:$J,5)</f>
        <v>0</v>
      </c>
      <c r="J63" s="59">
        <f>COUNTIFS(Sep!$B:$B,3011,Sep!$J:$J,5)</f>
        <v>0</v>
      </c>
      <c r="K63" s="59">
        <f>COUNTIFS(Oct!$B:$B,3011,Oct!$J:$J,5)</f>
        <v>0</v>
      </c>
      <c r="L63" s="59">
        <f>COUNTIFS(Nov!$B:$B,3011,Nov!$J:$J,5)</f>
        <v>0</v>
      </c>
      <c r="M63" s="59">
        <v>0</v>
      </c>
    </row>
    <row r="64" spans="1:13" s="8" customFormat="1" ht="11.25" customHeight="1">
      <c r="A64" s="52" t="s">
        <v>141</v>
      </c>
      <c r="B64" s="69">
        <f>COUNTIFS(Jan!$B:$B,3011,Jan!$F:$F,456)</f>
        <v>0</v>
      </c>
      <c r="C64" s="69">
        <f>COUNTIFS(Feb!$B:$B,3011,Feb!$F:$F,456)</f>
        <v>0</v>
      </c>
      <c r="D64" s="69">
        <f>COUNTIFS(Mar!$B:$B,3011,Mar!$F:$F,456)</f>
        <v>0</v>
      </c>
      <c r="E64" s="69">
        <f>COUNTIFS(Apr!$B:$B,3011,Apr!$F:$F,456)</f>
        <v>0</v>
      </c>
      <c r="F64" s="69">
        <f>COUNTIFS(May!$B:$B,3011,May!$F:$F,456)</f>
        <v>0</v>
      </c>
      <c r="G64" s="69">
        <f>COUNTIFS(Jun!$B:$B,3011,Jun!$F:$F,456)</f>
        <v>0</v>
      </c>
      <c r="H64" s="69">
        <f>COUNTIFS(Jul!$B:$B,3011,Jul!$F:$F,456)</f>
        <v>0</v>
      </c>
      <c r="I64" s="69">
        <f>COUNTIFS(Aug!$B:$B,3011,Aug!$F:$F,456)</f>
        <v>0</v>
      </c>
      <c r="J64" s="69">
        <f>COUNTIFS(Sep!$B:$B,3011,Sep!$F:$F,456)</f>
        <v>0</v>
      </c>
      <c r="K64" s="69">
        <f>COUNTIFS(Oct!$B:$B,3011,Oct!$F:$F,456)</f>
        <v>0</v>
      </c>
      <c r="L64" s="69">
        <f>COUNTIFS(Nov!$B:$B,3011,Nov!$F:$F,456)</f>
        <v>0</v>
      </c>
      <c r="M64" s="69">
        <v>0</v>
      </c>
    </row>
    <row r="65" spans="1:13" s="8" customFormat="1" ht="11.25" customHeight="1" thickBot="1">
      <c r="A65" s="12" t="s">
        <v>16</v>
      </c>
      <c r="B65" s="70">
        <f>SUM(B54:B64)</f>
        <v>18</v>
      </c>
      <c r="C65" s="70">
        <f t="shared" ref="C65:M65" si="12">SUM(C54:C64)</f>
        <v>8</v>
      </c>
      <c r="D65" s="70">
        <f t="shared" si="12"/>
        <v>13</v>
      </c>
      <c r="E65" s="70">
        <f t="shared" si="12"/>
        <v>10</v>
      </c>
      <c r="F65" s="70">
        <f t="shared" si="12"/>
        <v>27</v>
      </c>
      <c r="G65" s="70">
        <f t="shared" si="12"/>
        <v>30</v>
      </c>
      <c r="H65" s="70">
        <f t="shared" si="12"/>
        <v>50</v>
      </c>
      <c r="I65" s="70">
        <f t="shared" si="12"/>
        <v>27</v>
      </c>
      <c r="J65" s="70">
        <f t="shared" si="12"/>
        <v>26</v>
      </c>
      <c r="K65" s="70">
        <f t="shared" si="12"/>
        <v>15</v>
      </c>
      <c r="L65" s="165">
        <f t="shared" si="12"/>
        <v>18</v>
      </c>
      <c r="M65" s="170">
        <f t="shared" si="12"/>
        <v>21</v>
      </c>
    </row>
    <row r="66" spans="1:13" s="8" customFormat="1" ht="15.75" customHeight="1">
      <c r="A66" s="6"/>
      <c r="B66" s="7"/>
      <c r="C66" s="7"/>
      <c r="D66" s="7"/>
      <c r="E66" s="7"/>
      <c r="F66" s="7"/>
      <c r="G66" s="7"/>
      <c r="H66" s="7"/>
      <c r="I66" s="7"/>
      <c r="J66" s="7"/>
      <c r="K66" s="7"/>
      <c r="L66" s="7"/>
      <c r="M66" s="7"/>
    </row>
    <row r="67" spans="1:13" ht="12" customHeight="1">
      <c r="A67" s="6"/>
      <c r="B67" s="7"/>
      <c r="C67" s="7"/>
      <c r="D67" s="7"/>
      <c r="E67" s="7"/>
      <c r="F67" s="7"/>
      <c r="G67" s="7"/>
      <c r="H67" s="7"/>
      <c r="I67" s="7"/>
      <c r="J67" s="7"/>
      <c r="K67" s="7"/>
      <c r="L67" s="7"/>
      <c r="M67" s="7"/>
    </row>
  </sheetData>
  <phoneticPr fontId="0" type="noConversion"/>
  <printOptions horizontalCentered="1" verticalCentered="1"/>
  <pageMargins left="0.14000000000000001" right="0.16" top="0.25" bottom="0.5" header="0.5" footer="0.25"/>
  <pageSetup scale="95" firstPageNumber="3" orientation="portrait" useFirstPageNumber="1" r:id="rId1"/>
  <headerFooter alignWithMargins="0">
    <oddFooter>&amp;R49 of 51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70"/>
  <sheetViews>
    <sheetView view="pageBreakPreview" zoomScale="90" zoomScaleNormal="100" zoomScaleSheetLayoutView="90" workbookViewId="0">
      <selection activeCell="M12" sqref="M12"/>
    </sheetView>
  </sheetViews>
  <sheetFormatPr defaultRowHeight="12.75"/>
  <cols>
    <col min="1" max="1" width="22.85546875" style="1" customWidth="1"/>
    <col min="2" max="13" width="7.140625" style="1" customWidth="1"/>
    <col min="14" max="14" width="4.42578125" style="1" customWidth="1"/>
    <col min="15" max="22" width="9.140625" style="1" customWidth="1"/>
    <col min="23" max="16384" width="9.140625" style="1"/>
  </cols>
  <sheetData>
    <row r="1" spans="1:21" ht="18" customHeight="1">
      <c r="A1" s="210"/>
      <c r="B1" s="211"/>
      <c r="C1" s="211"/>
      <c r="D1" s="211"/>
      <c r="E1" s="211"/>
      <c r="F1" s="211"/>
      <c r="G1" s="211"/>
      <c r="H1" s="211"/>
      <c r="I1" s="212"/>
      <c r="J1" s="211"/>
      <c r="K1" s="211"/>
      <c r="L1" s="213"/>
      <c r="M1" s="214" t="s">
        <v>22</v>
      </c>
    </row>
    <row r="2" spans="1:21" ht="18" customHeight="1">
      <c r="A2" s="215"/>
      <c r="B2" s="132"/>
      <c r="C2" s="132"/>
      <c r="D2" s="132"/>
      <c r="E2" s="132"/>
      <c r="F2" s="132"/>
      <c r="G2" s="132"/>
      <c r="H2" s="132"/>
      <c r="I2" s="130"/>
      <c r="J2" s="132"/>
      <c r="K2" s="132"/>
      <c r="L2" s="209"/>
      <c r="M2" s="216" t="s">
        <v>13</v>
      </c>
    </row>
    <row r="3" spans="1:21" s="5" customFormat="1" ht="18" customHeight="1">
      <c r="A3" s="217"/>
      <c r="B3" s="131"/>
      <c r="C3" s="131"/>
      <c r="D3" s="131"/>
      <c r="E3" s="131"/>
      <c r="F3" s="131"/>
      <c r="G3" s="131"/>
      <c r="H3" s="131"/>
      <c r="I3" s="133"/>
      <c r="J3" s="131"/>
      <c r="K3" s="131"/>
      <c r="L3" s="143"/>
      <c r="M3" s="218" t="s">
        <v>17</v>
      </c>
    </row>
    <row r="4" spans="1:21" s="8" customFormat="1" ht="6.75" customHeight="1" thickBot="1">
      <c r="A4" s="219"/>
      <c r="B4" s="39"/>
      <c r="C4" s="39"/>
      <c r="D4" s="39"/>
      <c r="E4" s="39"/>
      <c r="F4" s="39"/>
      <c r="G4" s="48"/>
      <c r="H4" s="39"/>
      <c r="I4" s="39"/>
      <c r="J4" s="39"/>
      <c r="K4" s="39"/>
      <c r="L4" s="154"/>
      <c r="M4" s="220"/>
    </row>
    <row r="5" spans="1:21" s="8" customFormat="1" ht="11.25" customHeight="1" thickBot="1">
      <c r="A5" s="53" t="s">
        <v>19</v>
      </c>
      <c r="B5" s="50">
        <v>41275</v>
      </c>
      <c r="C5" s="47">
        <v>41306</v>
      </c>
      <c r="D5" s="47">
        <v>41334</v>
      </c>
      <c r="E5" s="47">
        <v>41365</v>
      </c>
      <c r="F5" s="47">
        <v>41395</v>
      </c>
      <c r="G5" s="47">
        <v>41426</v>
      </c>
      <c r="H5" s="47">
        <v>41456</v>
      </c>
      <c r="I5" s="47">
        <v>41487</v>
      </c>
      <c r="J5" s="47">
        <v>41518</v>
      </c>
      <c r="K5" s="47">
        <v>41548</v>
      </c>
      <c r="L5" s="47">
        <v>41579</v>
      </c>
      <c r="M5" s="51">
        <v>41609</v>
      </c>
    </row>
    <row r="6" spans="1:21" s="8" customFormat="1" ht="11.25" customHeight="1">
      <c r="A6" s="41" t="s">
        <v>129</v>
      </c>
      <c r="B6" s="57">
        <f>SUM('ASR2004:ASR3044'!B6)</f>
        <v>1399</v>
      </c>
      <c r="C6" s="57">
        <f>SUM('ASR2004:ASR3044'!C6)</f>
        <v>1060</v>
      </c>
      <c r="D6" s="57">
        <f>SUM('ASR2004:ASR3044'!D6)</f>
        <v>974</v>
      </c>
      <c r="E6" s="57">
        <f>SUM('ASR2004:ASR3044'!E6)</f>
        <v>941</v>
      </c>
      <c r="F6" s="57">
        <f>SUM('ASR2004:ASR3044'!F6)</f>
        <v>1102</v>
      </c>
      <c r="G6" s="57">
        <f>SUM('ASR2004:ASR3044'!G6)</f>
        <v>1123</v>
      </c>
      <c r="H6" s="57">
        <f>SUM('ASR2004:ASR3044'!H6)</f>
        <v>1380</v>
      </c>
      <c r="I6" s="57">
        <f>SUM('ASR2004:ASR3044'!I6)</f>
        <v>1578</v>
      </c>
      <c r="J6" s="57">
        <f>SUM('ASR2004:ASR3044'!J6)</f>
        <v>1518</v>
      </c>
      <c r="K6" s="57">
        <f>SUM('ASR2004:ASR3044'!K6)</f>
        <v>797</v>
      </c>
      <c r="L6" s="156">
        <f>SUM('ASR2004:ASR3044'!L6)</f>
        <v>1191</v>
      </c>
      <c r="M6" s="144">
        <f>SUM('ASR2004:ASR3044'!M6)</f>
        <v>1511</v>
      </c>
    </row>
    <row r="7" spans="1:21" s="8" customFormat="1" ht="11.25" customHeight="1">
      <c r="A7" s="42" t="s">
        <v>18</v>
      </c>
      <c r="B7" s="57">
        <f>SUM('ASR2004:ASR3044'!B7)</f>
        <v>3536</v>
      </c>
      <c r="C7" s="57">
        <f>SUM('ASR2004:ASR3044'!C7)</f>
        <v>3487</v>
      </c>
      <c r="D7" s="57">
        <f>SUM('ASR2004:ASR3044'!D7)</f>
        <v>3832</v>
      </c>
      <c r="E7" s="57">
        <f>SUM('ASR2004:ASR3044'!E7)</f>
        <v>3690</v>
      </c>
      <c r="F7" s="57">
        <f>SUM('ASR2004:ASR3044'!F7)</f>
        <v>4029</v>
      </c>
      <c r="G7" s="57">
        <f>SUM('ASR2004:ASR3044'!G7)</f>
        <v>4166</v>
      </c>
      <c r="H7" s="57">
        <f>SUM('ASR2004:ASR3044'!H7)</f>
        <v>4785</v>
      </c>
      <c r="I7" s="57">
        <f>SUM('ASR2004:ASR3044'!I7)</f>
        <v>5134</v>
      </c>
      <c r="J7" s="57">
        <f>SUM('ASR2004:ASR3044'!J7)</f>
        <v>4699</v>
      </c>
      <c r="K7" s="57">
        <f>SUM('ASR2004:ASR3044'!K7)</f>
        <v>3274</v>
      </c>
      <c r="L7" s="156">
        <f>SUM('ASR2004:ASR3044'!L7)</f>
        <v>3734</v>
      </c>
      <c r="M7" s="144">
        <f>SUM('ASR2004:ASR3044'!M7)</f>
        <v>4424</v>
      </c>
    </row>
    <row r="8" spans="1:21" s="8" customFormat="1" ht="11.25" customHeight="1" thickBot="1">
      <c r="A8" s="43" t="s">
        <v>14</v>
      </c>
      <c r="B8" s="58">
        <f>SUM(B6:B7)</f>
        <v>4935</v>
      </c>
      <c r="C8" s="58">
        <f>SUM(C6:C7)</f>
        <v>4547</v>
      </c>
      <c r="D8" s="58">
        <f t="shared" ref="D8:L8" si="0">SUM(D6:D7)</f>
        <v>4806</v>
      </c>
      <c r="E8" s="58">
        <f t="shared" si="0"/>
        <v>4631</v>
      </c>
      <c r="F8" s="58">
        <f t="shared" si="0"/>
        <v>5131</v>
      </c>
      <c r="G8" s="58">
        <f t="shared" si="0"/>
        <v>5289</v>
      </c>
      <c r="H8" s="58">
        <f t="shared" si="0"/>
        <v>6165</v>
      </c>
      <c r="I8" s="58">
        <f t="shared" si="0"/>
        <v>6712</v>
      </c>
      <c r="J8" s="58">
        <f t="shared" si="0"/>
        <v>6217</v>
      </c>
      <c r="K8" s="58">
        <f t="shared" si="0"/>
        <v>4071</v>
      </c>
      <c r="L8" s="157">
        <f t="shared" si="0"/>
        <v>4925</v>
      </c>
      <c r="M8" s="145">
        <f>SUM(M6:M7)</f>
        <v>5935</v>
      </c>
    </row>
    <row r="9" spans="1:21" s="8" customFormat="1" ht="11.25" customHeight="1" thickBot="1">
      <c r="A9" s="54" t="s">
        <v>18</v>
      </c>
      <c r="B9" s="50">
        <v>41275</v>
      </c>
      <c r="C9" s="47">
        <v>41306</v>
      </c>
      <c r="D9" s="47">
        <v>41334</v>
      </c>
      <c r="E9" s="47">
        <v>41365</v>
      </c>
      <c r="F9" s="47">
        <v>41395</v>
      </c>
      <c r="G9" s="47">
        <v>41426</v>
      </c>
      <c r="H9" s="47">
        <v>41456</v>
      </c>
      <c r="I9" s="47">
        <v>41487</v>
      </c>
      <c r="J9" s="47">
        <v>41518</v>
      </c>
      <c r="K9" s="47">
        <v>41548</v>
      </c>
      <c r="L9" s="47">
        <v>41579</v>
      </c>
      <c r="M9" s="51">
        <v>41609</v>
      </c>
      <c r="O9" s="137"/>
      <c r="P9" s="137"/>
      <c r="Q9" s="137"/>
      <c r="R9" s="137"/>
      <c r="S9" s="137"/>
      <c r="T9" s="137"/>
      <c r="U9" s="137"/>
    </row>
    <row r="10" spans="1:21" s="8" customFormat="1" ht="11.25" customHeight="1">
      <c r="A10" s="9" t="s">
        <v>128</v>
      </c>
      <c r="B10" s="57">
        <f>SUM('ASR2004:ASR3044'!B10)</f>
        <v>1883</v>
      </c>
      <c r="C10" s="57">
        <f>SUM('ASR2004:ASR3044'!C10)</f>
        <v>1810</v>
      </c>
      <c r="D10" s="57">
        <f>SUM('ASR2004:ASR3044'!D10)</f>
        <v>1906</v>
      </c>
      <c r="E10" s="57">
        <f>SUM('ASR2004:ASR3044'!E10)</f>
        <v>1793</v>
      </c>
      <c r="F10" s="57">
        <f>SUM('ASR2004:ASR3044'!F10)</f>
        <v>1957</v>
      </c>
      <c r="G10" s="57">
        <f>SUM('ASR2004:ASR3044'!G10)</f>
        <v>2087</v>
      </c>
      <c r="H10" s="57">
        <f>SUM('ASR2004:ASR3044'!H10)</f>
        <v>2645</v>
      </c>
      <c r="I10" s="57">
        <f>SUM('ASR2004:ASR3044'!I10)</f>
        <v>2873</v>
      </c>
      <c r="J10" s="57">
        <f>SUM('ASR2004:ASR3044'!J10)</f>
        <v>2396</v>
      </c>
      <c r="K10" s="57">
        <f>SUM('ASR2004:ASR3044'!K10)</f>
        <v>1405</v>
      </c>
      <c r="L10" s="156">
        <f>SUM('ASR2004:ASR3044'!L10)</f>
        <v>1714</v>
      </c>
      <c r="M10" s="144">
        <f>SUM('ASR2004:ASR3044'!M10)</f>
        <v>2136</v>
      </c>
      <c r="O10" s="123"/>
      <c r="P10" s="123"/>
      <c r="Q10" s="123"/>
      <c r="R10" s="123"/>
      <c r="S10" s="123"/>
      <c r="T10" s="123"/>
      <c r="U10" s="123"/>
    </row>
    <row r="11" spans="1:21" s="8" customFormat="1" ht="11.25" customHeight="1">
      <c r="A11" s="9" t="s">
        <v>127</v>
      </c>
      <c r="B11" s="57">
        <f>SUM('ASR2004:ASR3044'!B11)</f>
        <v>529</v>
      </c>
      <c r="C11" s="57">
        <f>SUM('ASR2004:ASR3044'!C11)</f>
        <v>463</v>
      </c>
      <c r="D11" s="57">
        <f>SUM('ASR2004:ASR3044'!D11)</f>
        <v>461</v>
      </c>
      <c r="E11" s="57">
        <f>SUM('ASR2004:ASR3044'!E11)</f>
        <v>467</v>
      </c>
      <c r="F11" s="57">
        <f>SUM('ASR2004:ASR3044'!F11)</f>
        <v>524</v>
      </c>
      <c r="G11" s="57">
        <f>SUM('ASR2004:ASR3044'!G11)</f>
        <v>480</v>
      </c>
      <c r="H11" s="57">
        <f>SUM('ASR2004:ASR3044'!H11)</f>
        <v>618</v>
      </c>
      <c r="I11" s="57">
        <f>SUM('ASR2004:ASR3044'!I11)</f>
        <v>514</v>
      </c>
      <c r="J11" s="57">
        <f>SUM('ASR2004:ASR3044'!J11)</f>
        <v>588</v>
      </c>
      <c r="K11" s="57">
        <f>SUM('ASR2004:ASR3044'!K11)</f>
        <v>315</v>
      </c>
      <c r="L11" s="156">
        <f>SUM('ASR2004:ASR3044'!L11)</f>
        <v>559</v>
      </c>
      <c r="M11" s="144">
        <f>SUM('ASR2004:ASR3044'!M11)</f>
        <v>795</v>
      </c>
      <c r="O11" s="123"/>
      <c r="P11" s="123"/>
      <c r="Q11" s="123"/>
      <c r="R11" s="123"/>
      <c r="S11" s="123"/>
      <c r="T11" s="123"/>
      <c r="U11" s="123"/>
    </row>
    <row r="12" spans="1:21" s="8" customFormat="1" ht="11.25" customHeight="1" thickBot="1">
      <c r="A12" s="2" t="s">
        <v>12</v>
      </c>
      <c r="B12" s="71">
        <f>SUM('ASR2004:ASR3044'!B12)</f>
        <v>1124</v>
      </c>
      <c r="C12" s="71">
        <f>SUM('ASR2004:ASR3044'!C12)</f>
        <v>1214</v>
      </c>
      <c r="D12" s="71">
        <f>SUM('ASR2004:ASR3044'!D12)</f>
        <v>1465</v>
      </c>
      <c r="E12" s="71">
        <f>SUM('ASR2004:ASR3044'!E12)</f>
        <v>1430</v>
      </c>
      <c r="F12" s="71">
        <f>SUM('ASR2004:ASR3044'!F12)</f>
        <v>1548</v>
      </c>
      <c r="G12" s="71">
        <f>SUM('ASR2004:ASR3044'!G12)</f>
        <v>1599</v>
      </c>
      <c r="H12" s="71">
        <f>SUM('ASR2004:ASR3044'!H12)</f>
        <v>1522</v>
      </c>
      <c r="I12" s="71">
        <f>SUM('ASR2004:ASR3044'!I12)</f>
        <v>1747</v>
      </c>
      <c r="J12" s="71">
        <f>SUM('ASR2004:ASR3044'!J12)</f>
        <v>1715</v>
      </c>
      <c r="K12" s="71">
        <f>SUM('ASR2004:ASR3044'!K12)</f>
        <v>1554</v>
      </c>
      <c r="L12" s="164">
        <f>SUM('ASR2004:ASR3044'!L12)</f>
        <v>1461</v>
      </c>
      <c r="M12" s="146">
        <f>SUM('ASR2004:ASR3044'!M12)</f>
        <v>1493</v>
      </c>
      <c r="O12" s="124"/>
      <c r="P12" s="124"/>
      <c r="Q12" s="124"/>
      <c r="R12" s="124"/>
      <c r="S12" s="124"/>
      <c r="T12" s="124"/>
      <c r="U12" s="124"/>
    </row>
    <row r="13" spans="1:21" s="8" customFormat="1" ht="5.0999999999999996" customHeight="1" thickBot="1">
      <c r="A13" s="3"/>
      <c r="B13" s="17"/>
      <c r="C13" s="17"/>
      <c r="D13" s="17"/>
      <c r="E13" s="17"/>
      <c r="F13" s="17"/>
      <c r="G13" s="17"/>
      <c r="H13" s="17"/>
      <c r="I13" s="17"/>
      <c r="J13" s="17"/>
      <c r="K13" s="17"/>
      <c r="L13" s="17"/>
      <c r="M13" s="147"/>
    </row>
    <row r="14" spans="1:21" s="8" customFormat="1" ht="11.25" customHeight="1">
      <c r="A14" s="44" t="s">
        <v>131</v>
      </c>
      <c r="B14" s="57">
        <f>SUM('ASR2004:ASR3044'!B14)</f>
        <v>513885</v>
      </c>
      <c r="C14" s="57">
        <f>SUM('ASR2004:ASR3044'!C14)</f>
        <v>563333</v>
      </c>
      <c r="D14" s="57">
        <f>SUM('ASR2004:ASR3044'!D14)</f>
        <v>571463</v>
      </c>
      <c r="E14" s="57">
        <f>SUM('ASR2004:ASR3044'!E14)</f>
        <v>545320</v>
      </c>
      <c r="F14" s="57">
        <f>SUM('ASR2004:ASR3044'!F14)</f>
        <v>581808</v>
      </c>
      <c r="G14" s="57">
        <f>SUM('ASR2004:ASR3044'!G14)</f>
        <v>605553</v>
      </c>
      <c r="H14" s="57">
        <f>SUM('ASR2004:ASR3044'!H14)</f>
        <v>563143</v>
      </c>
      <c r="I14" s="57">
        <f>SUM('ASR2004:ASR3044'!I14)</f>
        <v>545506.60000000009</v>
      </c>
      <c r="J14" s="57">
        <f>SUM('ASR2004:ASR3044'!J14)</f>
        <v>574479.79999999993</v>
      </c>
      <c r="K14" s="57">
        <f>SUM('ASR2004:ASR3044'!K14)</f>
        <v>589052</v>
      </c>
      <c r="L14" s="156">
        <f>SUM('ASR2004:ASR3044'!L14)</f>
        <v>509501</v>
      </c>
      <c r="M14" s="166">
        <f>SUM('ASR2004:ASR3044'!M14)</f>
        <v>610926</v>
      </c>
      <c r="N14" s="15"/>
      <c r="O14" s="125"/>
      <c r="P14" s="125"/>
      <c r="Q14" s="125"/>
      <c r="R14" s="125"/>
      <c r="S14" s="125"/>
      <c r="T14" s="125"/>
      <c r="U14" s="125"/>
    </row>
    <row r="15" spans="1:21" s="8" customFormat="1" ht="11.25" customHeight="1">
      <c r="A15" s="45" t="s">
        <v>132</v>
      </c>
      <c r="B15" s="62">
        <f>IFERROR((SUMIFS(Jan!$N:$N,Jan!$K:$K,1)+SUMIFS(Jan!$N:$N,Jan!$B:$B,"&gt;1"))/(COUNTIFS(Jan!$K:$K,1)+COUNTIFS(Jan!$B:$B,"&gt;1")),"")</f>
        <v>23.357243887654072</v>
      </c>
      <c r="C15" s="57">
        <f ca="1">AVERAGE('ASR2004:ASR3044'!C15)</f>
        <v>25.30432432432432</v>
      </c>
      <c r="D15" s="57">
        <f ca="1">AVERAGE('ASR2004:ASR3044'!D15)</f>
        <v>25.302702702702703</v>
      </c>
      <c r="E15" s="57">
        <f ca="1">AVERAGE('ASR2004:ASR3044'!E15)</f>
        <v>25.521351351351349</v>
      </c>
      <c r="F15" s="57">
        <f ca="1">AVERAGE('ASR2004:ASR3044'!F15)</f>
        <v>25.47972972972973</v>
      </c>
      <c r="G15" s="57">
        <f ca="1">AVERAGE('ASR2004:ASR3044'!G15)</f>
        <v>25.644324324324327</v>
      </c>
      <c r="H15" s="57">
        <f ca="1">AVERAGE('ASR2004:ASR3044'!H15)</f>
        <v>25.225789473684209</v>
      </c>
      <c r="I15" s="62">
        <f ca="1">AVERAGE('ASR2004:ASR3044'!I15)</f>
        <v>25.342894736842101</v>
      </c>
      <c r="J15" s="62">
        <f ca="1">AVERAGE('ASR2004:ASR3044'!J15)</f>
        <v>25.318648648648654</v>
      </c>
      <c r="K15" s="62">
        <f ca="1">AVERAGE('ASR2004:ASR3044'!K15)</f>
        <v>25.947105263157898</v>
      </c>
      <c r="L15" s="62">
        <f ca="1">AVERAGE('ASR2004:ASR3044'!L15)</f>
        <v>24.799736842105261</v>
      </c>
      <c r="M15" s="221">
        <f>AVERAGE('ASR2004:ASR3044'!M15)</f>
        <v>24.55263157894737</v>
      </c>
      <c r="N15" s="15"/>
    </row>
    <row r="16" spans="1:21" s="8" customFormat="1" ht="11.25" customHeight="1">
      <c r="A16" s="45" t="s">
        <v>133</v>
      </c>
      <c r="B16" s="62">
        <f>IFERROR(AVERAGEIFS(Jan!$N:$N,Jan!$F:$F,800),"")</f>
        <v>27.30427046263345</v>
      </c>
      <c r="C16" s="57">
        <f ca="1">AVERAGE('ASR2004:ASR3044'!C16)</f>
        <v>27.611783783783778</v>
      </c>
      <c r="D16" s="57">
        <f ca="1">AVERAGE('ASR2004:ASR3044'!D16)</f>
        <v>28.112972972972976</v>
      </c>
      <c r="E16" s="57">
        <f ca="1">AVERAGE('ASR2004:ASR3044'!E16)</f>
        <v>27.130540540540533</v>
      </c>
      <c r="F16" s="57">
        <f ca="1">AVERAGE('ASR2004:ASR3044'!F16)</f>
        <v>27.962432432432436</v>
      </c>
      <c r="G16" s="57">
        <f ca="1">AVERAGE('ASR2004:ASR3044'!G16)</f>
        <v>27.825405405405398</v>
      </c>
      <c r="H16" s="57">
        <f ca="1">AVERAGE('ASR2004:ASR3044'!H16)</f>
        <v>27.796052631578952</v>
      </c>
      <c r="I16" s="62">
        <f ca="1">AVERAGE('ASR2004:ASR3044'!I16)</f>
        <v>27.833421052631586</v>
      </c>
      <c r="J16" s="62">
        <f ca="1">AVERAGE('ASR2004:ASR3044'!J16)</f>
        <v>27.261351351351355</v>
      </c>
      <c r="K16" s="62">
        <f ca="1">AVERAGE('ASR2004:ASR3044'!K16)</f>
        <v>27.456052631578945</v>
      </c>
      <c r="L16" s="62">
        <f ca="1">AVERAGE('ASR2004:ASR3044'!L16)</f>
        <v>26.753421052631577</v>
      </c>
      <c r="M16" s="221">
        <f>AVERAGE('ASR2004:ASR3044'!M16)</f>
        <v>26.764736842105258</v>
      </c>
    </row>
    <row r="17" spans="1:14" s="8" customFormat="1" ht="11.25" customHeight="1">
      <c r="A17" s="45" t="s">
        <v>134</v>
      </c>
      <c r="B17" s="63">
        <f>IFERROR((SUMIFS(Jan!$N:$N,Jan!$L:$L,1)+SUMIFS(Jan!$N:$N,Jan!$E:$E,"&gt;1"))/(COUNTIFS(Jan!$L:$L,1)+COUNTIFS(Jan!$E:$E,"&gt;1")),"")</f>
        <v>23.648231190832089</v>
      </c>
      <c r="C17" s="207">
        <f ca="1">AVERAGE('ASR2004:ASR3044'!C17)</f>
        <v>5.0397297297297303</v>
      </c>
      <c r="D17" s="207">
        <f ca="1">AVERAGE('ASR2004:ASR3044'!D17)</f>
        <v>4.7716216216216214</v>
      </c>
      <c r="E17" s="207">
        <f ca="1">AVERAGE('ASR2004:ASR3044'!E17)</f>
        <v>4.5367567567567573</v>
      </c>
      <c r="F17" s="207">
        <f ca="1">AVERAGE('ASR2004:ASR3044'!F17)</f>
        <v>4.7075675675675681</v>
      </c>
      <c r="G17" s="207">
        <f ca="1">AVERAGE('ASR2004:ASR3044'!G17)</f>
        <v>4.7745945945945936</v>
      </c>
      <c r="H17" s="207">
        <f ca="1">AVERAGE('ASR2004:ASR3044'!H17)</f>
        <v>5.1623684210526317</v>
      </c>
      <c r="I17" s="63">
        <f ca="1">AVERAGE('ASR2004:ASR3044'!I17)</f>
        <v>5.3086842105263159</v>
      </c>
      <c r="J17" s="62">
        <f ca="1">AVERAGE('ASR2004:ASR3044'!J17)</f>
        <v>4.5972432432432431</v>
      </c>
      <c r="K17" s="62">
        <f ca="1">AVERAGE('ASR2004:ASR3044'!K17)</f>
        <v>5.0360526315789471</v>
      </c>
      <c r="L17" s="63">
        <f ca="1">AVERAGE('ASR2004:ASR3044'!L17)</f>
        <v>4.7047368421052624</v>
      </c>
      <c r="M17" s="222">
        <f>AVERAGE('ASR2004:ASR3044'!M17)</f>
        <v>4.9984210526315787</v>
      </c>
    </row>
    <row r="18" spans="1:14" s="8" customFormat="1" ht="11.25" customHeight="1" thickBot="1">
      <c r="A18" s="43" t="s">
        <v>135</v>
      </c>
      <c r="B18" s="64">
        <f>IFERROR(AVERAGEIFS(Jan!$M:$M,Jan!$F:$F,800),"")</f>
        <v>4.8509786476868326</v>
      </c>
      <c r="C18" s="207">
        <f ca="1">AVERAGE('ASR2004:ASR3044'!C18)</f>
        <v>3.9116216216216215</v>
      </c>
      <c r="D18" s="207">
        <f ca="1">AVERAGE('ASR2004:ASR3044'!D18)</f>
        <v>3.7816216216216221</v>
      </c>
      <c r="E18" s="207">
        <f ca="1">AVERAGE('ASR2004:ASR3044'!E18)</f>
        <v>3.8259459459459459</v>
      </c>
      <c r="F18" s="207">
        <f ca="1">AVERAGE('ASR2004:ASR3044'!F18)</f>
        <v>3.3610810810810809</v>
      </c>
      <c r="G18" s="207">
        <f ca="1">AVERAGE('ASR2004:ASR3044'!G18)</f>
        <v>3.5164864864864862</v>
      </c>
      <c r="H18" s="207">
        <f ca="1">AVERAGE('ASR2004:ASR3044'!H18)</f>
        <v>3.8631578947368426</v>
      </c>
      <c r="I18" s="64">
        <f ca="1">AVERAGE('ASR2004:ASR3044'!I18)</f>
        <v>3.6581578947368421</v>
      </c>
      <c r="J18" s="64">
        <f ca="1">AVERAGE('ASR2004:ASR3044'!J18)</f>
        <v>3.2024324324324325</v>
      </c>
      <c r="K18" s="64">
        <f ca="1">AVERAGE('ASR2004:ASR3044'!K18)</f>
        <v>3.1334210526315789</v>
      </c>
      <c r="L18" s="64">
        <f ca="1">AVERAGE('ASR2004:ASR3044'!L18)</f>
        <v>3.7518421052631576</v>
      </c>
      <c r="M18" s="223">
        <f>AVERAGE('ASR2004:ASR3044'!M18)</f>
        <v>4.2447368421052625</v>
      </c>
    </row>
    <row r="19" spans="1:14" s="8" customFormat="1" ht="5.0999999999999996" customHeight="1" thickBot="1">
      <c r="A19" s="3"/>
      <c r="B19" s="17"/>
      <c r="C19" s="17"/>
      <c r="D19" s="17"/>
      <c r="E19" s="17"/>
      <c r="F19" s="17"/>
      <c r="G19" s="17"/>
      <c r="H19" s="17"/>
      <c r="I19" s="17"/>
      <c r="J19" s="17"/>
      <c r="K19" s="17"/>
      <c r="L19" s="17"/>
      <c r="M19" s="147"/>
    </row>
    <row r="20" spans="1:14" s="8" customFormat="1" ht="11.25" customHeight="1">
      <c r="A20" s="42" t="s">
        <v>52</v>
      </c>
      <c r="B20" s="65">
        <f>AVERAGE('ASR2004:ASR3044'!B20)</f>
        <v>31</v>
      </c>
      <c r="C20" s="65">
        <v>28</v>
      </c>
      <c r="D20" s="65">
        <f>AVERAGE('ASR2004:ASR3044'!D20)</f>
        <v>31</v>
      </c>
      <c r="E20" s="65">
        <f>AVERAGE('ASR2004:ASR3044'!E20)</f>
        <v>29.956521739130434</v>
      </c>
      <c r="F20" s="65">
        <f>AVERAGE('ASR2004:ASR3011'!F20)</f>
        <v>30.931818181818183</v>
      </c>
      <c r="G20" s="65">
        <f>AVERAGE('ASR2004:ASR3011'!G20)</f>
        <v>30</v>
      </c>
      <c r="H20" s="65">
        <f>AVERAGE('ASR2004:ASR3011'!H20)</f>
        <v>31</v>
      </c>
      <c r="I20" s="65">
        <f>AVERAGE('ASR2004:ASR3011'!I20)</f>
        <v>31</v>
      </c>
      <c r="J20" s="65">
        <f>AVERAGE('ASR2004:ASR3044'!J20)</f>
        <v>30</v>
      </c>
      <c r="K20" s="65">
        <f>AVERAGE('ASR2004:ASR3044'!K20)</f>
        <v>31</v>
      </c>
      <c r="L20" s="161">
        <f>AVERAGE('ASR2004:ASR3044'!L20)</f>
        <v>30</v>
      </c>
      <c r="M20" s="148">
        <f>AVERAGE('ASR2004:ASR3044'!M20)</f>
        <v>31</v>
      </c>
    </row>
    <row r="21" spans="1:14" s="8" customFormat="1" ht="11.25" customHeight="1">
      <c r="A21" s="9" t="s">
        <v>15</v>
      </c>
      <c r="B21" s="66">
        <f t="shared" ref="B21:M21" si="1">B12/B20</f>
        <v>36.258064516129032</v>
      </c>
      <c r="C21" s="66">
        <f t="shared" si="1"/>
        <v>43.357142857142854</v>
      </c>
      <c r="D21" s="66">
        <f t="shared" si="1"/>
        <v>47.258064516129032</v>
      </c>
      <c r="E21" s="66">
        <f t="shared" si="1"/>
        <v>47.735849056603776</v>
      </c>
      <c r="F21" s="66">
        <f t="shared" si="1"/>
        <v>50.045554739162377</v>
      </c>
      <c r="G21" s="66">
        <f t="shared" si="1"/>
        <v>53.3</v>
      </c>
      <c r="H21" s="66">
        <f t="shared" si="1"/>
        <v>49.096774193548384</v>
      </c>
      <c r="I21" s="66">
        <f t="shared" si="1"/>
        <v>56.354838709677416</v>
      </c>
      <c r="J21" s="66">
        <f t="shared" si="1"/>
        <v>57.166666666666664</v>
      </c>
      <c r="K21" s="66">
        <f t="shared" si="1"/>
        <v>50.12903225806452</v>
      </c>
      <c r="L21" s="162">
        <f t="shared" si="1"/>
        <v>48.7</v>
      </c>
      <c r="M21" s="149">
        <f t="shared" si="1"/>
        <v>48.161290322580648</v>
      </c>
    </row>
    <row r="22" spans="1:14" s="8" customFormat="1" ht="11.25" customHeight="1">
      <c r="A22" s="9" t="s">
        <v>130</v>
      </c>
      <c r="B22" s="67">
        <f>IFERROR(B12/B7,0)</f>
        <v>0.3178733031674208</v>
      </c>
      <c r="C22" s="67">
        <f>IFERROR(C12/C7,0)</f>
        <v>0.34815027244049324</v>
      </c>
      <c r="D22" s="67">
        <f>IFERROR(D12/D7,0)</f>
        <v>0.38230688935281837</v>
      </c>
      <c r="E22" s="67">
        <f>IFERROR(E12/E7,0)</f>
        <v>0.38753387533875339</v>
      </c>
      <c r="F22" s="67">
        <f>IFERROR(F12/F7,0)</f>
        <v>0.38421444527177961</v>
      </c>
      <c r="G22" s="67">
        <f t="shared" ref="G22:L22" si="2">IFERROR(G12/G7,0)</f>
        <v>0.38382141142582815</v>
      </c>
      <c r="H22" s="67">
        <f t="shared" si="2"/>
        <v>0.3180773249738767</v>
      </c>
      <c r="I22" s="67">
        <f t="shared" si="2"/>
        <v>0.34028048305414882</v>
      </c>
      <c r="J22" s="67">
        <f t="shared" si="2"/>
        <v>0.36497127048308153</v>
      </c>
      <c r="K22" s="116">
        <f t="shared" si="2"/>
        <v>0.47464874770922422</v>
      </c>
      <c r="L22" s="67">
        <f t="shared" si="2"/>
        <v>0.39126941617568289</v>
      </c>
      <c r="M22" s="150">
        <f>IFERROR(M12/M7,0)</f>
        <v>0.33747739602169979</v>
      </c>
      <c r="N22" s="1"/>
    </row>
    <row r="23" spans="1:14" s="8" customFormat="1" ht="11.25" customHeight="1" thickBot="1">
      <c r="A23" s="9" t="s">
        <v>53</v>
      </c>
      <c r="B23" s="67">
        <f>IFERROR(B12/(B11+B12),0)</f>
        <v>0.67997580157289772</v>
      </c>
      <c r="C23" s="67">
        <f>IFERROR(C12/(C11+C12),0)</f>
        <v>0.72391174716756113</v>
      </c>
      <c r="D23" s="67">
        <f>IFERROR(D12/(D11+D12),0)</f>
        <v>0.7606438213914849</v>
      </c>
      <c r="E23" s="67">
        <f>IFERROR(E12/(E11+E12),0)</f>
        <v>0.75382182393252506</v>
      </c>
      <c r="F23" s="67">
        <f>IFERROR(F12/(F11+F12),0)</f>
        <v>0.74710424710424705</v>
      </c>
      <c r="G23" s="67">
        <f t="shared" ref="G23:L23" si="3">IFERROR(G12/(G11+G12),0)</f>
        <v>0.76911976911976909</v>
      </c>
      <c r="H23" s="67">
        <f t="shared" si="3"/>
        <v>0.71121495327102802</v>
      </c>
      <c r="I23" s="67">
        <f t="shared" si="3"/>
        <v>0.77266696152145065</v>
      </c>
      <c r="J23" s="67">
        <f t="shared" si="3"/>
        <v>0.74468085106382975</v>
      </c>
      <c r="K23" s="117">
        <f t="shared" si="3"/>
        <v>0.8314606741573034</v>
      </c>
      <c r="L23" s="163">
        <f t="shared" si="3"/>
        <v>0.72326732673267324</v>
      </c>
      <c r="M23" s="151">
        <f>IFERROR(M12/(M11+M12),0)</f>
        <v>0.652534965034965</v>
      </c>
      <c r="N23" s="4"/>
    </row>
    <row r="24" spans="1:14" s="8" customFormat="1" ht="11.25" customHeight="1" thickBot="1">
      <c r="A24" s="53" t="s">
        <v>21</v>
      </c>
      <c r="B24" s="50">
        <v>41275</v>
      </c>
      <c r="C24" s="47">
        <v>41306</v>
      </c>
      <c r="D24" s="47">
        <v>41334</v>
      </c>
      <c r="E24" s="47">
        <v>41365</v>
      </c>
      <c r="F24" s="47">
        <v>41395</v>
      </c>
      <c r="G24" s="47">
        <v>41426</v>
      </c>
      <c r="H24" s="47">
        <v>41456</v>
      </c>
      <c r="I24" s="47">
        <v>41487</v>
      </c>
      <c r="J24" s="47">
        <v>41518</v>
      </c>
      <c r="K24" s="47">
        <v>41548</v>
      </c>
      <c r="L24" s="47">
        <v>41579</v>
      </c>
      <c r="M24" s="51">
        <v>41609</v>
      </c>
    </row>
    <row r="25" spans="1:14" s="8" customFormat="1" ht="11.25" customHeight="1">
      <c r="A25" s="18" t="s">
        <v>5</v>
      </c>
      <c r="B25" s="57">
        <f>SUM('ASR2004:ASR3044'!B25)</f>
        <v>298</v>
      </c>
      <c r="C25" s="57">
        <f>SUM('ASR2004:ASR3044'!C25)</f>
        <v>245</v>
      </c>
      <c r="D25" s="57">
        <f>SUM('ASR2004:ASR3044'!D25)</f>
        <v>240</v>
      </c>
      <c r="E25" s="57">
        <f>SUM('ASR2004:ASR3044'!E25)</f>
        <v>223</v>
      </c>
      <c r="F25" s="57">
        <f>SUM('ASR2004:ASR3044'!F25)</f>
        <v>236</v>
      </c>
      <c r="G25" s="57">
        <f>SUM('ASR2004:ASR3044'!G25)</f>
        <v>239</v>
      </c>
      <c r="H25" s="57">
        <f>SUM('ASR2004:ASR3044'!H25)</f>
        <v>342</v>
      </c>
      <c r="I25" s="57">
        <f>SUM('ASR2004:ASR3044'!I25)</f>
        <v>408</v>
      </c>
      <c r="J25" s="57">
        <f>SUM('ASR2004:ASR3044'!J25)</f>
        <v>373</v>
      </c>
      <c r="K25" s="57">
        <f>SUM('ASR2004:ASR3044'!K25)</f>
        <v>169</v>
      </c>
      <c r="L25" s="156">
        <f>SUM('ASR2004:ASR3044'!L25)</f>
        <v>212</v>
      </c>
      <c r="M25" s="144">
        <f>SUM('ASR2004:ASR3044'!M25)</f>
        <v>308</v>
      </c>
    </row>
    <row r="26" spans="1:14" s="8" customFormat="1" ht="11.25" customHeight="1">
      <c r="A26" s="46" t="s">
        <v>40</v>
      </c>
      <c r="B26" s="57">
        <f>SUM('ASR2004:ASR3044'!B26)</f>
        <v>25</v>
      </c>
      <c r="C26" s="57">
        <f>SUM('ASR2004:ASR3044'!C26)</f>
        <v>3</v>
      </c>
      <c r="D26" s="57">
        <f>SUM('ASR2004:ASR3044'!D26)</f>
        <v>22</v>
      </c>
      <c r="E26" s="57">
        <f>SUM('ASR2004:ASR3044'!E26)</f>
        <v>35</v>
      </c>
      <c r="F26" s="57">
        <f>SUM('ASR2004:ASR3044'!F26)</f>
        <v>53</v>
      </c>
      <c r="G26" s="57">
        <f>SUM('ASR2004:ASR3044'!G26)</f>
        <v>38</v>
      </c>
      <c r="H26" s="57">
        <f>SUM('ASR2004:ASR3044'!H26)</f>
        <v>23</v>
      </c>
      <c r="I26" s="57">
        <f>SUM('ASR2004:ASR3044'!I26)</f>
        <v>11</v>
      </c>
      <c r="J26" s="57">
        <f>SUM('ASR2004:ASR3044'!J26)</f>
        <v>36</v>
      </c>
      <c r="K26" s="57">
        <f>SUM('ASR2004:ASR3044'!K26)</f>
        <v>23</v>
      </c>
      <c r="L26" s="156">
        <f>SUM('ASR2004:ASR3044'!L26)</f>
        <v>19</v>
      </c>
      <c r="M26" s="144">
        <f>SUM('ASR2004:ASR3044'!M26)</f>
        <v>11</v>
      </c>
    </row>
    <row r="27" spans="1:14" s="8" customFormat="1" ht="11.25" customHeight="1">
      <c r="A27" s="9" t="s">
        <v>11</v>
      </c>
      <c r="B27" s="57">
        <f>SUM('ASR2004:ASR3044'!B27)</f>
        <v>1015</v>
      </c>
      <c r="C27" s="180">
        <f>SUM('ASR2004:ASR3044'!C27)</f>
        <v>767</v>
      </c>
      <c r="D27" s="180">
        <f>SUM('ASR2004:ASR3044'!D27)</f>
        <v>693</v>
      </c>
      <c r="E27" s="57">
        <f>SUM('ASR2004:ASR3044'!E27)</f>
        <v>666</v>
      </c>
      <c r="F27" s="57">
        <f>SUM('ASR2004:ASR3044'!F27)</f>
        <v>771</v>
      </c>
      <c r="G27" s="57">
        <f>SUM('ASR2004:ASR3044'!G27)</f>
        <v>797</v>
      </c>
      <c r="H27" s="57">
        <f>SUM('ASR2004:ASR3044'!H27)</f>
        <v>956</v>
      </c>
      <c r="I27" s="57">
        <f>SUM('ASR2004:ASR3044'!I27)</f>
        <v>927</v>
      </c>
      <c r="J27" s="57">
        <f>SUM('ASR2004:ASR3044'!J27)</f>
        <v>901</v>
      </c>
      <c r="K27" s="57">
        <f>SUM('ASR2004:ASR3044'!K27)</f>
        <v>415</v>
      </c>
      <c r="L27" s="156">
        <f>SUM('ASR2004:ASR3044'!L27)</f>
        <v>770</v>
      </c>
      <c r="M27" s="144">
        <f>SUM('ASR2004:ASR3044'!M27)</f>
        <v>1004</v>
      </c>
    </row>
    <row r="28" spans="1:14" s="8" customFormat="1" ht="11.25" customHeight="1">
      <c r="A28" s="9" t="s">
        <v>143</v>
      </c>
      <c r="B28" s="57">
        <f>SUM('ASR2004:ASR3044'!B28)</f>
        <v>1</v>
      </c>
      <c r="C28" s="57">
        <f>SUM('ASR2004:ASR3044'!C28)</f>
        <v>0</v>
      </c>
      <c r="D28" s="57">
        <f>SUM('ASR2004:ASR3044'!D28)</f>
        <v>0</v>
      </c>
      <c r="E28" s="57">
        <f>SUM('ASR2004:ASR3044'!E28)</f>
        <v>0</v>
      </c>
      <c r="F28" s="57">
        <f>SUM('ASR2004:ASR3044'!F28)</f>
        <v>0</v>
      </c>
      <c r="G28" s="57">
        <f>SUM('ASR2004:ASR3044'!G28)</f>
        <v>0</v>
      </c>
      <c r="H28" s="57">
        <f>SUM('ASR2004:ASR3044'!H28)</f>
        <v>0</v>
      </c>
      <c r="I28" s="57">
        <f>SUM('ASR2004:ASR3044'!I28)</f>
        <v>0</v>
      </c>
      <c r="J28" s="57">
        <f>SUM('ASR2004:ASR3044'!J28)</f>
        <v>0</v>
      </c>
      <c r="K28" s="57">
        <f>SUM('ASR2004:ASR3044'!K28)</f>
        <v>0</v>
      </c>
      <c r="L28" s="156">
        <f>SUM('ASR2004:ASR3044'!L28)</f>
        <v>0</v>
      </c>
      <c r="M28" s="144">
        <f>SUM('ASR2004:ASR3044'!M28)</f>
        <v>0</v>
      </c>
    </row>
    <row r="29" spans="1:14" s="8" customFormat="1" ht="11.25" customHeight="1">
      <c r="A29" s="9" t="s">
        <v>23</v>
      </c>
      <c r="B29" s="57">
        <f>SUM('ASR2004:ASR3044'!B29)</f>
        <v>0</v>
      </c>
      <c r="C29" s="57">
        <f>SUM('ASR2004:ASR3044'!C29)</f>
        <v>0</v>
      </c>
      <c r="D29" s="57">
        <f>SUM('ASR2004:ASR3044'!D29)</f>
        <v>0</v>
      </c>
      <c r="E29" s="57">
        <f>SUM('ASR2004:ASR3044'!E29)</f>
        <v>0</v>
      </c>
      <c r="F29" s="57">
        <f>SUM('ASR2004:ASR3044'!F29)</f>
        <v>0</v>
      </c>
      <c r="G29" s="57">
        <f>SUM('ASR2004:ASR3044'!G29)</f>
        <v>0</v>
      </c>
      <c r="H29" s="57">
        <f>SUM('ASR2004:ASR3044'!H29)</f>
        <v>0</v>
      </c>
      <c r="I29" s="57">
        <f>SUM('ASR2004:ASR3044'!I29)</f>
        <v>169</v>
      </c>
      <c r="J29" s="57">
        <f>SUM('ASR2004:ASR3044'!J29)</f>
        <v>153</v>
      </c>
      <c r="K29" s="57">
        <f>SUM('ASR2004:ASR3044'!K29)</f>
        <v>155</v>
      </c>
      <c r="L29" s="156">
        <f>SUM('ASR2004:ASR3044'!L29)</f>
        <v>149</v>
      </c>
      <c r="M29" s="144">
        <f>SUM('ASR2004:ASR3044'!M29)</f>
        <v>138</v>
      </c>
    </row>
    <row r="30" spans="1:14" s="8" customFormat="1" ht="11.25" customHeight="1">
      <c r="A30" s="9" t="s">
        <v>37</v>
      </c>
      <c r="B30" s="57">
        <f>SUM('ASR2004:ASR3044'!B30)</f>
        <v>60</v>
      </c>
      <c r="C30" s="57">
        <f>SUM('ASR2004:ASR3044'!C30)</f>
        <v>45</v>
      </c>
      <c r="D30" s="57">
        <f>SUM('ASR2004:ASR3044'!D30)</f>
        <v>19</v>
      </c>
      <c r="E30" s="57">
        <f>SUM('ASR2004:ASR3044'!E30)</f>
        <v>17</v>
      </c>
      <c r="F30" s="57">
        <f>SUM('ASR2004:ASR3044'!F30)</f>
        <v>42</v>
      </c>
      <c r="G30" s="57">
        <f>SUM('ASR2004:ASR3044'!G30)</f>
        <v>49</v>
      </c>
      <c r="H30" s="57">
        <f>SUM('ASR2004:ASR3044'!H30)</f>
        <v>59</v>
      </c>
      <c r="I30" s="57">
        <f>SUM('ASR2004:ASR3044'!I30)</f>
        <v>63</v>
      </c>
      <c r="J30" s="57">
        <f>SUM('ASR2004:ASR3044'!J30)</f>
        <v>55</v>
      </c>
      <c r="K30" s="57">
        <f>SUM('ASR2004:ASR3044'!K30)</f>
        <v>35</v>
      </c>
      <c r="L30" s="156">
        <f>SUM('ASR2004:ASR3044'!L30)</f>
        <v>41</v>
      </c>
      <c r="M30" s="144">
        <f>SUM('ASR2004:ASR3044'!M30)</f>
        <v>50</v>
      </c>
    </row>
    <row r="31" spans="1:14" s="8" customFormat="1" ht="11.25" customHeight="1">
      <c r="A31" s="10" t="s">
        <v>24</v>
      </c>
      <c r="B31" s="57">
        <f>SUM('ASR2004:ASR3044'!B31)</f>
        <v>0</v>
      </c>
      <c r="C31" s="57">
        <f>SUM('ASR2004:ASR3044'!C31)</f>
        <v>0</v>
      </c>
      <c r="D31" s="57">
        <f>SUM('ASR2004:ASR3044'!D31)</f>
        <v>0</v>
      </c>
      <c r="E31" s="57">
        <f>SUM('ASR2004:ASR3044'!E31)</f>
        <v>0</v>
      </c>
      <c r="F31" s="57">
        <f>SUM('ASR2004:ASR3044'!F31)</f>
        <v>0</v>
      </c>
      <c r="G31" s="57">
        <f>SUM('ASR2004:ASR3044'!G31)</f>
        <v>0</v>
      </c>
      <c r="H31" s="57">
        <f>SUM('ASR2004:ASR3044'!H31)</f>
        <v>0</v>
      </c>
      <c r="I31" s="57">
        <f>SUM('ASR2004:ASR3044'!I31)</f>
        <v>0</v>
      </c>
      <c r="J31" s="57">
        <f>SUM('ASR2004:ASR3044'!J31)</f>
        <v>0</v>
      </c>
      <c r="K31" s="57">
        <f>SUM('ASR2004:ASR3044'!K31)</f>
        <v>0</v>
      </c>
      <c r="L31" s="156">
        <f>SUM('ASR2004:ASR3044'!L31)</f>
        <v>0</v>
      </c>
      <c r="M31" s="144">
        <f>SUM('ASR2004:ASR3044'!M31)</f>
        <v>0</v>
      </c>
    </row>
    <row r="32" spans="1:14" s="14" customFormat="1" ht="11.25" customHeight="1" thickBot="1">
      <c r="A32" s="2" t="s">
        <v>140</v>
      </c>
      <c r="B32" s="60">
        <f>SUM(B25:B31)</f>
        <v>1399</v>
      </c>
      <c r="C32" s="60">
        <f t="shared" ref="C32:L32" si="4">SUM(C25:C31)</f>
        <v>1060</v>
      </c>
      <c r="D32" s="60">
        <f t="shared" si="4"/>
        <v>974</v>
      </c>
      <c r="E32" s="60">
        <f t="shared" si="4"/>
        <v>941</v>
      </c>
      <c r="F32" s="60">
        <f t="shared" si="4"/>
        <v>1102</v>
      </c>
      <c r="G32" s="60">
        <f t="shared" si="4"/>
        <v>1123</v>
      </c>
      <c r="H32" s="60">
        <f t="shared" si="4"/>
        <v>1380</v>
      </c>
      <c r="I32" s="60">
        <f t="shared" si="4"/>
        <v>1578</v>
      </c>
      <c r="J32" s="60">
        <f t="shared" si="4"/>
        <v>1518</v>
      </c>
      <c r="K32" s="60">
        <f t="shared" si="4"/>
        <v>797</v>
      </c>
      <c r="L32" s="159">
        <f t="shared" si="4"/>
        <v>1191</v>
      </c>
      <c r="M32" s="152">
        <f>SUM(M25:M31)</f>
        <v>1511</v>
      </c>
    </row>
    <row r="33" spans="1:13" ht="12" customHeight="1" thickBot="1">
      <c r="A33" s="55" t="s">
        <v>136</v>
      </c>
      <c r="B33" s="50">
        <v>41275</v>
      </c>
      <c r="C33" s="47">
        <v>41306</v>
      </c>
      <c r="D33" s="47">
        <v>41334</v>
      </c>
      <c r="E33" s="47">
        <v>41365</v>
      </c>
      <c r="F33" s="47">
        <v>41395</v>
      </c>
      <c r="G33" s="47">
        <v>41426</v>
      </c>
      <c r="H33" s="47">
        <v>41456</v>
      </c>
      <c r="I33" s="47">
        <v>41487</v>
      </c>
      <c r="J33" s="47">
        <v>41518</v>
      </c>
      <c r="K33" s="47">
        <v>41548</v>
      </c>
      <c r="L33" s="47">
        <v>41579</v>
      </c>
      <c r="M33" s="51">
        <v>41609</v>
      </c>
    </row>
    <row r="34" spans="1:13" s="8" customFormat="1" ht="11.25" customHeight="1">
      <c r="A34" s="46" t="s">
        <v>33</v>
      </c>
      <c r="B34" s="57">
        <f>SUM('ASR2004:ASR3044'!B34)</f>
        <v>4</v>
      </c>
      <c r="C34" s="57">
        <f>SUM('ASR2004:ASR3044'!C34)</f>
        <v>0</v>
      </c>
      <c r="D34" s="57">
        <f>SUM('ASR2004:ASR3044'!D34)</f>
        <v>12</v>
      </c>
      <c r="E34" s="57">
        <f>SUM('ASR2004:ASR3044'!E34)</f>
        <v>7</v>
      </c>
      <c r="F34" s="57">
        <f>SUM('ASR2004:ASR3044'!F34)</f>
        <v>4</v>
      </c>
      <c r="G34" s="57">
        <f>SUM('ASR2004:ASR3044'!G34)</f>
        <v>5</v>
      </c>
      <c r="H34" s="57">
        <f>SUM('ASR2004:ASR3044'!H34)</f>
        <v>2</v>
      </c>
      <c r="I34" s="57">
        <f>SUM('ASR2004:ASR3044'!I34)</f>
        <v>6</v>
      </c>
      <c r="J34" s="57">
        <f>SUM('ASR2004:ASR3044'!J34)</f>
        <v>12</v>
      </c>
      <c r="K34" s="57">
        <f>SUM('ASR2004:ASR3044'!K34)</f>
        <v>14</v>
      </c>
      <c r="L34" s="156">
        <f>SUM('ASR2004:ASR3044'!L34)</f>
        <v>12</v>
      </c>
      <c r="M34" s="144">
        <f>SUM('ASR2004:ASR3044'!M34)</f>
        <v>4</v>
      </c>
    </row>
    <row r="35" spans="1:13" s="8" customFormat="1" ht="11.25" customHeight="1">
      <c r="A35" s="10" t="s">
        <v>4</v>
      </c>
      <c r="B35" s="57">
        <f>SUM('ASR2004:ASR3044'!B35)</f>
        <v>70</v>
      </c>
      <c r="C35" s="57">
        <f>SUM('ASR2004:ASR3044'!C35)</f>
        <v>70</v>
      </c>
      <c r="D35" s="57">
        <f>SUM('ASR2004:ASR3044'!D35)</f>
        <v>56</v>
      </c>
      <c r="E35" s="57">
        <f>SUM('ASR2004:ASR3044'!E35)</f>
        <v>72</v>
      </c>
      <c r="F35" s="57">
        <f>SUM('ASR2004:ASR3044'!F35)</f>
        <v>70</v>
      </c>
      <c r="G35" s="57">
        <f>SUM('ASR2004:ASR3044'!G35)</f>
        <v>90</v>
      </c>
      <c r="H35" s="57">
        <f>SUM('ASR2004:ASR3044'!H35)</f>
        <v>93</v>
      </c>
      <c r="I35" s="57">
        <f>SUM('ASR2004:ASR3044'!I35)</f>
        <v>115</v>
      </c>
      <c r="J35" s="57">
        <f>SUM('ASR2004:ASR3044'!J35)</f>
        <v>118</v>
      </c>
      <c r="K35" s="57">
        <f>SUM('ASR2004:ASR3044'!K35)</f>
        <v>40</v>
      </c>
      <c r="L35" s="156">
        <f>SUM('ASR2004:ASR3044'!L35)</f>
        <v>58</v>
      </c>
      <c r="M35" s="144">
        <f>SUM('ASR2004:ASR3044'!M35)</f>
        <v>110</v>
      </c>
    </row>
    <row r="36" spans="1:13" s="8" customFormat="1" ht="11.25" customHeight="1">
      <c r="A36" s="10" t="s">
        <v>39</v>
      </c>
      <c r="B36" s="57">
        <f>SUM('ASR2004:ASR3044'!B36)</f>
        <v>175</v>
      </c>
      <c r="C36" s="57">
        <f>SUM('ASR2004:ASR3044'!C36)</f>
        <v>196</v>
      </c>
      <c r="D36" s="57">
        <f>SUM('ASR2004:ASR3044'!D36)</f>
        <v>190</v>
      </c>
      <c r="E36" s="57">
        <f>SUM('ASR2004:ASR3044'!E36)</f>
        <v>184</v>
      </c>
      <c r="F36" s="57">
        <f>SUM('ASR2004:ASR3044'!F36)</f>
        <v>181</v>
      </c>
      <c r="G36" s="57">
        <f>SUM('ASR2004:ASR3044'!G36)</f>
        <v>218</v>
      </c>
      <c r="H36" s="57">
        <f>SUM('ASR2004:ASR3044'!H36)</f>
        <v>186</v>
      </c>
      <c r="I36" s="57">
        <f>SUM('ASR2004:ASR3044'!I36)</f>
        <v>217</v>
      </c>
      <c r="J36" s="57">
        <f>SUM('ASR2004:ASR3044'!J36)</f>
        <v>212</v>
      </c>
      <c r="K36" s="57">
        <f>SUM('ASR2004:ASR3044'!K36)</f>
        <v>223</v>
      </c>
      <c r="L36" s="156">
        <f>SUM('ASR2004:ASR3044'!L36)</f>
        <v>154</v>
      </c>
      <c r="M36" s="144">
        <f>SUM('ASR2004:ASR3044'!M36)</f>
        <v>194</v>
      </c>
    </row>
    <row r="37" spans="1:13" s="8" customFormat="1" ht="11.25" customHeight="1">
      <c r="A37" s="10" t="s">
        <v>3</v>
      </c>
      <c r="B37" s="57">
        <f>SUM('ASR2004:ASR3044'!B37)</f>
        <v>44</v>
      </c>
      <c r="C37" s="57">
        <f>SUM('ASR2004:ASR3044'!C37)</f>
        <v>43</v>
      </c>
      <c r="D37" s="57">
        <f>SUM('ASR2004:ASR3044'!D37)</f>
        <v>48</v>
      </c>
      <c r="E37" s="57">
        <f>SUM('ASR2004:ASR3044'!E37)</f>
        <v>36</v>
      </c>
      <c r="F37" s="57">
        <f>SUM('ASR2004:ASR3044'!F37)</f>
        <v>42</v>
      </c>
      <c r="G37" s="57">
        <f>SUM('ASR2004:ASR3044'!G37)</f>
        <v>34</v>
      </c>
      <c r="H37" s="57">
        <f>SUM('ASR2004:ASR3044'!H37)</f>
        <v>41</v>
      </c>
      <c r="I37" s="57">
        <f>SUM('ASR2004:ASR3044'!I37)</f>
        <v>47</v>
      </c>
      <c r="J37" s="57">
        <f>SUM('ASR2004:ASR3044'!J37)</f>
        <v>70</v>
      </c>
      <c r="K37" s="57">
        <f>SUM('ASR2004:ASR3044'!K37)</f>
        <v>23</v>
      </c>
      <c r="L37" s="156">
        <f>SUM('ASR2004:ASR3044'!L37)</f>
        <v>28</v>
      </c>
      <c r="M37" s="144">
        <f>SUM('ASR2004:ASR3044'!M37)</f>
        <v>42</v>
      </c>
    </row>
    <row r="38" spans="1:13" s="8" customFormat="1" ht="11.25" customHeight="1">
      <c r="A38" s="9" t="s">
        <v>218</v>
      </c>
      <c r="B38" s="57">
        <f>SUM('ASR2004:ASR3044'!B38)</f>
        <v>393</v>
      </c>
      <c r="C38" s="57">
        <f>SUM('ASR2004:ASR3044'!C38)</f>
        <v>278</v>
      </c>
      <c r="D38" s="57">
        <f>SUM('ASR2004:ASR3044'!D38)</f>
        <v>292</v>
      </c>
      <c r="E38" s="57">
        <f>SUM('ASR2004:ASR3044'!E38)</f>
        <v>265</v>
      </c>
      <c r="F38" s="57">
        <f>SUM('ASR2004:ASR3044'!F38)</f>
        <v>276</v>
      </c>
      <c r="G38" s="57">
        <f>SUM('ASR2004:ASR3044'!G38)</f>
        <v>296</v>
      </c>
      <c r="H38" s="57">
        <f>SUM('ASR2004:ASR3044'!H38)</f>
        <v>322</v>
      </c>
      <c r="I38" s="57">
        <f>SUM('ASR2004:ASR3044'!I38)</f>
        <v>388</v>
      </c>
      <c r="J38" s="57">
        <f>SUM('ASR2004:ASR3044'!J38)</f>
        <v>364</v>
      </c>
      <c r="K38" s="57">
        <f>SUM('ASR2004:ASR3044'!K38)</f>
        <v>133</v>
      </c>
      <c r="L38" s="156">
        <f>SUM('ASR2004:ASR3044'!L38)</f>
        <v>259</v>
      </c>
      <c r="M38" s="144">
        <f>SUM('ASR2004:ASR3044'!M38)</f>
        <v>245</v>
      </c>
    </row>
    <row r="39" spans="1:13" s="8" customFormat="1" ht="11.25" customHeight="1">
      <c r="A39" s="10" t="s">
        <v>25</v>
      </c>
      <c r="B39" s="57">
        <f>SUM('ASR2004:ASR3044'!B39)</f>
        <v>297</v>
      </c>
      <c r="C39" s="57">
        <f>SUM('ASR2004:ASR3044'!C39)</f>
        <v>229</v>
      </c>
      <c r="D39" s="57">
        <f>SUM('ASR2004:ASR3044'!D39)</f>
        <v>314</v>
      </c>
      <c r="E39" s="57">
        <f>SUM('ASR2004:ASR3044'!E39)</f>
        <v>333</v>
      </c>
      <c r="F39" s="57">
        <f>SUM('ASR2004:ASR3044'!F39)</f>
        <v>355</v>
      </c>
      <c r="G39" s="57">
        <f>SUM('ASR2004:ASR3044'!G39)</f>
        <v>351</v>
      </c>
      <c r="H39" s="57">
        <f>SUM('ASR2004:ASR3044'!H39)</f>
        <v>355</v>
      </c>
      <c r="I39" s="57">
        <f>SUM('ASR2004:ASR3044'!I39)</f>
        <v>386</v>
      </c>
      <c r="J39" s="57">
        <f>SUM('ASR2004:ASR3044'!J39)</f>
        <v>320</v>
      </c>
      <c r="K39" s="57">
        <f>SUM('ASR2004:ASR3044'!K39)</f>
        <v>319</v>
      </c>
      <c r="L39" s="156">
        <f>SUM('ASR2004:ASR3044'!L39)</f>
        <v>328</v>
      </c>
      <c r="M39" s="144">
        <f>SUM('ASR2004:ASR3044'!M39)</f>
        <v>309</v>
      </c>
    </row>
    <row r="40" spans="1:13" s="8" customFormat="1" ht="11.25" customHeight="1">
      <c r="A40" s="10" t="s">
        <v>34</v>
      </c>
      <c r="B40" s="57">
        <f>SUM('ASR2004:ASR3044'!B40)</f>
        <v>2</v>
      </c>
      <c r="C40" s="57">
        <f>SUM('ASR2004:ASR3044'!C40)</f>
        <v>3</v>
      </c>
      <c r="D40" s="57">
        <f>SUM('ASR2004:ASR3044'!D40)</f>
        <v>11</v>
      </c>
      <c r="E40" s="57">
        <f>SUM('ASR2004:ASR3044'!E40)</f>
        <v>10</v>
      </c>
      <c r="F40" s="57">
        <f>SUM('ASR2004:ASR3044'!F40)</f>
        <v>3</v>
      </c>
      <c r="G40" s="57">
        <f>SUM('ASR2004:ASR3044'!G40)</f>
        <v>7</v>
      </c>
      <c r="H40" s="57">
        <f>SUM('ASR2004:ASR3044'!H40)</f>
        <v>19</v>
      </c>
      <c r="I40" s="57">
        <f>SUM('ASR2004:ASR3044'!I40)</f>
        <v>3</v>
      </c>
      <c r="J40" s="57">
        <f>SUM('ASR2004:ASR3044'!J40)</f>
        <v>2</v>
      </c>
      <c r="K40" s="57">
        <f>SUM('ASR2004:ASR3044'!K40)</f>
        <v>0</v>
      </c>
      <c r="L40" s="156">
        <f>SUM('ASR2004:ASR3044'!L40)</f>
        <v>2</v>
      </c>
      <c r="M40" s="144">
        <f>SUM('ASR2004:ASR3044'!M40)</f>
        <v>10</v>
      </c>
    </row>
    <row r="41" spans="1:13" s="8" customFormat="1" ht="11.25" customHeight="1">
      <c r="A41" s="10" t="s">
        <v>31</v>
      </c>
      <c r="B41" s="57">
        <f>SUM('ASR2004:ASR3044'!B41)</f>
        <v>115</v>
      </c>
      <c r="C41" s="57">
        <f>SUM('ASR2004:ASR3044'!C41)</f>
        <v>141</v>
      </c>
      <c r="D41" s="57">
        <f>SUM('ASR2004:ASR3044'!D41)</f>
        <v>238</v>
      </c>
      <c r="E41" s="57">
        <f>SUM('ASR2004:ASR3044'!E41)</f>
        <v>200</v>
      </c>
      <c r="F41" s="57">
        <f>SUM('ASR2004:ASR3044'!F41)</f>
        <v>291</v>
      </c>
      <c r="G41" s="57">
        <f>SUM('ASR2004:ASR3044'!G41)</f>
        <v>286</v>
      </c>
      <c r="H41" s="57">
        <f>SUM('ASR2004:ASR3044'!H41)</f>
        <v>506</v>
      </c>
      <c r="I41" s="57">
        <f>SUM('ASR2004:ASR3044'!I41)</f>
        <v>456</v>
      </c>
      <c r="J41" s="57">
        <f>SUM('ASR2004:ASR3044'!J41)</f>
        <v>228</v>
      </c>
      <c r="K41" s="57">
        <f>SUM('ASR2004:ASR3044'!K41)</f>
        <v>76</v>
      </c>
      <c r="L41" s="156">
        <f>SUM('ASR2004:ASR3044'!L41)</f>
        <v>113</v>
      </c>
      <c r="M41" s="144">
        <f>SUM('ASR2004:ASR3044'!M41)</f>
        <v>121</v>
      </c>
    </row>
    <row r="42" spans="1:13" s="8" customFormat="1" ht="11.25" customHeight="1">
      <c r="A42" s="10" t="s">
        <v>144</v>
      </c>
      <c r="B42" s="57">
        <f>SUM('ASR2004:ASR3044'!B42)</f>
        <v>4</v>
      </c>
      <c r="C42" s="57">
        <f>SUM('ASR2004:ASR3044'!C42)</f>
        <v>1</v>
      </c>
      <c r="D42" s="57">
        <f>SUM('ASR2004:ASR3044'!D42)</f>
        <v>2</v>
      </c>
      <c r="E42" s="57">
        <f>SUM('ASR2004:ASR3044'!E42)</f>
        <v>1</v>
      </c>
      <c r="F42" s="57">
        <f>SUM('ASR2004:ASR3044'!F42)</f>
        <v>1</v>
      </c>
      <c r="G42" s="57">
        <f>SUM('ASR2004:ASR3044'!G42)</f>
        <v>1</v>
      </c>
      <c r="H42" s="57">
        <f>SUM('ASR2004:ASR3044'!H42)</f>
        <v>2</v>
      </c>
      <c r="I42" s="57">
        <f>SUM('ASR2004:ASR3044'!I42)</f>
        <v>0</v>
      </c>
      <c r="J42" s="57">
        <f>SUM('ASR2004:ASR3044'!J42)</f>
        <v>0</v>
      </c>
      <c r="K42" s="57">
        <f>SUM('ASR2004:ASR3044'!K42)</f>
        <v>2</v>
      </c>
      <c r="L42" s="156">
        <f>SUM('ASR2004:ASR3044'!L42)</f>
        <v>1</v>
      </c>
      <c r="M42" s="144">
        <f>SUM('ASR2004:ASR3044'!M42)</f>
        <v>0</v>
      </c>
    </row>
    <row r="43" spans="1:13" s="8" customFormat="1" ht="11.25" customHeight="1">
      <c r="A43" s="10" t="s">
        <v>1</v>
      </c>
      <c r="B43" s="57">
        <f>SUM('ASR2004:ASR3044'!B43)</f>
        <v>206</v>
      </c>
      <c r="C43" s="57">
        <f>SUM('ASR2004:ASR3044'!C43)</f>
        <v>308</v>
      </c>
      <c r="D43" s="57">
        <f>SUM('ASR2004:ASR3044'!D43)</f>
        <v>194</v>
      </c>
      <c r="E43" s="57">
        <f>SUM('ASR2004:ASR3044'!E43)</f>
        <v>215</v>
      </c>
      <c r="F43" s="57">
        <f>SUM('ASR2004:ASR3044'!F43)</f>
        <v>207</v>
      </c>
      <c r="G43" s="57">
        <f>SUM('ASR2004:ASR3044'!G43)</f>
        <v>198</v>
      </c>
      <c r="H43" s="57">
        <f>SUM('ASR2004:ASR3044'!H43)</f>
        <v>279</v>
      </c>
      <c r="I43" s="57">
        <f>SUM('ASR2004:ASR3044'!I43)</f>
        <v>356</v>
      </c>
      <c r="J43" s="57">
        <f>SUM('ASR2004:ASR3044'!J43)</f>
        <v>339</v>
      </c>
      <c r="K43" s="57">
        <f>SUM('ASR2004:ASR3044'!K43)</f>
        <v>204</v>
      </c>
      <c r="L43" s="156">
        <f>SUM('ASR2004:ASR3044'!L43)</f>
        <v>205</v>
      </c>
      <c r="M43" s="144">
        <f>SUM('ASR2004:ASR3044'!M43)</f>
        <v>276</v>
      </c>
    </row>
    <row r="44" spans="1:13" s="8" customFormat="1" ht="11.25" customHeight="1">
      <c r="A44" s="10" t="s">
        <v>26</v>
      </c>
      <c r="B44" s="57">
        <f>SUM('ASR2004:ASR3044'!B44)</f>
        <v>1</v>
      </c>
      <c r="C44" s="57">
        <f>SUM('ASR2004:ASR3044'!C44)</f>
        <v>6</v>
      </c>
      <c r="D44" s="57">
        <f>SUM('ASR2004:ASR3044'!D44)</f>
        <v>4</v>
      </c>
      <c r="E44" s="57">
        <f>SUM('ASR2004:ASR3044'!E44)</f>
        <v>2</v>
      </c>
      <c r="F44" s="57">
        <f>SUM('ASR2004:ASR3044'!F44)</f>
        <v>3</v>
      </c>
      <c r="G44" s="57">
        <f>SUM('ASR2004:ASR3044'!G44)</f>
        <v>5</v>
      </c>
      <c r="H44" s="57">
        <f>SUM('ASR2004:ASR3044'!H44)</f>
        <v>8</v>
      </c>
      <c r="I44" s="57">
        <f>SUM('ASR2004:ASR3044'!I44)</f>
        <v>11</v>
      </c>
      <c r="J44" s="57">
        <f>SUM('ASR2004:ASR3044'!J44)</f>
        <v>8</v>
      </c>
      <c r="K44" s="57">
        <f>SUM('ASR2004:ASR3044'!K44)</f>
        <v>8</v>
      </c>
      <c r="L44" s="156">
        <f>SUM('ASR2004:ASR3044'!L44)</f>
        <v>6</v>
      </c>
      <c r="M44" s="144">
        <f>SUM('ASR2004:ASR3044'!M44)</f>
        <v>10</v>
      </c>
    </row>
    <row r="45" spans="1:13" s="8" customFormat="1" ht="11.25" customHeight="1">
      <c r="A45" s="10" t="s">
        <v>32</v>
      </c>
      <c r="B45" s="57">
        <f>SUM('ASR2004:ASR3044'!B45)</f>
        <v>356</v>
      </c>
      <c r="C45" s="57">
        <f>SUM('ASR2004:ASR3044'!C45)</f>
        <v>349</v>
      </c>
      <c r="D45" s="57">
        <f>SUM('ASR2004:ASR3044'!D45)</f>
        <v>348</v>
      </c>
      <c r="E45" s="57">
        <f>SUM('ASR2004:ASR3044'!E45)</f>
        <v>311</v>
      </c>
      <c r="F45" s="57">
        <f>SUM('ASR2004:ASR3044'!F45)</f>
        <v>341</v>
      </c>
      <c r="G45" s="57">
        <f>SUM('ASR2004:ASR3044'!G45)</f>
        <v>418</v>
      </c>
      <c r="H45" s="57">
        <f>SUM('ASR2004:ASR3044'!H45)</f>
        <v>547</v>
      </c>
      <c r="I45" s="57">
        <f>SUM('ASR2004:ASR3044'!I45)</f>
        <v>579</v>
      </c>
      <c r="J45" s="57">
        <f>SUM('ASR2004:ASR3044'!J45)</f>
        <v>462</v>
      </c>
      <c r="K45" s="57">
        <f>SUM('ASR2004:ASR3044'!K45)</f>
        <v>242</v>
      </c>
      <c r="L45" s="156">
        <f>SUM('ASR2004:ASR3044'!L45)</f>
        <v>322</v>
      </c>
      <c r="M45" s="144">
        <f>SUM('ASR2004:ASR3044'!M45)</f>
        <v>513</v>
      </c>
    </row>
    <row r="46" spans="1:13" s="8" customFormat="1" ht="11.25" customHeight="1">
      <c r="A46" s="10" t="s">
        <v>28</v>
      </c>
      <c r="B46" s="57">
        <f>SUM('ASR2004:ASR3044'!B46)</f>
        <v>1</v>
      </c>
      <c r="C46" s="57">
        <f>SUM('ASR2004:ASR3044'!C46)</f>
        <v>0</v>
      </c>
      <c r="D46" s="57">
        <f>SUM('ASR2004:ASR3044'!D46)</f>
        <v>1</v>
      </c>
      <c r="E46" s="57">
        <f>SUM('ASR2004:ASR3044'!E46)</f>
        <v>12</v>
      </c>
      <c r="F46" s="57">
        <f>SUM('ASR2004:ASR3044'!F46)</f>
        <v>1</v>
      </c>
      <c r="G46" s="57">
        <f>SUM('ASR2004:ASR3044'!G46)</f>
        <v>0</v>
      </c>
      <c r="H46" s="57">
        <f>SUM('ASR2004:ASR3044'!H46)</f>
        <v>0</v>
      </c>
      <c r="I46" s="57">
        <f>SUM('ASR2004:ASR3044'!I46)</f>
        <v>37</v>
      </c>
      <c r="J46" s="57">
        <f>SUM('ASR2004:ASR3044'!J46)</f>
        <v>2</v>
      </c>
      <c r="K46" s="57">
        <f>SUM('ASR2004:ASR3044'!K46)</f>
        <v>2</v>
      </c>
      <c r="L46" s="156">
        <f>SUM('ASR2004:ASR3044'!L46)</f>
        <v>36</v>
      </c>
      <c r="M46" s="144">
        <f>SUM('ASR2004:ASR3044'!M46)</f>
        <v>55</v>
      </c>
    </row>
    <row r="47" spans="1:13" s="8" customFormat="1" ht="11.25" customHeight="1">
      <c r="A47" s="10" t="s">
        <v>0</v>
      </c>
      <c r="B47" s="57">
        <f>SUM('ASR2004:ASR3044'!B47)</f>
        <v>108</v>
      </c>
      <c r="C47" s="57">
        <f>SUM('ASR2004:ASR3044'!C47)</f>
        <v>108</v>
      </c>
      <c r="D47" s="57">
        <f>SUM('ASR2004:ASR3044'!D47)</f>
        <v>109</v>
      </c>
      <c r="E47" s="57">
        <f>SUM('ASR2004:ASR3044'!E47)</f>
        <v>69</v>
      </c>
      <c r="F47" s="57">
        <f>SUM('ASR2004:ASR3044'!F47)</f>
        <v>119</v>
      </c>
      <c r="G47" s="57">
        <f>SUM('ASR2004:ASR3044'!G47)</f>
        <v>109</v>
      </c>
      <c r="H47" s="57">
        <f>SUM('ASR2004:ASR3044'!H47)</f>
        <v>192</v>
      </c>
      <c r="I47" s="57">
        <f>SUM('ASR2004:ASR3044'!I47)</f>
        <v>197</v>
      </c>
      <c r="J47" s="57">
        <f>SUM('ASR2004:ASR3044'!J47)</f>
        <v>169</v>
      </c>
      <c r="K47" s="57">
        <f>SUM('ASR2004:ASR3044'!K47)</f>
        <v>71</v>
      </c>
      <c r="L47" s="156">
        <f>SUM('ASR2004:ASR3044'!L47)</f>
        <v>117</v>
      </c>
      <c r="M47" s="144">
        <f>SUM('ASR2004:ASR3044'!M47)</f>
        <v>158</v>
      </c>
    </row>
    <row r="48" spans="1:13" s="8" customFormat="1" ht="11.25" customHeight="1">
      <c r="A48" s="10" t="s">
        <v>35</v>
      </c>
      <c r="B48" s="57">
        <f>SUM('ASR2004:ASR3044'!B48)</f>
        <v>6</v>
      </c>
      <c r="C48" s="57">
        <f>SUM('ASR2004:ASR3044'!C48)</f>
        <v>4</v>
      </c>
      <c r="D48" s="57">
        <f>SUM('ASR2004:ASR3044'!D48)</f>
        <v>2</v>
      </c>
      <c r="E48" s="57">
        <f>SUM('ASR2004:ASR3044'!E48)</f>
        <v>5</v>
      </c>
      <c r="F48" s="57">
        <f>SUM('ASR2004:ASR3044'!F48)</f>
        <v>3</v>
      </c>
      <c r="G48" s="57">
        <f>SUM('ASR2004:ASR3044'!G48)</f>
        <v>4</v>
      </c>
      <c r="H48" s="57">
        <f>SUM('ASR2004:ASR3044'!H48)</f>
        <v>5</v>
      </c>
      <c r="I48" s="57">
        <f>SUM('ASR2004:ASR3044'!I48)</f>
        <v>2</v>
      </c>
      <c r="J48" s="57">
        <f>SUM('ASR2004:ASR3044'!J48)</f>
        <v>6</v>
      </c>
      <c r="K48" s="57">
        <f>SUM('ASR2004:ASR3044'!K48)</f>
        <v>2</v>
      </c>
      <c r="L48" s="156">
        <f>SUM('ASR2004:ASR3044'!L48)</f>
        <v>3</v>
      </c>
      <c r="M48" s="144">
        <f>SUM('ASR2004:ASR3044'!M48)</f>
        <v>0</v>
      </c>
    </row>
    <row r="49" spans="1:13" s="8" customFormat="1" ht="11.25" customHeight="1">
      <c r="A49" s="10" t="s">
        <v>2</v>
      </c>
      <c r="B49" s="57">
        <f>SUM('ASR2004:ASR3044'!B49)</f>
        <v>38</v>
      </c>
      <c r="C49" s="57">
        <f>SUM('ASR2004:ASR3044'!C49)</f>
        <v>40</v>
      </c>
      <c r="D49" s="57">
        <f>SUM('ASR2004:ASR3044'!D49)</f>
        <v>40</v>
      </c>
      <c r="E49" s="57">
        <f>SUM('ASR2004:ASR3044'!E49)</f>
        <v>42</v>
      </c>
      <c r="F49" s="57">
        <f>SUM('ASR2004:ASR3044'!F49)</f>
        <v>34</v>
      </c>
      <c r="G49" s="57">
        <f>SUM('ASR2004:ASR3044'!G49)</f>
        <v>51</v>
      </c>
      <c r="H49" s="57">
        <f>SUM('ASR2004:ASR3044'!H49)</f>
        <v>72</v>
      </c>
      <c r="I49" s="57">
        <f>SUM('ASR2004:ASR3044'!I49)</f>
        <v>69</v>
      </c>
      <c r="J49" s="57">
        <f>SUM('ASR2004:ASR3044'!J49)</f>
        <v>69</v>
      </c>
      <c r="K49" s="57">
        <f>SUM('ASR2004:ASR3044'!K49)</f>
        <v>21</v>
      </c>
      <c r="L49" s="156">
        <f>SUM('ASR2004:ASR3044'!L49)</f>
        <v>33</v>
      </c>
      <c r="M49" s="144">
        <f>SUM('ASR2004:ASR3044'!M49)</f>
        <v>33</v>
      </c>
    </row>
    <row r="50" spans="1:13" s="8" customFormat="1" ht="11.25" customHeight="1">
      <c r="A50" s="10" t="s">
        <v>142</v>
      </c>
      <c r="B50" s="57">
        <f>SUM('ASR2004:ASR3044'!B50)</f>
        <v>63</v>
      </c>
      <c r="C50" s="57">
        <f>SUM('ASR2004:ASR3044'!C50)</f>
        <v>33</v>
      </c>
      <c r="D50" s="57">
        <f>SUM('ASR2004:ASR3044'!D50)</f>
        <v>45</v>
      </c>
      <c r="E50" s="57">
        <f>SUM('ASR2004:ASR3044'!E50)</f>
        <v>29</v>
      </c>
      <c r="F50" s="57">
        <f>SUM('ASR2004:ASR3044'!F50)</f>
        <v>26</v>
      </c>
      <c r="G50" s="57">
        <f>SUM('ASR2004:ASR3044'!G50)</f>
        <v>14</v>
      </c>
      <c r="H50" s="57">
        <f>SUM('ASR2004:ASR3044'!H50)</f>
        <v>13</v>
      </c>
      <c r="I50" s="57">
        <f>SUM('ASR2004:ASR3044'!I50)</f>
        <v>3</v>
      </c>
      <c r="J50" s="57">
        <f>SUM('ASR2004:ASR3044'!J50)</f>
        <v>12</v>
      </c>
      <c r="K50" s="57">
        <f>SUM('ASR2004:ASR3044'!K50)</f>
        <v>21</v>
      </c>
      <c r="L50" s="156">
        <f>SUM('ASR2004:ASR3044'!L50)</f>
        <v>34</v>
      </c>
      <c r="M50" s="144">
        <f>SUM('ASR2004:ASR3044'!M50)</f>
        <v>55</v>
      </c>
    </row>
    <row r="51" spans="1:13" s="8" customFormat="1" ht="11.25" customHeight="1">
      <c r="A51" s="10" t="s">
        <v>27</v>
      </c>
      <c r="B51" s="57">
        <f>SUM('ASR2004:ASR3044'!B51)</f>
        <v>0</v>
      </c>
      <c r="C51" s="57">
        <f>SUM('ASR2004:ASR3044'!C51)</f>
        <v>1</v>
      </c>
      <c r="D51" s="57">
        <f>SUM('ASR2004:ASR3044'!D51)</f>
        <v>0</v>
      </c>
      <c r="E51" s="57">
        <f>SUM('ASR2004:ASR3044'!E51)</f>
        <v>0</v>
      </c>
      <c r="F51" s="57">
        <f>SUM('ASR2004:ASR3044'!F51)</f>
        <v>0</v>
      </c>
      <c r="G51" s="57">
        <f>SUM('ASR2004:ASR3044'!G51)</f>
        <v>0</v>
      </c>
      <c r="H51" s="57">
        <f>SUM('ASR2004:ASR3044'!H51)</f>
        <v>3</v>
      </c>
      <c r="I51" s="57">
        <f>SUM('ASR2004:ASR3044'!I51)</f>
        <v>1</v>
      </c>
      <c r="J51" s="57">
        <f>SUM('ASR2004:ASR3044'!J51)</f>
        <v>3</v>
      </c>
      <c r="K51" s="57">
        <f>SUM('ASR2004:ASR3044'!K51)</f>
        <v>4</v>
      </c>
      <c r="L51" s="156">
        <f>SUM('ASR2004:ASR3044'!L51)</f>
        <v>3</v>
      </c>
      <c r="M51" s="144">
        <f>SUM('ASR2004:ASR3044'!M51)</f>
        <v>1</v>
      </c>
    </row>
    <row r="52" spans="1:13" s="8" customFormat="1" ht="11.25" customHeight="1" thickBot="1">
      <c r="A52" s="11" t="s">
        <v>16</v>
      </c>
      <c r="B52" s="60">
        <f t="shared" ref="B52:L52" si="5">SUM(B34:B51)</f>
        <v>1883</v>
      </c>
      <c r="C52" s="60">
        <f t="shared" si="5"/>
        <v>1810</v>
      </c>
      <c r="D52" s="60">
        <f t="shared" si="5"/>
        <v>1906</v>
      </c>
      <c r="E52" s="60">
        <f t="shared" si="5"/>
        <v>1793</v>
      </c>
      <c r="F52" s="60">
        <f t="shared" si="5"/>
        <v>1957</v>
      </c>
      <c r="G52" s="60">
        <f t="shared" si="5"/>
        <v>2087</v>
      </c>
      <c r="H52" s="60">
        <f t="shared" si="5"/>
        <v>2645</v>
      </c>
      <c r="I52" s="60">
        <f t="shared" si="5"/>
        <v>2873</v>
      </c>
      <c r="J52" s="60">
        <f t="shared" si="5"/>
        <v>2396</v>
      </c>
      <c r="K52" s="60">
        <f t="shared" si="5"/>
        <v>1405</v>
      </c>
      <c r="L52" s="159">
        <f t="shared" si="5"/>
        <v>1714</v>
      </c>
      <c r="M52" s="152">
        <f>SUM(M34:M51)</f>
        <v>2136</v>
      </c>
    </row>
    <row r="53" spans="1:13" ht="12" customHeight="1" thickBot="1">
      <c r="A53" s="55" t="s">
        <v>137</v>
      </c>
      <c r="B53" s="50">
        <v>41275</v>
      </c>
      <c r="C53" s="47">
        <v>41306</v>
      </c>
      <c r="D53" s="47">
        <v>41334</v>
      </c>
      <c r="E53" s="47">
        <v>41365</v>
      </c>
      <c r="F53" s="47">
        <v>41395</v>
      </c>
      <c r="G53" s="47">
        <v>41426</v>
      </c>
      <c r="H53" s="47">
        <v>41456</v>
      </c>
      <c r="I53" s="47">
        <v>41487</v>
      </c>
      <c r="J53" s="47">
        <v>41518</v>
      </c>
      <c r="K53" s="47">
        <v>41548</v>
      </c>
      <c r="L53" s="47">
        <v>41579</v>
      </c>
      <c r="M53" s="51">
        <v>41609</v>
      </c>
    </row>
    <row r="54" spans="1:13" s="8" customFormat="1" ht="11.25" customHeight="1">
      <c r="A54" s="10" t="s">
        <v>30</v>
      </c>
      <c r="B54" s="57">
        <f>SUM('ASR2004:ASR3044'!B54)</f>
        <v>40</v>
      </c>
      <c r="C54" s="57">
        <f>SUM('ASR2004:ASR3044'!C54)</f>
        <v>30</v>
      </c>
      <c r="D54" s="57">
        <f>SUM('ASR2004:ASR3044'!D54)</f>
        <v>46</v>
      </c>
      <c r="E54" s="57">
        <f>SUM('ASR2004:ASR3044'!E54)</f>
        <v>61</v>
      </c>
      <c r="F54" s="57">
        <f>SUM('ASR2004:ASR3044'!F54)</f>
        <v>75</v>
      </c>
      <c r="G54" s="57">
        <f>SUM('ASR2004:ASR3044'!G54)</f>
        <v>76</v>
      </c>
      <c r="H54" s="57">
        <f>SUM('ASR2004:ASR3044'!H54)</f>
        <v>126</v>
      </c>
      <c r="I54" s="57">
        <f>SUM('ASR2004:ASR3044'!I54)</f>
        <v>79</v>
      </c>
      <c r="J54" s="57">
        <f>SUM('ASR2004:ASR3044'!J54)</f>
        <v>94</v>
      </c>
      <c r="K54" s="57">
        <f>SUM('ASR2004:ASR3044'!K54)</f>
        <v>56</v>
      </c>
      <c r="L54" s="156">
        <f>SUM('ASR2004:ASR3044'!L54)</f>
        <v>63</v>
      </c>
      <c r="M54" s="144">
        <f>SUM('ASR2004:ASR3044'!M54)</f>
        <v>105</v>
      </c>
    </row>
    <row r="55" spans="1:13" s="8" customFormat="1" ht="11.25" customHeight="1">
      <c r="A55" s="10" t="s">
        <v>29</v>
      </c>
      <c r="B55" s="57">
        <f>SUM('ASR2004:ASR3044'!B55)</f>
        <v>2</v>
      </c>
      <c r="C55" s="57">
        <f>SUM('ASR2004:ASR3044'!C55)</f>
        <v>0</v>
      </c>
      <c r="D55" s="57">
        <f>SUM('ASR2004:ASR3044'!D55)</f>
        <v>2</v>
      </c>
      <c r="E55" s="57">
        <f>SUM('ASR2004:ASR3044'!E55)</f>
        <v>1</v>
      </c>
      <c r="F55" s="57">
        <f>SUM('ASR2004:ASR3044'!F55)</f>
        <v>0</v>
      </c>
      <c r="G55" s="57">
        <f>SUM('ASR2004:ASR3044'!G55)</f>
        <v>0</v>
      </c>
      <c r="H55" s="57">
        <f>SUM('ASR2004:ASR3044'!H55)</f>
        <v>0</v>
      </c>
      <c r="I55" s="57">
        <f>SUM('ASR2004:ASR3044'!I55)</f>
        <v>3</v>
      </c>
      <c r="J55" s="57">
        <f>SUM('ASR2004:ASR3044'!J55)</f>
        <v>1</v>
      </c>
      <c r="K55" s="57">
        <f>SUM('ASR2004:ASR3044'!K55)</f>
        <v>1</v>
      </c>
      <c r="L55" s="156">
        <f>SUM('ASR2004:ASR3044'!L55)</f>
        <v>1</v>
      </c>
      <c r="M55" s="144">
        <f>SUM('ASR2004:ASR3044'!M55)</f>
        <v>1</v>
      </c>
    </row>
    <row r="56" spans="1:13" s="8" customFormat="1" ht="11.25" customHeight="1">
      <c r="A56" s="10" t="s">
        <v>7</v>
      </c>
      <c r="B56" s="57">
        <f>SUM('ASR2004:ASR3044'!B56)</f>
        <v>142</v>
      </c>
      <c r="C56" s="57">
        <f>SUM('ASR2004:ASR3044'!C56)</f>
        <v>166</v>
      </c>
      <c r="D56" s="57">
        <f>SUM('ASR2004:ASR3044'!D56)</f>
        <v>119</v>
      </c>
      <c r="E56" s="57">
        <f>SUM('ASR2004:ASR3044'!E56)</f>
        <v>151</v>
      </c>
      <c r="F56" s="57">
        <f>SUM('ASR2004:ASR3044'!F56)</f>
        <v>173</v>
      </c>
      <c r="G56" s="57">
        <f>SUM('ASR2004:ASR3044'!G56)</f>
        <v>142</v>
      </c>
      <c r="H56" s="57">
        <f>SUM('ASR2004:ASR3044'!H56)</f>
        <v>153</v>
      </c>
      <c r="I56" s="57">
        <f>SUM('ASR2004:ASR3044'!I56)</f>
        <v>143</v>
      </c>
      <c r="J56" s="57">
        <f>SUM('ASR2004:ASR3044'!J56)</f>
        <v>190</v>
      </c>
      <c r="K56" s="57">
        <f>SUM('ASR2004:ASR3044'!K56)</f>
        <v>112</v>
      </c>
      <c r="L56" s="156">
        <f>SUM('ASR2004:ASR3044'!L56)</f>
        <v>227</v>
      </c>
      <c r="M56" s="144">
        <f>SUM('ASR2004:ASR3044'!M56)</f>
        <v>378</v>
      </c>
    </row>
    <row r="57" spans="1:13" s="8" customFormat="1" ht="11.25" customHeight="1">
      <c r="A57" s="10" t="s">
        <v>10</v>
      </c>
      <c r="B57" s="57">
        <f>SUM('ASR2004:ASR3044'!B57)</f>
        <v>1</v>
      </c>
      <c r="C57" s="57">
        <f>SUM('ASR2004:ASR3044'!C57)</f>
        <v>0</v>
      </c>
      <c r="D57" s="57">
        <f>SUM('ASR2004:ASR3044'!D57)</f>
        <v>0</v>
      </c>
      <c r="E57" s="57">
        <f>SUM('ASR2004:ASR3044'!E57)</f>
        <v>2</v>
      </c>
      <c r="F57" s="57">
        <f>SUM('ASR2004:ASR3044'!F57)</f>
        <v>2</v>
      </c>
      <c r="G57" s="57">
        <f>SUM('ASR2004:ASR3044'!G57)</f>
        <v>5</v>
      </c>
      <c r="H57" s="57">
        <f>SUM('ASR2004:ASR3044'!H57)</f>
        <v>14</v>
      </c>
      <c r="I57" s="57">
        <f>SUM('ASR2004:ASR3044'!I57)</f>
        <v>8</v>
      </c>
      <c r="J57" s="57">
        <f>SUM('ASR2004:ASR3044'!J57)</f>
        <v>7</v>
      </c>
      <c r="K57" s="57">
        <f>SUM('ASR2004:ASR3044'!K57)</f>
        <v>0</v>
      </c>
      <c r="L57" s="156">
        <f>SUM('ASR2004:ASR3044'!L57)</f>
        <v>7</v>
      </c>
      <c r="M57" s="144">
        <f>SUM('ASR2004:ASR3044'!M57)</f>
        <v>2</v>
      </c>
    </row>
    <row r="58" spans="1:13" s="8" customFormat="1" ht="11.25" customHeight="1">
      <c r="A58" s="10" t="s">
        <v>36</v>
      </c>
      <c r="B58" s="57">
        <f>SUM('ASR2004:ASR3044'!B58)</f>
        <v>151</v>
      </c>
      <c r="C58" s="57">
        <f>SUM('ASR2004:ASR3044'!C58)</f>
        <v>149</v>
      </c>
      <c r="D58" s="57">
        <f>SUM('ASR2004:ASR3044'!D58)</f>
        <v>152</v>
      </c>
      <c r="E58" s="57">
        <f>SUM('ASR2004:ASR3044'!E58)</f>
        <v>131</v>
      </c>
      <c r="F58" s="57">
        <f>SUM('ASR2004:ASR3044'!F58)</f>
        <v>151</v>
      </c>
      <c r="G58" s="57">
        <f>SUM('ASR2004:ASR3044'!G58)</f>
        <v>185</v>
      </c>
      <c r="H58" s="57">
        <f>SUM('ASR2004:ASR3044'!H58)</f>
        <v>239</v>
      </c>
      <c r="I58" s="57">
        <f>SUM('ASR2004:ASR3044'!I58)</f>
        <v>220</v>
      </c>
      <c r="J58" s="57">
        <f>SUM('ASR2004:ASR3044'!J58)</f>
        <v>261</v>
      </c>
      <c r="K58" s="57">
        <f>SUM('ASR2004:ASR3044'!K58)</f>
        <v>115</v>
      </c>
      <c r="L58" s="156">
        <f>SUM('ASR2004:ASR3044'!L58)</f>
        <v>191</v>
      </c>
      <c r="M58" s="144">
        <f>SUM('ASR2004:ASR3044'!M58)</f>
        <v>225</v>
      </c>
    </row>
    <row r="59" spans="1:13" s="8" customFormat="1" ht="11.25" customHeight="1">
      <c r="A59" s="10" t="s">
        <v>145</v>
      </c>
      <c r="B59" s="57">
        <f>SUM('ASR2004:ASR3044'!B59)</f>
        <v>0</v>
      </c>
      <c r="C59" s="57">
        <f>SUM('ASR2004:ASR3044'!C59)</f>
        <v>0</v>
      </c>
      <c r="D59" s="57">
        <f>SUM('ASR2004:ASR3044'!D59)</f>
        <v>0</v>
      </c>
      <c r="E59" s="57">
        <f>SUM('ASR2004:ASR3044'!E59)</f>
        <v>0</v>
      </c>
      <c r="F59" s="57">
        <f>SUM('ASR2004:ASR3044'!F59)</f>
        <v>2</v>
      </c>
      <c r="G59" s="57">
        <f>SUM('ASR2004:ASR3044'!G59)</f>
        <v>0</v>
      </c>
      <c r="H59" s="57">
        <f>SUM('ASR2004:ASR3044'!H59)</f>
        <v>0</v>
      </c>
      <c r="I59" s="57">
        <f>SUM('ASR2004:ASR3044'!I59)</f>
        <v>0</v>
      </c>
      <c r="J59" s="57">
        <f>SUM('ASR2004:ASR3044'!J59)</f>
        <v>0</v>
      </c>
      <c r="K59" s="57">
        <f>SUM('ASR2004:ASR3044'!K59)</f>
        <v>0</v>
      </c>
      <c r="L59" s="156">
        <f>SUM('ASR2004:ASR3044'!L59)</f>
        <v>0</v>
      </c>
      <c r="M59" s="144">
        <f>SUM('ASR2004:ASR3044'!M59)</f>
        <v>2</v>
      </c>
    </row>
    <row r="60" spans="1:13" s="8" customFormat="1" ht="11.25" customHeight="1">
      <c r="A60" s="10" t="s">
        <v>38</v>
      </c>
      <c r="B60" s="57">
        <f>SUM('ASR2004:ASR3044'!B60)</f>
        <v>10</v>
      </c>
      <c r="C60" s="57">
        <f>SUM('ASR2004:ASR3044'!C60)</f>
        <v>23</v>
      </c>
      <c r="D60" s="57">
        <f>SUM('ASR2004:ASR3044'!D60)</f>
        <v>12</v>
      </c>
      <c r="E60" s="57">
        <f>SUM('ASR2004:ASR3044'!E60)</f>
        <v>22</v>
      </c>
      <c r="F60" s="57">
        <f>SUM('ASR2004:ASR3044'!F60)</f>
        <v>28</v>
      </c>
      <c r="G60" s="57">
        <f>SUM('ASR2004:ASR3044'!G60)</f>
        <v>28</v>
      </c>
      <c r="H60" s="57">
        <f>SUM('ASR2004:ASR3044'!H60)</f>
        <v>51</v>
      </c>
      <c r="I60" s="57">
        <f>SUM('ASR2004:ASR3044'!I60)</f>
        <v>31</v>
      </c>
      <c r="J60" s="57">
        <f>SUM('ASR2004:ASR3044'!J60)</f>
        <v>26</v>
      </c>
      <c r="K60" s="57">
        <f>SUM('ASR2004:ASR3044'!K60)</f>
        <v>10</v>
      </c>
      <c r="L60" s="156">
        <f>SUM('ASR2004:ASR3044'!L60)</f>
        <v>30</v>
      </c>
      <c r="M60" s="144">
        <f>SUM('ASR2004:ASR3044'!M60)</f>
        <v>24</v>
      </c>
    </row>
    <row r="61" spans="1:13" s="8" customFormat="1" ht="11.25" customHeight="1">
      <c r="A61" s="10" t="s">
        <v>9</v>
      </c>
      <c r="B61" s="57">
        <f>SUM('ASR2004:ASR3044'!B61)</f>
        <v>6</v>
      </c>
      <c r="C61" s="57">
        <f>SUM('ASR2004:ASR3044'!C61)</f>
        <v>4</v>
      </c>
      <c r="D61" s="57">
        <f>SUM('ASR2004:ASR3044'!D61)</f>
        <v>3</v>
      </c>
      <c r="E61" s="57">
        <f>SUM('ASR2004:ASR3044'!E61)</f>
        <v>1</v>
      </c>
      <c r="F61" s="57">
        <f>SUM('ASR2004:ASR3044'!F61)</f>
        <v>1</v>
      </c>
      <c r="G61" s="57">
        <f>SUM('ASR2004:ASR3044'!G61)</f>
        <v>4</v>
      </c>
      <c r="H61" s="57">
        <f>SUM('ASR2004:ASR3044'!H61)</f>
        <v>1</v>
      </c>
      <c r="I61" s="57">
        <f>SUM('ASR2004:ASR3044'!I61)</f>
        <v>5</v>
      </c>
      <c r="J61" s="57">
        <f>SUM('ASR2004:ASR3044'!J61)</f>
        <v>3</v>
      </c>
      <c r="K61" s="57">
        <f>SUM('ASR2004:ASR3044'!K61)</f>
        <v>3</v>
      </c>
      <c r="L61" s="156">
        <f>SUM('ASR2004:ASR3044'!L61)</f>
        <v>2</v>
      </c>
      <c r="M61" s="144">
        <f>SUM('ASR2004:ASR3044'!M61)</f>
        <v>1</v>
      </c>
    </row>
    <row r="62" spans="1:13" s="8" customFormat="1" ht="11.25" customHeight="1">
      <c r="A62" s="10" t="s">
        <v>8</v>
      </c>
      <c r="B62" s="57">
        <f>SUM('ASR2004:ASR3044'!B62)</f>
        <v>2</v>
      </c>
      <c r="C62" s="57">
        <f>SUM('ASR2004:ASR3044'!C62)</f>
        <v>1</v>
      </c>
      <c r="D62" s="57">
        <f>SUM('ASR2004:ASR3044'!D62)</f>
        <v>1</v>
      </c>
      <c r="E62" s="57">
        <f>SUM('ASR2004:ASR3044'!E62)</f>
        <v>0</v>
      </c>
      <c r="F62" s="57">
        <f>SUM('ASR2004:ASR3044'!F62)</f>
        <v>1</v>
      </c>
      <c r="G62" s="57">
        <f>SUM('ASR2004:ASR3044'!G62)</f>
        <v>0</v>
      </c>
      <c r="H62" s="57">
        <f>SUM('ASR2004:ASR3044'!H62)</f>
        <v>0</v>
      </c>
      <c r="I62" s="57">
        <f>SUM('ASR2004:ASR3044'!I62)</f>
        <v>1</v>
      </c>
      <c r="J62" s="57">
        <f>SUM('ASR2004:ASR3044'!J62)</f>
        <v>0</v>
      </c>
      <c r="K62" s="57">
        <f>SUM('ASR2004:ASR3044'!K62)</f>
        <v>1</v>
      </c>
      <c r="L62" s="156">
        <f>SUM('ASR2004:ASR3044'!L62)</f>
        <v>0</v>
      </c>
      <c r="M62" s="144">
        <f>SUM('ASR2004:ASR3044'!M62)</f>
        <v>0</v>
      </c>
    </row>
    <row r="63" spans="1:13" s="8" customFormat="1" ht="11.25" customHeight="1">
      <c r="A63" s="10" t="s">
        <v>6</v>
      </c>
      <c r="B63" s="57">
        <f>SUM('ASR2004:ASR3044'!B63)</f>
        <v>1</v>
      </c>
      <c r="C63" s="57">
        <f>SUM('ASR2004:ASR3044'!C63)</f>
        <v>0</v>
      </c>
      <c r="D63" s="57">
        <f>SUM('ASR2004:ASR3044'!D63)</f>
        <v>0</v>
      </c>
      <c r="E63" s="57">
        <f>SUM('ASR2004:ASR3044'!E63)</f>
        <v>0</v>
      </c>
      <c r="F63" s="57">
        <f>SUM('ASR2004:ASR3044'!F63)</f>
        <v>2</v>
      </c>
      <c r="G63" s="57">
        <f>SUM('ASR2004:ASR3044'!G63)</f>
        <v>1</v>
      </c>
      <c r="H63" s="57">
        <f>SUM('ASR2004:ASR3044'!H63)</f>
        <v>0</v>
      </c>
      <c r="I63" s="57">
        <f>SUM('ASR2004:ASR3044'!I63)</f>
        <v>1</v>
      </c>
      <c r="J63" s="57">
        <f>SUM('ASR2004:ASR3044'!J63)</f>
        <v>0</v>
      </c>
      <c r="K63" s="57">
        <f>SUM('ASR2004:ASR3044'!K63)</f>
        <v>0</v>
      </c>
      <c r="L63" s="156">
        <f>SUM('ASR2004:ASR3044'!L63)</f>
        <v>0</v>
      </c>
      <c r="M63" s="144">
        <f>SUM('ASR2004:ASR3044'!M63)</f>
        <v>1</v>
      </c>
    </row>
    <row r="64" spans="1:13" s="8" customFormat="1" ht="11.25" customHeight="1">
      <c r="A64" s="52" t="s">
        <v>141</v>
      </c>
      <c r="B64" s="57">
        <f>SUM('ASR2004:ASR3044'!B64)</f>
        <v>174</v>
      </c>
      <c r="C64" s="57">
        <f>SUM('ASR2004:ASR3044'!C64)</f>
        <v>90</v>
      </c>
      <c r="D64" s="57">
        <f>SUM('ASR2004:ASR3044'!D64)</f>
        <v>126</v>
      </c>
      <c r="E64" s="57">
        <f>SUM('ASR2004:ASR3044'!E64)</f>
        <v>98</v>
      </c>
      <c r="F64" s="57">
        <f>SUM('ASR2004:ASR3044'!F64)</f>
        <v>89</v>
      </c>
      <c r="G64" s="57">
        <f>SUM('ASR2004:ASR3044'!G64)</f>
        <v>39</v>
      </c>
      <c r="H64" s="57">
        <f>SUM('ASR2004:ASR3044'!H64)</f>
        <v>34</v>
      </c>
      <c r="I64" s="57">
        <f>SUM('ASR2004:ASR3044'!I64)</f>
        <v>23</v>
      </c>
      <c r="J64" s="57">
        <f>SUM('ASR2004:ASR3044'!J64)</f>
        <v>6</v>
      </c>
      <c r="K64" s="57">
        <f>SUM('ASR2004:ASR3044'!K64)</f>
        <v>17</v>
      </c>
      <c r="L64" s="156">
        <f>SUM('ASR2004:ASR3044'!L64)</f>
        <v>38</v>
      </c>
      <c r="M64" s="144">
        <f>SUM('ASR2004:ASR3044'!M64)</f>
        <v>58</v>
      </c>
    </row>
    <row r="65" spans="1:13" s="8" customFormat="1" ht="11.25" customHeight="1" thickBot="1">
      <c r="A65" s="12" t="s">
        <v>16</v>
      </c>
      <c r="B65" s="70">
        <f>SUM(B54:B64)</f>
        <v>529</v>
      </c>
      <c r="C65" s="70">
        <f t="shared" ref="C65:L65" si="6">SUM(C54:C64)</f>
        <v>463</v>
      </c>
      <c r="D65" s="70">
        <f t="shared" si="6"/>
        <v>461</v>
      </c>
      <c r="E65" s="70">
        <f t="shared" si="6"/>
        <v>467</v>
      </c>
      <c r="F65" s="70">
        <f t="shared" si="6"/>
        <v>524</v>
      </c>
      <c r="G65" s="70">
        <f t="shared" si="6"/>
        <v>480</v>
      </c>
      <c r="H65" s="70">
        <f t="shared" si="6"/>
        <v>618</v>
      </c>
      <c r="I65" s="70">
        <f t="shared" si="6"/>
        <v>514</v>
      </c>
      <c r="J65" s="70">
        <f t="shared" si="6"/>
        <v>588</v>
      </c>
      <c r="K65" s="70">
        <f t="shared" si="6"/>
        <v>315</v>
      </c>
      <c r="L65" s="165">
        <f t="shared" si="6"/>
        <v>559</v>
      </c>
      <c r="M65" s="153">
        <f>SUM(M54:M64)</f>
        <v>797</v>
      </c>
    </row>
    <row r="66" spans="1:13" s="8" customFormat="1" ht="15.75" customHeight="1">
      <c r="A66" s="6"/>
      <c r="B66" s="7"/>
      <c r="C66" s="7"/>
      <c r="D66" s="7"/>
      <c r="E66" s="7"/>
      <c r="F66" s="7"/>
      <c r="G66" s="49"/>
      <c r="H66" s="7"/>
      <c r="I66" s="7"/>
      <c r="J66" s="7"/>
      <c r="K66" s="7"/>
      <c r="L66" s="7"/>
      <c r="M66" s="7"/>
    </row>
    <row r="67" spans="1:13" ht="12" customHeight="1">
      <c r="A67" s="6"/>
      <c r="B67" s="7"/>
      <c r="C67" s="7"/>
      <c r="D67" s="7"/>
      <c r="E67" s="7"/>
      <c r="F67" s="7"/>
      <c r="G67" s="49"/>
      <c r="H67" s="7"/>
      <c r="I67" s="7"/>
      <c r="J67" s="7"/>
      <c r="K67" s="7"/>
      <c r="L67" s="7"/>
      <c r="M67" s="7"/>
    </row>
    <row r="68" spans="1:13" ht="11.25" customHeight="1">
      <c r="A68" s="6"/>
      <c r="B68" s="7"/>
      <c r="C68" s="7"/>
      <c r="D68" s="7"/>
      <c r="E68" s="7"/>
      <c r="F68" s="7"/>
      <c r="G68" s="49"/>
      <c r="H68" s="7"/>
      <c r="I68" s="7"/>
      <c r="J68" s="7"/>
      <c r="K68" s="7"/>
      <c r="L68" s="7"/>
      <c r="M68" s="7"/>
    </row>
    <row r="69" spans="1:13" ht="11.25" customHeight="1">
      <c r="A69" s="6"/>
      <c r="B69" s="7"/>
      <c r="C69" s="7"/>
      <c r="D69" s="7"/>
      <c r="E69" s="7"/>
      <c r="F69" s="7"/>
      <c r="G69" s="49"/>
      <c r="H69" s="7"/>
      <c r="I69" s="7"/>
      <c r="J69" s="7"/>
      <c r="K69" s="7"/>
      <c r="L69" s="7"/>
      <c r="M69" s="7"/>
    </row>
    <row r="70" spans="1:13">
      <c r="B70" s="13"/>
      <c r="C70" s="13"/>
      <c r="D70" s="13"/>
      <c r="E70" s="13"/>
      <c r="F70" s="13"/>
      <c r="G70" s="13"/>
      <c r="H70" s="13"/>
      <c r="I70" s="13"/>
      <c r="J70" s="13"/>
      <c r="K70" s="13"/>
      <c r="L70" s="13"/>
      <c r="M70" s="13"/>
    </row>
  </sheetData>
  <phoneticPr fontId="0" type="noConversion"/>
  <printOptions horizontalCentered="1" verticalCentered="1"/>
  <pageMargins left="0.14000000000000001" right="0.16" top="0.25" bottom="0.5" header="0.5" footer="0.25"/>
  <pageSetup scale="95" firstPageNumber="3" orientation="portrait" useFirstPageNumber="1" r:id="rId1"/>
  <headerFooter alignWithMargins="0">
    <oddFooter>&amp;R5 of 51</oddFooter>
  </headerFooter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67"/>
  <sheetViews>
    <sheetView view="pageBreakPreview" zoomScale="90" zoomScaleNormal="100" zoomScaleSheetLayoutView="90" workbookViewId="0">
      <selection activeCell="M47" sqref="M47"/>
    </sheetView>
  </sheetViews>
  <sheetFormatPr defaultRowHeight="12.75"/>
  <cols>
    <col min="1" max="1" width="22.85546875" style="1" customWidth="1"/>
    <col min="2" max="13" width="7.140625" style="1" customWidth="1"/>
    <col min="14" max="14" width="4.42578125" style="1" customWidth="1"/>
    <col min="15" max="16384" width="9.140625" style="1"/>
  </cols>
  <sheetData>
    <row r="1" spans="1:21" ht="18" customHeight="1">
      <c r="A1" s="130"/>
      <c r="B1" s="131"/>
      <c r="C1" s="131"/>
      <c r="D1" s="131"/>
      <c r="E1" s="131"/>
      <c r="F1" s="131"/>
      <c r="G1" s="131"/>
      <c r="H1" s="130"/>
      <c r="I1" s="131"/>
      <c r="J1" s="131"/>
      <c r="K1" s="131"/>
      <c r="L1" s="130"/>
      <c r="M1" s="143" t="s">
        <v>22</v>
      </c>
    </row>
    <row r="2" spans="1:21" ht="18" customHeight="1">
      <c r="A2" s="130"/>
      <c r="B2" s="135"/>
      <c r="C2" s="135"/>
      <c r="D2" s="135"/>
      <c r="E2" s="135"/>
      <c r="F2" s="135"/>
      <c r="G2" s="135"/>
      <c r="H2" s="130"/>
      <c r="I2" s="135"/>
      <c r="J2" s="135"/>
      <c r="K2" s="135"/>
      <c r="L2" s="130"/>
      <c r="M2" s="155" t="s">
        <v>13</v>
      </c>
    </row>
    <row r="3" spans="1:21" s="5" customFormat="1" ht="18" customHeight="1">
      <c r="A3" s="133"/>
      <c r="B3" s="133"/>
      <c r="C3" s="133"/>
      <c r="D3" s="133"/>
      <c r="E3" s="133"/>
      <c r="F3" s="133"/>
      <c r="G3" s="133"/>
      <c r="H3" s="133"/>
      <c r="I3" s="133"/>
      <c r="J3" s="136"/>
      <c r="K3" s="136"/>
      <c r="L3" s="133"/>
      <c r="M3" s="155" t="s">
        <v>126</v>
      </c>
      <c r="N3" s="134"/>
      <c r="O3" s="134"/>
      <c r="P3" s="134"/>
      <c r="Q3" s="134"/>
      <c r="R3" s="134"/>
      <c r="S3" s="134"/>
      <c r="T3" s="134"/>
      <c r="U3" s="134"/>
    </row>
    <row r="4" spans="1:21" s="8" customFormat="1" ht="6.75" customHeight="1" thickBot="1">
      <c r="A4" s="38"/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</row>
    <row r="5" spans="1:21" s="8" customFormat="1" ht="11.25" customHeight="1" thickBot="1">
      <c r="A5" s="53" t="s">
        <v>19</v>
      </c>
      <c r="B5" s="50">
        <v>41275</v>
      </c>
      <c r="C5" s="47">
        <v>41306</v>
      </c>
      <c r="D5" s="47">
        <v>41334</v>
      </c>
      <c r="E5" s="47">
        <v>41365</v>
      </c>
      <c r="F5" s="47">
        <v>41395</v>
      </c>
      <c r="G5" s="47">
        <v>41426</v>
      </c>
      <c r="H5" s="47">
        <v>41456</v>
      </c>
      <c r="I5" s="47">
        <v>41487</v>
      </c>
      <c r="J5" s="47">
        <v>41518</v>
      </c>
      <c r="K5" s="47">
        <v>41548</v>
      </c>
      <c r="L5" s="47">
        <v>41579</v>
      </c>
      <c r="M5" s="51">
        <v>41609</v>
      </c>
    </row>
    <row r="6" spans="1:21" s="8" customFormat="1" ht="11.25" customHeight="1">
      <c r="A6" s="41" t="s">
        <v>129</v>
      </c>
      <c r="B6" s="57">
        <f t="shared" ref="B6:M6" si="0">B32</f>
        <v>67</v>
      </c>
      <c r="C6" s="57">
        <f t="shared" si="0"/>
        <v>98</v>
      </c>
      <c r="D6" s="57">
        <f t="shared" si="0"/>
        <v>77</v>
      </c>
      <c r="E6" s="57">
        <f t="shared" si="0"/>
        <v>63</v>
      </c>
      <c r="F6" s="57">
        <f t="shared" si="0"/>
        <v>62</v>
      </c>
      <c r="G6" s="57">
        <f t="shared" si="0"/>
        <v>76</v>
      </c>
      <c r="H6" s="57">
        <f t="shared" si="0"/>
        <v>80</v>
      </c>
      <c r="I6" s="57">
        <f t="shared" si="0"/>
        <v>132</v>
      </c>
      <c r="J6" s="57">
        <f t="shared" si="0"/>
        <v>134</v>
      </c>
      <c r="K6" s="57">
        <f t="shared" si="0"/>
        <v>72</v>
      </c>
      <c r="L6" s="156">
        <f t="shared" si="0"/>
        <v>124</v>
      </c>
      <c r="M6" s="168">
        <f t="shared" si="0"/>
        <v>134</v>
      </c>
    </row>
    <row r="7" spans="1:21" s="8" customFormat="1" ht="11.25" customHeight="1">
      <c r="A7" s="42" t="s">
        <v>18</v>
      </c>
      <c r="B7" s="57">
        <f t="shared" ref="B7:M7" si="1">SUM(B10:B12)</f>
        <v>229</v>
      </c>
      <c r="C7" s="57">
        <f t="shared" si="1"/>
        <v>277</v>
      </c>
      <c r="D7" s="57">
        <f t="shared" si="1"/>
        <v>286</v>
      </c>
      <c r="E7" s="57">
        <f t="shared" si="1"/>
        <v>280</v>
      </c>
      <c r="F7" s="57">
        <f t="shared" si="1"/>
        <v>270</v>
      </c>
      <c r="G7" s="57">
        <f t="shared" si="1"/>
        <v>269</v>
      </c>
      <c r="H7" s="57">
        <f t="shared" si="1"/>
        <v>327</v>
      </c>
      <c r="I7" s="57">
        <f t="shared" si="1"/>
        <v>359</v>
      </c>
      <c r="J7" s="57">
        <f t="shared" si="1"/>
        <v>405</v>
      </c>
      <c r="K7" s="57">
        <f t="shared" si="1"/>
        <v>309</v>
      </c>
      <c r="L7" s="156">
        <f t="shared" si="1"/>
        <v>350</v>
      </c>
      <c r="M7" s="171">
        <f t="shared" si="1"/>
        <v>410</v>
      </c>
    </row>
    <row r="8" spans="1:21" s="8" customFormat="1" ht="11.25" customHeight="1" thickBot="1">
      <c r="A8" s="43" t="s">
        <v>14</v>
      </c>
      <c r="B8" s="58">
        <f t="shared" ref="B8:M8" si="2">SUM(B6:B7)</f>
        <v>296</v>
      </c>
      <c r="C8" s="58">
        <f t="shared" si="2"/>
        <v>375</v>
      </c>
      <c r="D8" s="58">
        <f t="shared" si="2"/>
        <v>363</v>
      </c>
      <c r="E8" s="58">
        <f t="shared" si="2"/>
        <v>343</v>
      </c>
      <c r="F8" s="58">
        <f t="shared" si="2"/>
        <v>332</v>
      </c>
      <c r="G8" s="58">
        <f t="shared" si="2"/>
        <v>345</v>
      </c>
      <c r="H8" s="58">
        <f t="shared" si="2"/>
        <v>407</v>
      </c>
      <c r="I8" s="58">
        <f t="shared" si="2"/>
        <v>491</v>
      </c>
      <c r="J8" s="58">
        <f t="shared" si="2"/>
        <v>539</v>
      </c>
      <c r="K8" s="58">
        <f t="shared" si="2"/>
        <v>381</v>
      </c>
      <c r="L8" s="157">
        <f t="shared" si="2"/>
        <v>474</v>
      </c>
      <c r="M8" s="172">
        <f t="shared" si="2"/>
        <v>544</v>
      </c>
    </row>
    <row r="9" spans="1:21" s="8" customFormat="1" ht="11.25" customHeight="1" thickBot="1">
      <c r="A9" s="54" t="s">
        <v>18</v>
      </c>
      <c r="B9" s="50">
        <v>41275</v>
      </c>
      <c r="C9" s="47">
        <v>41306</v>
      </c>
      <c r="D9" s="47">
        <v>41334</v>
      </c>
      <c r="E9" s="47">
        <v>41365</v>
      </c>
      <c r="F9" s="47">
        <v>41395</v>
      </c>
      <c r="G9" s="47">
        <v>41426</v>
      </c>
      <c r="H9" s="47">
        <v>41456</v>
      </c>
      <c r="I9" s="47">
        <v>41487</v>
      </c>
      <c r="J9" s="47">
        <v>41518</v>
      </c>
      <c r="K9" s="47">
        <v>41548</v>
      </c>
      <c r="L9" s="47">
        <v>41579</v>
      </c>
      <c r="M9" s="51">
        <v>41609</v>
      </c>
    </row>
    <row r="10" spans="1:21" s="8" customFormat="1" ht="11.25" customHeight="1">
      <c r="A10" s="9" t="s">
        <v>128</v>
      </c>
      <c r="B10" s="57">
        <f t="shared" ref="B10:M10" si="3">B52</f>
        <v>57</v>
      </c>
      <c r="C10" s="57">
        <f t="shared" si="3"/>
        <v>52</v>
      </c>
      <c r="D10" s="57">
        <f t="shared" si="3"/>
        <v>60</v>
      </c>
      <c r="E10" s="57">
        <f t="shared" si="3"/>
        <v>60</v>
      </c>
      <c r="F10" s="57">
        <f t="shared" si="3"/>
        <v>58</v>
      </c>
      <c r="G10" s="59">
        <f t="shared" si="3"/>
        <v>52</v>
      </c>
      <c r="H10" s="59">
        <f t="shared" si="3"/>
        <v>70</v>
      </c>
      <c r="I10" s="59">
        <f t="shared" si="3"/>
        <v>78</v>
      </c>
      <c r="J10" s="59">
        <f t="shared" si="3"/>
        <v>73</v>
      </c>
      <c r="K10" s="59">
        <f t="shared" si="3"/>
        <v>76</v>
      </c>
      <c r="L10" s="158">
        <f t="shared" si="3"/>
        <v>86</v>
      </c>
      <c r="M10" s="168">
        <f t="shared" si="3"/>
        <v>103</v>
      </c>
    </row>
    <row r="11" spans="1:21" s="8" customFormat="1" ht="11.25" customHeight="1">
      <c r="A11" s="9" t="s">
        <v>127</v>
      </c>
      <c r="B11" s="59">
        <f t="shared" ref="B11:M11" si="4">B65</f>
        <v>83</v>
      </c>
      <c r="C11" s="59">
        <f t="shared" si="4"/>
        <v>97</v>
      </c>
      <c r="D11" s="59">
        <f t="shared" si="4"/>
        <v>88</v>
      </c>
      <c r="E11" s="59">
        <f t="shared" si="4"/>
        <v>90</v>
      </c>
      <c r="F11" s="59">
        <f t="shared" si="4"/>
        <v>66</v>
      </c>
      <c r="G11" s="59">
        <f t="shared" si="4"/>
        <v>85</v>
      </c>
      <c r="H11" s="59">
        <f t="shared" si="4"/>
        <v>109</v>
      </c>
      <c r="I11" s="59">
        <f t="shared" si="4"/>
        <v>131</v>
      </c>
      <c r="J11" s="59">
        <f t="shared" si="4"/>
        <v>177</v>
      </c>
      <c r="K11" s="59">
        <f t="shared" si="4"/>
        <v>58</v>
      </c>
      <c r="L11" s="158">
        <f t="shared" si="4"/>
        <v>119</v>
      </c>
      <c r="M11" s="169">
        <f t="shared" si="4"/>
        <v>143</v>
      </c>
    </row>
    <row r="12" spans="1:21" s="8" customFormat="1" ht="11.25" customHeight="1" thickBot="1">
      <c r="A12" s="2" t="s">
        <v>12</v>
      </c>
      <c r="B12" s="60">
        <f>COUNTIFS(Jan!$B:$B,3034,Jan!$F:$F,800)</f>
        <v>89</v>
      </c>
      <c r="C12" s="60">
        <v>128</v>
      </c>
      <c r="D12" s="60">
        <v>138</v>
      </c>
      <c r="E12" s="60">
        <v>130</v>
      </c>
      <c r="F12" s="60">
        <v>146</v>
      </c>
      <c r="G12" s="60">
        <v>132</v>
      </c>
      <c r="H12" s="60">
        <v>148</v>
      </c>
      <c r="I12" s="60">
        <v>150</v>
      </c>
      <c r="J12" s="60">
        <v>155</v>
      </c>
      <c r="K12" s="60">
        <v>175</v>
      </c>
      <c r="L12" s="60">
        <v>145</v>
      </c>
      <c r="M12" s="60">
        <v>164</v>
      </c>
    </row>
    <row r="13" spans="1:21" s="8" customFormat="1" ht="5.0999999999999996" customHeight="1" thickBot="1">
      <c r="A13" s="3"/>
      <c r="B13" s="17"/>
      <c r="C13" s="17"/>
      <c r="D13" s="17"/>
      <c r="E13" s="17"/>
      <c r="F13" s="17"/>
      <c r="G13" s="17"/>
      <c r="H13" s="17"/>
      <c r="I13" s="17"/>
      <c r="J13" s="17"/>
      <c r="K13" s="17"/>
      <c r="L13" s="17"/>
      <c r="M13" s="147"/>
    </row>
    <row r="14" spans="1:21" s="16" customFormat="1" ht="11.25" customHeight="1">
      <c r="A14" s="44" t="s">
        <v>131</v>
      </c>
      <c r="B14" s="120">
        <v>9802</v>
      </c>
      <c r="C14" s="120">
        <v>12304</v>
      </c>
      <c r="D14" s="120">
        <v>12354</v>
      </c>
      <c r="E14" s="120">
        <v>12259</v>
      </c>
      <c r="F14" s="120">
        <v>11990</v>
      </c>
      <c r="G14" s="120">
        <v>12192</v>
      </c>
      <c r="H14" s="119">
        <v>12192</v>
      </c>
      <c r="I14" s="61">
        <v>11669.55</v>
      </c>
      <c r="J14" s="61">
        <v>10904.67</v>
      </c>
      <c r="K14" s="118">
        <v>12427</v>
      </c>
      <c r="L14" s="160">
        <v>10793</v>
      </c>
      <c r="M14" s="173">
        <v>12362</v>
      </c>
      <c r="O14" s="22"/>
      <c r="P14" s="22"/>
      <c r="Q14" s="22"/>
    </row>
    <row r="15" spans="1:21" s="8" customFormat="1" ht="11.25" customHeight="1">
      <c r="A15" s="45" t="s">
        <v>132</v>
      </c>
      <c r="B15" s="62">
        <f>IFERROR((SUMIFS(Jan!$N:$N,Jan!$J:$J,1,Jan!$B:$B,3034)+SUMIFS(Jan!$N:$N,Jan!$D:$D,"&gt;1",Jan!$B:$B,3034))/(COUNTIFS(Jan!$J:$J,1,Jan!$B:$B,3034)+COUNTIFS(Jan!$D:$D,"&gt;1",Jan!$B:$B,3034)),"")</f>
        <v>18.46875</v>
      </c>
      <c r="C15" s="62">
        <v>12.29</v>
      </c>
      <c r="D15" s="62">
        <v>12.9</v>
      </c>
      <c r="E15" s="62">
        <v>11.67</v>
      </c>
      <c r="F15" s="62">
        <v>14.21</v>
      </c>
      <c r="G15" s="62">
        <v>13.42</v>
      </c>
      <c r="H15" s="62">
        <v>11.78</v>
      </c>
      <c r="I15" s="62">
        <v>12.81</v>
      </c>
      <c r="J15" s="62">
        <v>10.87</v>
      </c>
      <c r="K15" s="62">
        <v>15.62</v>
      </c>
      <c r="L15" s="62">
        <v>13.26</v>
      </c>
      <c r="M15" s="62">
        <v>13.38</v>
      </c>
      <c r="N15" s="15"/>
      <c r="O15" s="1"/>
      <c r="P15" s="1"/>
      <c r="Q15" s="1"/>
    </row>
    <row r="16" spans="1:21" s="8" customFormat="1" ht="11.25" customHeight="1">
      <c r="A16" s="45" t="s">
        <v>133</v>
      </c>
      <c r="B16" s="62">
        <f>IFERROR(AVERAGEIFS(Jan!$N:$N,Jan!$F:$F,800,Jan!$B:$B,3034),"")</f>
        <v>18.325842696629213</v>
      </c>
      <c r="C16" s="62">
        <v>18.39</v>
      </c>
      <c r="D16" s="62">
        <v>18.239999999999998</v>
      </c>
      <c r="E16" s="62">
        <v>18.05</v>
      </c>
      <c r="F16" s="62">
        <v>18.23</v>
      </c>
      <c r="G16" s="62">
        <v>18.78</v>
      </c>
      <c r="H16" s="62">
        <v>17.54</v>
      </c>
      <c r="I16" s="62">
        <v>18.39</v>
      </c>
      <c r="J16" s="62">
        <v>19.27</v>
      </c>
      <c r="K16" s="62">
        <v>18.36</v>
      </c>
      <c r="L16" s="62">
        <v>20.91</v>
      </c>
      <c r="M16" s="62">
        <v>19.84</v>
      </c>
      <c r="O16" s="1"/>
      <c r="P16" s="1"/>
      <c r="Q16" s="1"/>
    </row>
    <row r="17" spans="1:17" s="8" customFormat="1" ht="11.25" customHeight="1">
      <c r="A17" s="45" t="s">
        <v>134</v>
      </c>
      <c r="B17" s="63">
        <f>IFERROR((SUMIFS(Jan!$M:$M,Jan!$J:$J,1,Jan!$B:$B,3034)+SUMIFS(Jan!$M:$M,Jan!$D:$D,"&gt;1",Jan!$B:$B,3034))/(COUNTIFS(Jan!$J:$J,1,Jan!$B:$B,3034)+COUNTIFS(Jan!$D:$D,"&gt;1",Jan!$B:$B,3034)),"")</f>
        <v>0.88124999999999976</v>
      </c>
      <c r="C17" s="63">
        <v>1.51</v>
      </c>
      <c r="D17" s="63">
        <v>1.7</v>
      </c>
      <c r="E17" s="63">
        <v>1.94</v>
      </c>
      <c r="F17" s="63">
        <v>2.16</v>
      </c>
      <c r="G17" s="63">
        <v>1.93</v>
      </c>
      <c r="H17" s="63">
        <v>1.63</v>
      </c>
      <c r="I17" s="63">
        <v>1.7</v>
      </c>
      <c r="J17" s="63">
        <v>2.06</v>
      </c>
      <c r="K17" s="63">
        <v>1.1499999999999999</v>
      </c>
      <c r="L17" s="63">
        <v>1.7</v>
      </c>
      <c r="M17" s="63">
        <v>1.72</v>
      </c>
      <c r="O17" s="1"/>
      <c r="P17" s="1"/>
      <c r="Q17" s="1"/>
    </row>
    <row r="18" spans="1:17" s="8" customFormat="1" ht="11.25" customHeight="1" thickBot="1">
      <c r="A18" s="43" t="s">
        <v>135</v>
      </c>
      <c r="B18" s="64">
        <f>IFERROR(AVERAGEIFS(Jan!$M:$M,Jan!$F:$F,800,Jan!$B:$B,3034),"")</f>
        <v>0.88539325842696626</v>
      </c>
      <c r="C18" s="64">
        <v>0.85</v>
      </c>
      <c r="D18" s="64">
        <v>1.0900000000000001</v>
      </c>
      <c r="E18" s="64">
        <v>1.02</v>
      </c>
      <c r="F18" s="64">
        <v>1.47</v>
      </c>
      <c r="G18" s="64">
        <v>0.86</v>
      </c>
      <c r="H18" s="64">
        <v>0.91</v>
      </c>
      <c r="I18" s="64">
        <v>0.84</v>
      </c>
      <c r="J18" s="64">
        <v>1.18</v>
      </c>
      <c r="K18" s="64">
        <v>0.84</v>
      </c>
      <c r="L18" s="64">
        <v>0.85</v>
      </c>
      <c r="M18" s="64">
        <v>0.96</v>
      </c>
    </row>
    <row r="19" spans="1:17" s="8" customFormat="1" ht="5.0999999999999996" customHeight="1" thickBot="1">
      <c r="A19" s="3"/>
      <c r="B19" s="17"/>
      <c r="C19" s="17"/>
      <c r="D19" s="17"/>
      <c r="E19" s="17"/>
      <c r="F19" s="17"/>
      <c r="G19" s="17"/>
      <c r="H19" s="17"/>
      <c r="I19" s="17"/>
      <c r="J19" s="17"/>
      <c r="K19" s="17"/>
      <c r="L19" s="17"/>
      <c r="M19" s="147"/>
    </row>
    <row r="20" spans="1:17" s="8" customFormat="1" ht="11.25" customHeight="1">
      <c r="A20" s="42" t="s">
        <v>52</v>
      </c>
      <c r="B20" s="65">
        <v>31</v>
      </c>
      <c r="C20" s="65">
        <v>28</v>
      </c>
      <c r="D20" s="65">
        <v>31</v>
      </c>
      <c r="E20" s="65">
        <v>30</v>
      </c>
      <c r="F20" s="65">
        <v>31</v>
      </c>
      <c r="G20" s="65">
        <v>30</v>
      </c>
      <c r="H20" s="65">
        <v>31</v>
      </c>
      <c r="I20" s="65">
        <v>31</v>
      </c>
      <c r="J20" s="65">
        <v>30</v>
      </c>
      <c r="K20" s="65">
        <v>31</v>
      </c>
      <c r="L20" s="161">
        <v>30</v>
      </c>
      <c r="M20" s="174">
        <v>31</v>
      </c>
    </row>
    <row r="21" spans="1:17" s="8" customFormat="1" ht="11.25" customHeight="1">
      <c r="A21" s="9" t="s">
        <v>15</v>
      </c>
      <c r="B21" s="66">
        <f>B12/B20</f>
        <v>2.870967741935484</v>
      </c>
      <c r="C21" s="66">
        <f t="shared" ref="C21:M21" si="5">C12/C20</f>
        <v>4.5714285714285712</v>
      </c>
      <c r="D21" s="66">
        <f>D12/D20</f>
        <v>4.4516129032258061</v>
      </c>
      <c r="E21" s="66">
        <f>E12/E20</f>
        <v>4.333333333333333</v>
      </c>
      <c r="F21" s="66">
        <f>F12/F20</f>
        <v>4.709677419354839</v>
      </c>
      <c r="G21" s="66">
        <f>G12/G20</f>
        <v>4.4000000000000004</v>
      </c>
      <c r="H21" s="66">
        <f t="shared" si="5"/>
        <v>4.774193548387097</v>
      </c>
      <c r="I21" s="66">
        <f t="shared" si="5"/>
        <v>4.838709677419355</v>
      </c>
      <c r="J21" s="66">
        <f t="shared" si="5"/>
        <v>5.166666666666667</v>
      </c>
      <c r="K21" s="66">
        <f t="shared" si="5"/>
        <v>5.645161290322581</v>
      </c>
      <c r="L21" s="162">
        <f t="shared" si="5"/>
        <v>4.833333333333333</v>
      </c>
      <c r="M21" s="175">
        <f t="shared" si="5"/>
        <v>5.290322580645161</v>
      </c>
    </row>
    <row r="22" spans="1:17" s="8" customFormat="1" ht="11.25" customHeight="1">
      <c r="A22" s="9" t="s">
        <v>130</v>
      </c>
      <c r="B22" s="67">
        <f t="shared" ref="B22:G22" si="6">IFERROR(B12/B7,0)</f>
        <v>0.388646288209607</v>
      </c>
      <c r="C22" s="67">
        <f t="shared" si="6"/>
        <v>0.46209386281588449</v>
      </c>
      <c r="D22" s="67">
        <f t="shared" si="6"/>
        <v>0.4825174825174825</v>
      </c>
      <c r="E22" s="67">
        <f t="shared" si="6"/>
        <v>0.4642857142857143</v>
      </c>
      <c r="F22" s="67">
        <f t="shared" si="6"/>
        <v>0.54074074074074074</v>
      </c>
      <c r="G22" s="67">
        <f t="shared" si="6"/>
        <v>0.49070631970260226</v>
      </c>
      <c r="H22" s="67">
        <f t="shared" ref="H22:M22" si="7">IFERROR(H12/H7,0)</f>
        <v>0.45259938837920488</v>
      </c>
      <c r="I22" s="67">
        <f t="shared" si="7"/>
        <v>0.4178272980501393</v>
      </c>
      <c r="J22" s="67">
        <f t="shared" si="7"/>
        <v>0.38271604938271603</v>
      </c>
      <c r="K22" s="116">
        <f t="shared" si="7"/>
        <v>0.56634304207119746</v>
      </c>
      <c r="L22" s="67">
        <f t="shared" si="7"/>
        <v>0.41428571428571431</v>
      </c>
      <c r="M22" s="176">
        <f t="shared" si="7"/>
        <v>0.4</v>
      </c>
      <c r="N22" s="1"/>
    </row>
    <row r="23" spans="1:17" s="8" customFormat="1" ht="11.25" customHeight="1" thickBot="1">
      <c r="A23" s="9" t="s">
        <v>53</v>
      </c>
      <c r="B23" s="67">
        <f t="shared" ref="B23:G23" si="8">IFERROR(B12/(B11+B12),0)</f>
        <v>0.51744186046511631</v>
      </c>
      <c r="C23" s="67">
        <f t="shared" si="8"/>
        <v>0.56888888888888889</v>
      </c>
      <c r="D23" s="67">
        <f t="shared" si="8"/>
        <v>0.61061946902654862</v>
      </c>
      <c r="E23" s="67">
        <f t="shared" si="8"/>
        <v>0.59090909090909094</v>
      </c>
      <c r="F23" s="67">
        <f t="shared" si="8"/>
        <v>0.68867924528301883</v>
      </c>
      <c r="G23" s="67">
        <f t="shared" si="8"/>
        <v>0.60829493087557607</v>
      </c>
      <c r="H23" s="67">
        <f t="shared" ref="H23:M23" si="9">IFERROR(H12/(H11+H12),0)</f>
        <v>0.57587548638132291</v>
      </c>
      <c r="I23" s="67">
        <f t="shared" si="9"/>
        <v>0.53380782918149461</v>
      </c>
      <c r="J23" s="67">
        <f t="shared" si="9"/>
        <v>0.46686746987951805</v>
      </c>
      <c r="K23" s="117">
        <f t="shared" si="9"/>
        <v>0.75107296137339052</v>
      </c>
      <c r="L23" s="163">
        <f t="shared" si="9"/>
        <v>0.5492424242424242</v>
      </c>
      <c r="M23" s="177">
        <f t="shared" si="9"/>
        <v>0.53420195439739415</v>
      </c>
      <c r="N23" s="4"/>
    </row>
    <row r="24" spans="1:17" s="8" customFormat="1" ht="11.25" customHeight="1" thickBot="1">
      <c r="A24" s="56" t="s">
        <v>21</v>
      </c>
      <c r="B24" s="50">
        <v>41275</v>
      </c>
      <c r="C24" s="47">
        <v>41306</v>
      </c>
      <c r="D24" s="47">
        <v>41334</v>
      </c>
      <c r="E24" s="47">
        <v>41365</v>
      </c>
      <c r="F24" s="47">
        <v>41395</v>
      </c>
      <c r="G24" s="47">
        <v>41426</v>
      </c>
      <c r="H24" s="47">
        <v>41456</v>
      </c>
      <c r="I24" s="47">
        <v>41487</v>
      </c>
      <c r="J24" s="47">
        <v>41518</v>
      </c>
      <c r="K24" s="47">
        <v>41548</v>
      </c>
      <c r="L24" s="47">
        <v>41579</v>
      </c>
      <c r="M24" s="51">
        <v>41609</v>
      </c>
    </row>
    <row r="25" spans="1:17" s="8" customFormat="1" ht="11.25" customHeight="1">
      <c r="A25" s="18" t="s">
        <v>5</v>
      </c>
      <c r="B25" s="68">
        <f>COUNTIFS(Jan!$B:$B,3034,Jan!$J:$J,18)</f>
        <v>4</v>
      </c>
      <c r="C25" s="68">
        <v>8</v>
      </c>
      <c r="D25" s="68">
        <v>4</v>
      </c>
      <c r="E25" s="68">
        <v>4</v>
      </c>
      <c r="F25" s="68">
        <v>5</v>
      </c>
      <c r="G25" s="68">
        <v>4</v>
      </c>
      <c r="H25" s="68">
        <v>5</v>
      </c>
      <c r="I25" s="68">
        <v>8</v>
      </c>
      <c r="J25" s="68">
        <v>13</v>
      </c>
      <c r="K25" s="68">
        <f>COUNTIFS(Oct!$B:$B,3034,Oct!$J:$J,18)</f>
        <v>0</v>
      </c>
      <c r="L25" s="68">
        <v>13</v>
      </c>
      <c r="M25" s="68">
        <v>7</v>
      </c>
    </row>
    <row r="26" spans="1:17" s="8" customFormat="1" ht="11.25" customHeight="1">
      <c r="A26" s="46" t="s">
        <v>40</v>
      </c>
      <c r="B26" s="57">
        <f>COUNTIFS(Jan!$B:$B,3034,Jan!$J:$J,41)</f>
        <v>0</v>
      </c>
      <c r="C26" s="57">
        <f>COUNTIFS(Feb!$B:$B,3034,Feb!$J:$J,41)</f>
        <v>0</v>
      </c>
      <c r="D26" s="57">
        <f>COUNTIFS(Mar!$B:$B,3034,Mar!$J:$J,41)</f>
        <v>0</v>
      </c>
      <c r="E26" s="57">
        <v>2</v>
      </c>
      <c r="F26" s="57">
        <f>COUNTIFS(May!$B:$B,3034,May!$J:$J,41)</f>
        <v>0</v>
      </c>
      <c r="G26" s="57">
        <f>COUNTIFS(Jun!$B:$B,3034,Jun!$J:$J,41)</f>
        <v>0</v>
      </c>
      <c r="H26" s="57">
        <f>COUNTIFS(Jul!$B:$B,3034,Jul!$J:$J,41)</f>
        <v>0</v>
      </c>
      <c r="I26" s="57">
        <f>COUNTIFS(Aug!$B:$B,3034,Aug!$J:$J,41)</f>
        <v>0</v>
      </c>
      <c r="J26" s="57">
        <f>COUNTIFS(Sep!$B:$B,3034,Sep!$J:$J,41)</f>
        <v>0</v>
      </c>
      <c r="K26" s="57">
        <f>COUNTIFS(Oct!$B:$B,3034,Oct!$J:$J,41)</f>
        <v>0</v>
      </c>
      <c r="L26" s="57">
        <f>COUNTIFS(Nov!$B:$B,3034,Nov!$J:$J,41)</f>
        <v>0</v>
      </c>
      <c r="M26" s="57">
        <v>0</v>
      </c>
    </row>
    <row r="27" spans="1:17" s="8" customFormat="1" ht="11.25" customHeight="1">
      <c r="A27" s="9" t="s">
        <v>11</v>
      </c>
      <c r="B27" s="179">
        <f>COUNTIFS(Jan!$B:$B,3034,Jan!$J:$J,17)</f>
        <v>63</v>
      </c>
      <c r="C27" s="206">
        <v>90</v>
      </c>
      <c r="D27" s="206">
        <v>73</v>
      </c>
      <c r="E27" s="206">
        <v>57</v>
      </c>
      <c r="F27" s="206">
        <v>57</v>
      </c>
      <c r="G27" s="206">
        <v>72</v>
      </c>
      <c r="H27" s="206">
        <v>75</v>
      </c>
      <c r="I27" s="206">
        <v>94</v>
      </c>
      <c r="J27" s="206">
        <v>96</v>
      </c>
      <c r="K27" s="206">
        <v>45</v>
      </c>
      <c r="L27" s="206">
        <v>83</v>
      </c>
      <c r="M27" s="206">
        <v>101</v>
      </c>
    </row>
    <row r="28" spans="1:17" s="8" customFormat="1" ht="11.25" customHeight="1">
      <c r="A28" s="9" t="s">
        <v>143</v>
      </c>
      <c r="B28" s="59">
        <f>COUNTIFS(Jan!$B:$B,3034,Jan!$F:$F,455)</f>
        <v>0</v>
      </c>
      <c r="C28" s="59">
        <f>COUNTIFS(Feb!$B:$B,3034,Feb!$F:$F,455)</f>
        <v>0</v>
      </c>
      <c r="D28" s="59">
        <f>COUNTIFS(Mar!$B:$B,3034,Mar!$F:$F,455)</f>
        <v>0</v>
      </c>
      <c r="E28" s="59">
        <f>COUNTIFS(Apr!$B:$B,3034,Apr!$F:$F,455)</f>
        <v>0</v>
      </c>
      <c r="F28" s="59">
        <f>COUNTIFS(May!$B:$B,3034,May!$F:$F,455)</f>
        <v>0</v>
      </c>
      <c r="G28" s="59">
        <f>COUNTIFS(Jun!$B:$B,3034,Jun!$F:$F,455)</f>
        <v>0</v>
      </c>
      <c r="H28" s="59">
        <f>COUNTIFS(Jul!$B:$B,3034,Jul!$F:$F,455)</f>
        <v>0</v>
      </c>
      <c r="I28" s="59">
        <f>COUNTIFS(Aug!$B:$B,3034,Aug!$F:$F,455)</f>
        <v>0</v>
      </c>
      <c r="J28" s="59">
        <f>COUNTIFS(Sep!$B:$B,3034,Sep!$F:$F,455)</f>
        <v>0</v>
      </c>
      <c r="K28" s="59">
        <f>COUNTIFS(Oct!$B:$B,3034,Oct!$F:$F,455)</f>
        <v>0</v>
      </c>
      <c r="L28" s="59">
        <f>COUNTIFS(Nov!$B:$B,3034,Nov!$F:$F,455)</f>
        <v>0</v>
      </c>
      <c r="M28" s="59">
        <v>0</v>
      </c>
    </row>
    <row r="29" spans="1:17" s="8" customFormat="1" ht="11.25" customHeight="1">
      <c r="A29" s="9" t="s">
        <v>23</v>
      </c>
      <c r="B29" s="59">
        <f>COUNTIFS(Jan!$B:$B,3034,Jan!$J:$J,31)</f>
        <v>0</v>
      </c>
      <c r="C29" s="59">
        <f>COUNTIFS(Feb!$B:$B,3034,Feb!$J:$J,31)</f>
        <v>0</v>
      </c>
      <c r="D29" s="59">
        <f>COUNTIFS(Mar!$B:$B,3034,Mar!$J:$J,31)</f>
        <v>0</v>
      </c>
      <c r="E29" s="59">
        <f>COUNTIFS(Apr!$B:$B,3034,Apr!$J:$J,31)</f>
        <v>0</v>
      </c>
      <c r="F29" s="59">
        <f>COUNTIFS(May!$B:$B,3034,May!$J:$J,31)</f>
        <v>0</v>
      </c>
      <c r="G29" s="59">
        <f>COUNTIFS(Jun!$B:$B,3034,Jun!$J:$J,31)</f>
        <v>0</v>
      </c>
      <c r="H29" s="59">
        <f>COUNTIFS(Jul!$B:$B,3034,Jul!$J:$J,31)</f>
        <v>0</v>
      </c>
      <c r="I29" s="59">
        <v>30</v>
      </c>
      <c r="J29" s="59">
        <v>25</v>
      </c>
      <c r="K29" s="59">
        <v>27</v>
      </c>
      <c r="L29" s="59">
        <v>28</v>
      </c>
      <c r="M29" s="59">
        <v>26</v>
      </c>
    </row>
    <row r="30" spans="1:17" s="8" customFormat="1" ht="11.25" customHeight="1">
      <c r="A30" s="9" t="s">
        <v>37</v>
      </c>
      <c r="B30" s="59">
        <f>COUNTIFS(Jan!$B:$B,3034,Jan!$J:$J,4400)</f>
        <v>0</v>
      </c>
      <c r="C30" s="59">
        <f>COUNTIFS(Feb!$B:$B,3034,Feb!$J:$J,4400)</f>
        <v>0</v>
      </c>
      <c r="D30" s="59">
        <f>COUNTIFS(Mar!$B:$B,3034,Mar!$J:$J,4400)</f>
        <v>0</v>
      </c>
      <c r="E30" s="59">
        <f>COUNTIFS(Apr!$B:$B,3034,Apr!$J:$J,4400)</f>
        <v>0</v>
      </c>
      <c r="F30" s="59">
        <f>COUNTIFS(May!$B:$B,3034,May!$J:$J,4400)</f>
        <v>0</v>
      </c>
      <c r="G30" s="59">
        <f>COUNTIFS(Jun!$B:$B,3034,Jun!$J:$J,4400)</f>
        <v>0</v>
      </c>
      <c r="H30" s="59">
        <f>COUNTIFS(Jul!$B:$B,3034,Jul!$J:$J,4400)</f>
        <v>0</v>
      </c>
      <c r="I30" s="59">
        <f>COUNTIFS(Aug!$B:$B,3034,Aug!$J:$J,4400)</f>
        <v>0</v>
      </c>
      <c r="J30" s="59">
        <f>COUNTIFS(Sep!$B:$B,3034,Sep!$J:$J,4400)</f>
        <v>0</v>
      </c>
      <c r="K30" s="59">
        <f>COUNTIFS(Oct!$B:$B,3034,Oct!$J:$J,4400)</f>
        <v>0</v>
      </c>
      <c r="L30" s="59">
        <f>COUNTIFS(Nov!$B:$B,3034,Nov!$J:$J,4400)</f>
        <v>0</v>
      </c>
      <c r="M30" s="59">
        <v>0</v>
      </c>
    </row>
    <row r="31" spans="1:17" s="8" customFormat="1" ht="11.25" customHeight="1">
      <c r="A31" s="10" t="s">
        <v>24</v>
      </c>
      <c r="B31" s="59">
        <f>COUNTIFS(Jan!$B:$B,3034,Jan!$J:$J,30)</f>
        <v>0</v>
      </c>
      <c r="C31" s="59">
        <f>COUNTIFS(Feb!$B:$B,3034,Feb!$J:$J,30)</f>
        <v>0</v>
      </c>
      <c r="D31" s="59">
        <f>COUNTIFS(Mar!$B:$B,3034,Mar!$J:$J,30)</f>
        <v>0</v>
      </c>
      <c r="E31" s="59">
        <f>COUNTIFS(Apr!$B:$B,3034,Apr!$J:$J,30)</f>
        <v>0</v>
      </c>
      <c r="F31" s="59">
        <f>COUNTIFS(May!$B:$B,3034,May!$J:$J,30)</f>
        <v>0</v>
      </c>
      <c r="G31" s="59">
        <f>COUNTIFS(Jun!$B:$B,3034,Jun!$J:$J,30)</f>
        <v>0</v>
      </c>
      <c r="H31" s="59">
        <f>COUNTIFS(Jul!$B:$B,3034,Jul!$J:$J,30)</f>
        <v>0</v>
      </c>
      <c r="I31" s="59">
        <f>COUNTIFS(Aug!$B:$B,3034,Aug!$J:$J,30)</f>
        <v>0</v>
      </c>
      <c r="J31" s="59">
        <f>COUNTIFS(Sep!$B:$B,3034,Sep!$J:$J,30)</f>
        <v>0</v>
      </c>
      <c r="K31" s="59">
        <f>COUNTIFS(Oct!$B:$B,3034,Oct!$J:$J,30)</f>
        <v>0</v>
      </c>
      <c r="L31" s="59">
        <f>COUNTIFS(Nov!$B:$B,3034,Nov!$J:$J,30)</f>
        <v>0</v>
      </c>
      <c r="M31" s="59">
        <v>0</v>
      </c>
    </row>
    <row r="32" spans="1:17" s="14" customFormat="1" ht="11.25" customHeight="1" thickBot="1">
      <c r="A32" s="2" t="s">
        <v>140</v>
      </c>
      <c r="B32" s="60">
        <f>SUM(B25:B31)</f>
        <v>67</v>
      </c>
      <c r="C32" s="60">
        <f t="shared" ref="C32:M32" si="10">SUM(C25:C31)</f>
        <v>98</v>
      </c>
      <c r="D32" s="60">
        <f>SUM(D25:D31)</f>
        <v>77</v>
      </c>
      <c r="E32" s="60">
        <f>SUM(E25:E31)</f>
        <v>63</v>
      </c>
      <c r="F32" s="60">
        <f>SUM(F25:F31)</f>
        <v>62</v>
      </c>
      <c r="G32" s="60">
        <f>SUM(G25:G31)</f>
        <v>76</v>
      </c>
      <c r="H32" s="60">
        <f t="shared" si="10"/>
        <v>80</v>
      </c>
      <c r="I32" s="60">
        <f t="shared" si="10"/>
        <v>132</v>
      </c>
      <c r="J32" s="60">
        <f t="shared" si="10"/>
        <v>134</v>
      </c>
      <c r="K32" s="60">
        <f t="shared" si="10"/>
        <v>72</v>
      </c>
      <c r="L32" s="159">
        <f t="shared" si="10"/>
        <v>124</v>
      </c>
      <c r="M32" s="170">
        <f t="shared" si="10"/>
        <v>134</v>
      </c>
    </row>
    <row r="33" spans="1:13" ht="12" customHeight="1" thickBot="1">
      <c r="A33" s="55" t="s">
        <v>136</v>
      </c>
      <c r="B33" s="50">
        <v>41275</v>
      </c>
      <c r="C33" s="47">
        <v>41306</v>
      </c>
      <c r="D33" s="47">
        <v>41334</v>
      </c>
      <c r="E33" s="47">
        <v>41365</v>
      </c>
      <c r="F33" s="47">
        <v>41395</v>
      </c>
      <c r="G33" s="47">
        <v>41426</v>
      </c>
      <c r="H33" s="47">
        <v>41456</v>
      </c>
      <c r="I33" s="47">
        <v>41487</v>
      </c>
      <c r="J33" s="47">
        <v>41518</v>
      </c>
      <c r="K33" s="47">
        <v>41548</v>
      </c>
      <c r="L33" s="47">
        <v>41579</v>
      </c>
      <c r="M33" s="51">
        <v>41609</v>
      </c>
    </row>
    <row r="34" spans="1:13" s="8" customFormat="1" ht="11.25" customHeight="1">
      <c r="A34" s="46" t="s">
        <v>33</v>
      </c>
      <c r="B34" s="57">
        <f>COUNTIFS(Jan!$B:$B,3034,Jan!$J:$J,40)</f>
        <v>0</v>
      </c>
      <c r="C34" s="57">
        <f>COUNTIFS(Feb!$B:$B,3034,Feb!$J:$J,40)</f>
        <v>0</v>
      </c>
      <c r="D34" s="57">
        <f>COUNTIFS(Mar!$B:$B,3034,Mar!$J:$J,40)</f>
        <v>0</v>
      </c>
      <c r="E34" s="57">
        <f>COUNTIFS(Apr!$B:$B,3034,Apr!$J:$J,40)</f>
        <v>0</v>
      </c>
      <c r="F34" s="57">
        <f>COUNTIFS(May!$B:$B,3034,May!$J:$J,40)</f>
        <v>0</v>
      </c>
      <c r="G34" s="57">
        <f>COUNTIFS(Jun!$B:$B,3034,Jun!$J:$J,40)</f>
        <v>0</v>
      </c>
      <c r="H34" s="57">
        <f>COUNTIFS(Jul!$B:$B,3034,Jul!$J:$J,40)</f>
        <v>0</v>
      </c>
      <c r="I34" s="57">
        <f>COUNTIFS(Aug!$B:$B,3034,Aug!$J:$J,40)</f>
        <v>0</v>
      </c>
      <c r="J34" s="57">
        <f>COUNTIFS(Sep!$B:$B,3034,Sep!$J:$J,40)</f>
        <v>0</v>
      </c>
      <c r="K34" s="57">
        <v>2</v>
      </c>
      <c r="L34" s="57">
        <v>2</v>
      </c>
      <c r="M34" s="57">
        <v>0</v>
      </c>
    </row>
    <row r="35" spans="1:13" s="8" customFormat="1" ht="11.25" customHeight="1">
      <c r="A35" s="10" t="s">
        <v>4</v>
      </c>
      <c r="B35" s="59">
        <f>COUNTIFS(Jan!$B:$B,3034,Jan!$J:$J,15)</f>
        <v>0</v>
      </c>
      <c r="C35" s="59">
        <f>COUNTIFS(Feb!$B:$B,3034,Feb!$J:$J,15)</f>
        <v>0</v>
      </c>
      <c r="D35" s="59">
        <f>COUNTIFS(Mar!$B:$B,3034,Mar!$J:$J,15)</f>
        <v>0</v>
      </c>
      <c r="E35" s="59">
        <v>1</v>
      </c>
      <c r="F35" s="59">
        <v>2</v>
      </c>
      <c r="G35" s="59">
        <f>COUNTIFS(Jun!$B:$B,3034,Jun!$J:$J,15)</f>
        <v>0</v>
      </c>
      <c r="H35" s="59">
        <f>COUNTIFS(Jul!$B:$B,3034,Jul!$J:$J,15)</f>
        <v>0</v>
      </c>
      <c r="I35" s="59">
        <v>5</v>
      </c>
      <c r="J35" s="59">
        <v>1</v>
      </c>
      <c r="K35" s="59">
        <f>COUNTIFS(Oct!$B:$B,3034,Oct!$J:$J,15)</f>
        <v>0</v>
      </c>
      <c r="L35" s="59">
        <v>2</v>
      </c>
      <c r="M35" s="59">
        <v>2</v>
      </c>
    </row>
    <row r="36" spans="1:13" s="8" customFormat="1" ht="11.25" customHeight="1">
      <c r="A36" s="10" t="s">
        <v>39</v>
      </c>
      <c r="B36" s="59">
        <f>COUNTIFS(Jan!$B:$B,3034,Jan!$J:$J,29)</f>
        <v>10</v>
      </c>
      <c r="C36" s="59">
        <v>14</v>
      </c>
      <c r="D36" s="59">
        <v>10</v>
      </c>
      <c r="E36" s="59">
        <v>10</v>
      </c>
      <c r="F36" s="59">
        <v>13</v>
      </c>
      <c r="G36" s="59">
        <v>16</v>
      </c>
      <c r="H36" s="59">
        <v>21</v>
      </c>
      <c r="I36" s="59">
        <v>13</v>
      </c>
      <c r="J36" s="59">
        <v>17</v>
      </c>
      <c r="K36" s="59">
        <v>24</v>
      </c>
      <c r="L36" s="59">
        <v>13</v>
      </c>
      <c r="M36" s="59">
        <v>18</v>
      </c>
    </row>
    <row r="37" spans="1:13" s="8" customFormat="1" ht="11.25" customHeight="1">
      <c r="A37" s="10" t="s">
        <v>3</v>
      </c>
      <c r="B37" s="59">
        <f>COUNTIFS(Jan!$B:$B,3034,Jan!$J:$J,13)</f>
        <v>0</v>
      </c>
      <c r="C37" s="59">
        <f>COUNTIFS(Feb!$B:$B,3034,Feb!$J:$J,13)</f>
        <v>0</v>
      </c>
      <c r="D37" s="59">
        <f>COUNTIFS(Mar!$B:$B,3034,Mar!$J:$J,13)</f>
        <v>0</v>
      </c>
      <c r="E37" s="59">
        <f>COUNTIFS(Apr!$B:$B,3034,Apr!$J:$J,13)</f>
        <v>0</v>
      </c>
      <c r="F37" s="59">
        <f>COUNTIFS(May!$B:$B,3034,May!$J:$J,13)</f>
        <v>0</v>
      </c>
      <c r="G37" s="59">
        <f>COUNTIFS(Jun!$B:$B,3034,Jun!$J:$J,13)</f>
        <v>0</v>
      </c>
      <c r="H37" s="59">
        <f>COUNTIFS(Jul!$B:$B,3034,Jul!$J:$J,13)</f>
        <v>0</v>
      </c>
      <c r="I37" s="59">
        <f>COUNTIFS(Aug!$B:$B,3034,Aug!$J:$J,13)</f>
        <v>0</v>
      </c>
      <c r="J37" s="59">
        <f>COUNTIFS(Sep!$B:$B,3034,Sep!$J:$J,13)</f>
        <v>0</v>
      </c>
      <c r="K37" s="59">
        <f>COUNTIFS(Oct!$B:$B,3034,Oct!$J:$J,13)</f>
        <v>0</v>
      </c>
      <c r="L37" s="59">
        <v>1</v>
      </c>
      <c r="M37" s="59">
        <v>2</v>
      </c>
    </row>
    <row r="38" spans="1:13" s="8" customFormat="1" ht="11.25" customHeight="1">
      <c r="A38" s="9" t="s">
        <v>218</v>
      </c>
      <c r="B38" s="59">
        <f>COUNTIFS(Jan!$B:$B,3034,Jan!$J:$J,43)</f>
        <v>0</v>
      </c>
      <c r="C38" s="59">
        <f>COUNTIFS(Feb!$B:$B,3034,Feb!$J:$J,43)</f>
        <v>0</v>
      </c>
      <c r="D38" s="59">
        <f>COUNTIFS(Mar!$B:$B,3034,Mar!$J:$J,43)</f>
        <v>0</v>
      </c>
      <c r="E38" s="59">
        <f>COUNTIFS(Apr!$B:$B,3034,Apr!$J:$J,43)</f>
        <v>0</v>
      </c>
      <c r="F38" s="59">
        <v>1</v>
      </c>
      <c r="G38" s="59">
        <f>COUNTIFS(Jun!$B:$B,3034,Jun!$J:$J,43)</f>
        <v>0</v>
      </c>
      <c r="H38" s="59">
        <f>COUNTIFS(Jul!$B:$B,3034,Jul!$J:$J,43)</f>
        <v>0</v>
      </c>
      <c r="I38" s="59">
        <v>1</v>
      </c>
      <c r="J38" s="59">
        <f>COUNTIFS(Sep!$B:$B,3034,Sep!$J:$J,43)</f>
        <v>0</v>
      </c>
      <c r="K38" s="59">
        <f>COUNTIFS(Oct!$B:$B,3034,Oct!$J:$J,43)</f>
        <v>0</v>
      </c>
      <c r="L38" s="59">
        <f>COUNTIFS(Nov!$B:$B,3034,Nov!$J:$J,43)</f>
        <v>0</v>
      </c>
      <c r="M38" s="59">
        <v>1</v>
      </c>
    </row>
    <row r="39" spans="1:13" s="8" customFormat="1" ht="11.25" customHeight="1">
      <c r="A39" s="10" t="s">
        <v>25</v>
      </c>
      <c r="B39" s="59">
        <f>COUNTIFS(Jan!$B:$B,3034,Jan!$J:$J,24)</f>
        <v>27</v>
      </c>
      <c r="C39" s="59">
        <v>16</v>
      </c>
      <c r="D39" s="59">
        <v>28</v>
      </c>
      <c r="E39" s="59">
        <v>28</v>
      </c>
      <c r="F39" s="59">
        <v>21</v>
      </c>
      <c r="G39" s="59">
        <v>18</v>
      </c>
      <c r="H39" s="59">
        <v>26</v>
      </c>
      <c r="I39" s="59">
        <v>34</v>
      </c>
      <c r="J39" s="59">
        <v>24</v>
      </c>
      <c r="K39" s="59">
        <v>34</v>
      </c>
      <c r="L39" s="59">
        <v>36</v>
      </c>
      <c r="M39" s="59">
        <v>27</v>
      </c>
    </row>
    <row r="40" spans="1:13" s="8" customFormat="1" ht="11.25" customHeight="1">
      <c r="A40" s="10" t="s">
        <v>34</v>
      </c>
      <c r="B40" s="59">
        <f>COUNTIFS(Jan!$B:$B,3034,Jan!$J:$J,9)</f>
        <v>0</v>
      </c>
      <c r="C40" s="59">
        <v>1</v>
      </c>
      <c r="D40" s="59">
        <f>COUNTIFS(Mar!$B:$B,3034,Mar!$J:$J,9)</f>
        <v>0</v>
      </c>
      <c r="E40" s="59">
        <f>COUNTIFS(Apr!$B:$B,3034,Apr!$J:$J,9)</f>
        <v>0</v>
      </c>
      <c r="F40" s="59">
        <f>COUNTIFS(May!$B:$B,3034,May!$J:$J,9)</f>
        <v>0</v>
      </c>
      <c r="G40" s="59">
        <f>COUNTIFS(Jun!$B:$B,3034,Jun!$J:$J,9)</f>
        <v>0</v>
      </c>
      <c r="H40" s="59">
        <f>COUNTIFS(Jul!$B:$B,3034,Jul!$J:$J,9)</f>
        <v>0</v>
      </c>
      <c r="I40" s="59">
        <v>1</v>
      </c>
      <c r="J40" s="59">
        <f>COUNTIFS(Sep!$B:$B,3034,Sep!$J:$J,9)</f>
        <v>0</v>
      </c>
      <c r="K40" s="59">
        <f>COUNTIFS(Oct!$B:$B,3034,Oct!$J:$J,9)</f>
        <v>0</v>
      </c>
      <c r="L40" s="59">
        <f>COUNTIFS(Nov!$B:$B,3034,Nov!$J:$J,9)</f>
        <v>0</v>
      </c>
      <c r="M40" s="59">
        <v>0</v>
      </c>
    </row>
    <row r="41" spans="1:13" s="8" customFormat="1" ht="11.25" customHeight="1">
      <c r="A41" s="10" t="s">
        <v>31</v>
      </c>
      <c r="B41" s="59">
        <f>COUNTIFS(Jan!$B:$B,3034,Jan!$J:$J,10)</f>
        <v>0</v>
      </c>
      <c r="C41" s="59">
        <f>COUNTIFS(Feb!$B:$B,3034,Feb!$J:$J,10)</f>
        <v>0</v>
      </c>
      <c r="D41" s="59">
        <f>COUNTIFS(Mar!$B:$B,3034,Mar!$J:$J,10)</f>
        <v>0</v>
      </c>
      <c r="E41" s="59">
        <f>COUNTIFS(Apr!$B:$B,3034,Apr!$J:$J,10)</f>
        <v>0</v>
      </c>
      <c r="F41" s="59">
        <v>2</v>
      </c>
      <c r="G41" s="59">
        <v>1</v>
      </c>
      <c r="H41" s="59">
        <f>COUNTIFS(Jul!$B:$B,3034,Jul!$J:$J,10)</f>
        <v>0</v>
      </c>
      <c r="I41" s="59">
        <v>1</v>
      </c>
      <c r="J41" s="59">
        <f>COUNTIFS(Sep!$B:$B,3034,Sep!$J:$J,10)</f>
        <v>0</v>
      </c>
      <c r="K41" s="59">
        <f>COUNTIFS(Oct!$B:$B,3034,Oct!$J:$J,10)</f>
        <v>0</v>
      </c>
      <c r="L41" s="59">
        <f>COUNTIFS(Nov!$B:$B,3034,Nov!$J:$J,10)</f>
        <v>0</v>
      </c>
      <c r="M41" s="59">
        <v>0</v>
      </c>
    </row>
    <row r="42" spans="1:13" s="8" customFormat="1" ht="11.25" customHeight="1">
      <c r="A42" s="10" t="s">
        <v>144</v>
      </c>
      <c r="B42" s="59">
        <f>COUNTIFS(Jan!$B:$B,3034,Jan!$F:$F,462)</f>
        <v>0</v>
      </c>
      <c r="C42" s="59">
        <f>COUNTIFS(Feb!$B:$B,3034,Feb!$F:$F,462)</f>
        <v>0</v>
      </c>
      <c r="D42" s="59">
        <v>1</v>
      </c>
      <c r="E42" s="59">
        <f>COUNTIFS(Apr!$B:$B,3034,Apr!$F:$F,462)</f>
        <v>0</v>
      </c>
      <c r="F42" s="59">
        <f>COUNTIFS(May!$B:$B,3034,May!$F:$F,462)</f>
        <v>0</v>
      </c>
      <c r="G42" s="59">
        <f>COUNTIFS(Jun!$B:$B,3034,Jun!$F:$F,462)</f>
        <v>0</v>
      </c>
      <c r="H42" s="59">
        <f>COUNTIFS(Jul!$B:$B,3034,Jul!$F:$F,462)</f>
        <v>0</v>
      </c>
      <c r="I42" s="59">
        <f>COUNTIFS(Aug!$B:$B,3034,Aug!$F:$F,462)</f>
        <v>0</v>
      </c>
      <c r="J42" s="59">
        <f>COUNTIFS(Sep!$B:$B,3034,Sep!$F:$F,462)</f>
        <v>0</v>
      </c>
      <c r="K42" s="59">
        <f>COUNTIFS(Oct!$B:$B,3034,Oct!$F:$F,462)</f>
        <v>0</v>
      </c>
      <c r="L42" s="59">
        <f>COUNTIFS(Nov!$B:$B,3034,Nov!$F:$F,462)</f>
        <v>0</v>
      </c>
      <c r="M42" s="59">
        <v>0</v>
      </c>
    </row>
    <row r="43" spans="1:13" s="8" customFormat="1" ht="11.25" customHeight="1">
      <c r="A43" s="10" t="s">
        <v>1</v>
      </c>
      <c r="B43" s="59">
        <f>COUNTIFS(Jan!$B:$B,3034,Jan!$J:$J,11)</f>
        <v>0</v>
      </c>
      <c r="C43" s="59">
        <v>1</v>
      </c>
      <c r="D43" s="59">
        <v>1</v>
      </c>
      <c r="E43" s="59">
        <f>COUNTIFS(Apr!$B:$B,3034,Apr!$J:$J,11)</f>
        <v>0</v>
      </c>
      <c r="F43" s="59">
        <f>COUNTIFS(May!$B:$B,3034,May!$J:$J,11)</f>
        <v>0</v>
      </c>
      <c r="G43" s="59">
        <f>COUNTIFS(Jun!$B:$B,3034,Jun!$J:$J,11)</f>
        <v>0</v>
      </c>
      <c r="H43" s="59">
        <v>1</v>
      </c>
      <c r="I43" s="59">
        <v>1</v>
      </c>
      <c r="J43" s="59">
        <v>2</v>
      </c>
      <c r="K43" s="59">
        <v>3</v>
      </c>
      <c r="L43" s="59">
        <v>4</v>
      </c>
      <c r="M43" s="59">
        <v>3</v>
      </c>
    </row>
    <row r="44" spans="1:13" s="8" customFormat="1" ht="11.25" customHeight="1">
      <c r="A44" s="10" t="s">
        <v>26</v>
      </c>
      <c r="B44" s="59">
        <f>COUNTIFS(Jan!$B:$B,3034,Jan!$J:$J,20)</f>
        <v>0</v>
      </c>
      <c r="C44" s="59">
        <f>COUNTIFS(Feb!$B:$B,3034,Feb!$J:$J,20)</f>
        <v>0</v>
      </c>
      <c r="D44" s="59">
        <v>1</v>
      </c>
      <c r="E44" s="59">
        <f>COUNTIFS(Apr!$B:$B,3034,Apr!$J:$J,20)</f>
        <v>0</v>
      </c>
      <c r="F44" s="59">
        <v>1</v>
      </c>
      <c r="G44" s="59">
        <f>COUNTIFS(Jun!$B:$B,3034,Jun!$J:$J,20)</f>
        <v>0</v>
      </c>
      <c r="H44" s="59">
        <f>COUNTIFS(Jul!$B:$B,3034,Jul!$J:$J,20)</f>
        <v>0</v>
      </c>
      <c r="I44" s="59">
        <f>COUNTIFS(Aug!$B:$B,3034,Aug!$J:$J,20)</f>
        <v>0</v>
      </c>
      <c r="J44" s="59">
        <f>COUNTIFS(Sep!$B:$B,3034,Sep!$J:$J,20)</f>
        <v>0</v>
      </c>
      <c r="K44" s="59">
        <v>1</v>
      </c>
      <c r="L44" s="59">
        <f>COUNTIFS(Nov!$B:$B,3034,Nov!$J:$J,20)</f>
        <v>0</v>
      </c>
      <c r="M44" s="59">
        <v>1</v>
      </c>
    </row>
    <row r="45" spans="1:13" s="8" customFormat="1" ht="11.25" customHeight="1">
      <c r="A45" s="10" t="s">
        <v>32</v>
      </c>
      <c r="B45" s="59">
        <f>COUNTIFS(Jan!$B:$B,3034,Jan!$J:$J,2)</f>
        <v>4</v>
      </c>
      <c r="C45" s="59">
        <v>12</v>
      </c>
      <c r="D45" s="59">
        <v>11</v>
      </c>
      <c r="E45" s="59">
        <v>13</v>
      </c>
      <c r="F45" s="59">
        <v>8</v>
      </c>
      <c r="G45" s="59">
        <v>10</v>
      </c>
      <c r="H45" s="59">
        <v>7</v>
      </c>
      <c r="I45" s="59">
        <v>9</v>
      </c>
      <c r="J45" s="59">
        <v>16</v>
      </c>
      <c r="K45" s="59">
        <v>5</v>
      </c>
      <c r="L45" s="59">
        <v>9</v>
      </c>
      <c r="M45" s="59">
        <v>24</v>
      </c>
    </row>
    <row r="46" spans="1:13" s="8" customFormat="1" ht="11.25" customHeight="1">
      <c r="A46" s="10" t="s">
        <v>28</v>
      </c>
      <c r="B46" s="59">
        <f>COUNTIFS(Jan!$B:$B,3034,Jan!$J:$J,1700)+COUNTIFS(Jan!$B:$B,3034,Jan!$F:$F,1700)+COUNTIFS(Jan!$B:$B,3034,Jan!$J:$J,19)</f>
        <v>0</v>
      </c>
      <c r="C46" s="59">
        <f>COUNTIFS(Feb!$B:$B,3034,Feb!$J:$J,1700)+COUNTIFS(Feb!$B:$B,3034,Feb!$F:$F,1700)+COUNTIFS(Feb!$B:$B,3034,Feb!$J:$J,19)</f>
        <v>0</v>
      </c>
      <c r="D46" s="59">
        <f>COUNTIFS(Mar!$B:$B,3034,Mar!$J:$J,1700)+COUNTIFS(Mar!$B:$B,3034,Mar!$F:$F,1700)+COUNTIFS(Mar!$B:$B,3034,Mar!$J:$J,19)</f>
        <v>0</v>
      </c>
      <c r="E46" s="59">
        <f>COUNTIFS(Apr!$B:$B,3034,Apr!$J:$J,1700)+COUNTIFS(Apr!$B:$B,3034,Apr!$F:$F,1700)+COUNTIFS(Apr!$B:$B,3034,Apr!$J:$J,19)</f>
        <v>0</v>
      </c>
      <c r="F46" s="59">
        <f>COUNTIFS(May!$B:$B,3034,May!$J:$J,1700)+COUNTIFS(May!$B:$B,3034,May!$F:$F,1700)+COUNTIFS(May!$B:$B,3034,May!$J:$J,19)</f>
        <v>0</v>
      </c>
      <c r="G46" s="59">
        <f>COUNTIFS(Jun!$B:$B,3034,Jun!$J:$J,1700)+COUNTIFS(Jun!$B:$B,3034,Jun!$F:$F,1700)+COUNTIFS(Jun!$B:$B,3034,Jun!$J:$J,19)</f>
        <v>0</v>
      </c>
      <c r="H46" s="59">
        <f>COUNTIFS(Jul!$B:$B,3034,Jul!$J:$J,1700)+COUNTIFS(Jul!$B:$B,3034,Jul!$F:$F,1700)+COUNTIFS(Jul!$B:$B,3034,Jul!$J:$J,19)</f>
        <v>0</v>
      </c>
      <c r="I46" s="59">
        <v>5</v>
      </c>
      <c r="J46" s="59">
        <v>1</v>
      </c>
      <c r="K46" s="59">
        <v>1</v>
      </c>
      <c r="L46" s="59">
        <v>6</v>
      </c>
      <c r="M46" s="59">
        <v>8</v>
      </c>
    </row>
    <row r="47" spans="1:13" s="8" customFormat="1" ht="11.25" customHeight="1">
      <c r="A47" s="10" t="s">
        <v>0</v>
      </c>
      <c r="B47" s="59">
        <f>COUNTIFS(Jan!$B:$B,3034,Jan!$J:$J,3)</f>
        <v>9</v>
      </c>
      <c r="C47" s="59">
        <v>4</v>
      </c>
      <c r="D47" s="59">
        <v>6</v>
      </c>
      <c r="E47" s="59">
        <v>5</v>
      </c>
      <c r="F47" s="59">
        <v>8</v>
      </c>
      <c r="G47" s="59">
        <v>6</v>
      </c>
      <c r="H47" s="59">
        <v>15</v>
      </c>
      <c r="I47" s="59">
        <v>8</v>
      </c>
      <c r="J47" s="59">
        <v>9</v>
      </c>
      <c r="K47" s="59">
        <v>5</v>
      </c>
      <c r="L47" s="59">
        <v>13</v>
      </c>
      <c r="M47" s="59">
        <v>11</v>
      </c>
    </row>
    <row r="48" spans="1:13" s="8" customFormat="1" ht="11.25" customHeight="1">
      <c r="A48" s="10" t="s">
        <v>35</v>
      </c>
      <c r="B48" s="59">
        <f>COUNTIFS(Jan!$B:$B,3034,Jan!$J:$J,7400)</f>
        <v>0</v>
      </c>
      <c r="C48" s="59">
        <f>COUNTIFS(Feb!$B:$B,3034,Feb!$J:$J,7400)</f>
        <v>0</v>
      </c>
      <c r="D48" s="59">
        <f>COUNTIFS(Mar!$B:$B,3034,Mar!$J:$J,7400)</f>
        <v>0</v>
      </c>
      <c r="E48" s="59">
        <f>COUNTIFS(Apr!$B:$B,3034,Apr!$J:$J,7400)</f>
        <v>0</v>
      </c>
      <c r="F48" s="59">
        <f>COUNTIFS(May!$B:$B,3034,May!$J:$J,7400)</f>
        <v>0</v>
      </c>
      <c r="G48" s="59">
        <f>COUNTIFS(Jun!$B:$B,3034,Jun!$J:$J,7400)</f>
        <v>0</v>
      </c>
      <c r="H48" s="59">
        <f>COUNTIFS(Jul!$B:$B,3034,Jul!$J:$J,7400)</f>
        <v>0</v>
      </c>
      <c r="I48" s="59">
        <f>COUNTIFS(Aug!$B:$B,3034,Aug!$J:$J,7400)</f>
        <v>0</v>
      </c>
      <c r="J48" s="59">
        <v>1</v>
      </c>
      <c r="K48" s="59">
        <f>COUNTIFS(Oct!$B:$B,3034,Oct!$J:$J,7400)</f>
        <v>0</v>
      </c>
      <c r="L48" s="59">
        <f>COUNTIFS(Nov!$B:$B,3034,Nov!$J:$J,7400)</f>
        <v>0</v>
      </c>
      <c r="M48" s="59">
        <v>0</v>
      </c>
    </row>
    <row r="49" spans="1:13" s="8" customFormat="1" ht="11.25" customHeight="1">
      <c r="A49" s="10" t="s">
        <v>2</v>
      </c>
      <c r="B49" s="59">
        <f>COUNTIFS(Jan!$B:$B,3034,Jan!$J:$J,14)</f>
        <v>0</v>
      </c>
      <c r="C49" s="59">
        <f>COUNTIFS(Feb!$B:$B,3034,Feb!$J:$J,14)</f>
        <v>0</v>
      </c>
      <c r="D49" s="59">
        <f>COUNTIFS(Mar!$B:$B,3034,Mar!$J:$J,14)</f>
        <v>0</v>
      </c>
      <c r="E49" s="59">
        <f>COUNTIFS(Apr!$B:$B,3034,Apr!$J:$J,14)</f>
        <v>0</v>
      </c>
      <c r="F49" s="59">
        <f>COUNTIFS(May!$B:$B,3034,May!$J:$J,14)</f>
        <v>0</v>
      </c>
      <c r="G49" s="59">
        <f>COUNTIFS(Jun!$B:$B,3034,Jun!$J:$J,14)</f>
        <v>0</v>
      </c>
      <c r="H49" s="59">
        <f>COUNTIFS(Jul!$B:$B,3034,Jul!$J:$J,14)</f>
        <v>0</v>
      </c>
      <c r="I49" s="59">
        <f>COUNTIFS(Aug!$B:$B,3034,Aug!$J:$J,14)</f>
        <v>0</v>
      </c>
      <c r="J49" s="59">
        <v>2</v>
      </c>
      <c r="K49" s="59">
        <v>1</v>
      </c>
      <c r="L49" s="59">
        <f>COUNTIFS(Nov!$B:$B,3034,Nov!$J:$J,14)</f>
        <v>0</v>
      </c>
      <c r="M49" s="59">
        <v>1</v>
      </c>
    </row>
    <row r="50" spans="1:13" s="8" customFormat="1" ht="11.25" customHeight="1">
      <c r="A50" s="10" t="s">
        <v>142</v>
      </c>
      <c r="B50" s="59">
        <f>COUNTIFS(Jan!$B:$B,3034,Jan!$F:$F,466)</f>
        <v>7</v>
      </c>
      <c r="C50" s="59">
        <v>4</v>
      </c>
      <c r="D50" s="59">
        <v>2</v>
      </c>
      <c r="E50" s="59">
        <v>3</v>
      </c>
      <c r="F50" s="59">
        <v>2</v>
      </c>
      <c r="G50" s="59">
        <v>1</v>
      </c>
      <c r="H50" s="59">
        <f>COUNTIFS(Jul!$B:$B,3034,Jul!$F:$F,466)</f>
        <v>0</v>
      </c>
      <c r="I50" s="59">
        <f>COUNTIFS(Aug!$B:$B,3034,Aug!$F:$F,466)</f>
        <v>0</v>
      </c>
      <c r="J50" s="59">
        <f>COUNTIFS(Sep!$B:$B,3034,Sep!$F:$F,466)</f>
        <v>0</v>
      </c>
      <c r="K50" s="59">
        <f>COUNTIFS(Oct!$B:$B,3034,Oct!$F:$F,466)</f>
        <v>0</v>
      </c>
      <c r="L50" s="59">
        <f>COUNTIFS(Nov!$B:$B,3034,Nov!$F:$F,466)</f>
        <v>0</v>
      </c>
      <c r="M50" s="59">
        <v>5</v>
      </c>
    </row>
    <row r="51" spans="1:13" s="8" customFormat="1" ht="11.25" customHeight="1">
      <c r="A51" s="10" t="s">
        <v>27</v>
      </c>
      <c r="B51" s="59">
        <f>COUNTIFS(Jan!$B:$B,3034,Jan!$J:$J,25)</f>
        <v>0</v>
      </c>
      <c r="C51" s="59">
        <f>COUNTIFS(Feb!$B:$B,3034,Feb!$J:$J,25)</f>
        <v>0</v>
      </c>
      <c r="D51" s="59">
        <f>COUNTIFS(Mar!$B:$B,3034,Mar!$J:$J,25)</f>
        <v>0</v>
      </c>
      <c r="E51" s="59">
        <f>COUNTIFS(Apr!$B:$B,3034,Apr!$J:$J,25)</f>
        <v>0</v>
      </c>
      <c r="F51" s="59">
        <f>COUNTIFS(May!$B:$B,3034,May!$J:$J,25)</f>
        <v>0</v>
      </c>
      <c r="G51" s="59">
        <f>COUNTIFS(Jun!$B:$B,3034,Jun!$J:$J,25)</f>
        <v>0</v>
      </c>
      <c r="H51" s="59">
        <f>COUNTIFS(Jul!$B:$B,3034,Jul!$J:$J,25)</f>
        <v>0</v>
      </c>
      <c r="I51" s="59">
        <f>COUNTIFS(Aug!$B:$B,3034,Aug!$J:$J,25)</f>
        <v>0</v>
      </c>
      <c r="J51" s="59">
        <f>COUNTIFS(Sep!$B:$B,3034,Sep!$J:$J,25)</f>
        <v>0</v>
      </c>
      <c r="K51" s="59">
        <f>COUNTIFS(Oct!$B:$B,3034,Oct!$J:$J,25)</f>
        <v>0</v>
      </c>
      <c r="L51" s="59">
        <f>COUNTIFS(Nov!$B:$B,3034,Nov!$J:$J,25)</f>
        <v>0</v>
      </c>
      <c r="M51" s="59">
        <v>0</v>
      </c>
    </row>
    <row r="52" spans="1:13" s="8" customFormat="1" ht="11.25" customHeight="1" thickBot="1">
      <c r="A52" s="11" t="s">
        <v>16</v>
      </c>
      <c r="B52" s="60">
        <f>SUM(B34:B51)</f>
        <v>57</v>
      </c>
      <c r="C52" s="60">
        <f t="shared" ref="C52:M52" si="11">SUM(C34:C51)</f>
        <v>52</v>
      </c>
      <c r="D52" s="60">
        <f>SUM(D34:D51)</f>
        <v>60</v>
      </c>
      <c r="E52" s="60">
        <f>SUM(E34:E51)</f>
        <v>60</v>
      </c>
      <c r="F52" s="60">
        <f>SUM(F34:F51)</f>
        <v>58</v>
      </c>
      <c r="G52" s="60">
        <f>SUM(G34:G51)</f>
        <v>52</v>
      </c>
      <c r="H52" s="60">
        <f t="shared" si="11"/>
        <v>70</v>
      </c>
      <c r="I52" s="60">
        <f t="shared" si="11"/>
        <v>78</v>
      </c>
      <c r="J52" s="60">
        <f t="shared" si="11"/>
        <v>73</v>
      </c>
      <c r="K52" s="60">
        <f t="shared" si="11"/>
        <v>76</v>
      </c>
      <c r="L52" s="159">
        <f t="shared" si="11"/>
        <v>86</v>
      </c>
      <c r="M52" s="170">
        <f t="shared" si="11"/>
        <v>103</v>
      </c>
    </row>
    <row r="53" spans="1:13" ht="12" customHeight="1" thickBot="1">
      <c r="A53" s="55" t="s">
        <v>137</v>
      </c>
      <c r="B53" s="50">
        <v>41275</v>
      </c>
      <c r="C53" s="47">
        <v>41306</v>
      </c>
      <c r="D53" s="47">
        <v>41334</v>
      </c>
      <c r="E53" s="47">
        <v>41365</v>
      </c>
      <c r="F53" s="47">
        <v>41395</v>
      </c>
      <c r="G53" s="47">
        <v>41426</v>
      </c>
      <c r="H53" s="47">
        <v>41456</v>
      </c>
      <c r="I53" s="47">
        <v>41487</v>
      </c>
      <c r="J53" s="47">
        <v>41518</v>
      </c>
      <c r="K53" s="47">
        <v>41548</v>
      </c>
      <c r="L53" s="47">
        <v>41579</v>
      </c>
      <c r="M53" s="51">
        <v>41609</v>
      </c>
    </row>
    <row r="54" spans="1:13" s="8" customFormat="1" ht="11.25" customHeight="1">
      <c r="A54" s="10" t="s">
        <v>30</v>
      </c>
      <c r="B54" s="57">
        <f>COUNTIFS(Jan!$B:$B,3034,Jan!$J:$J,7)</f>
        <v>0</v>
      </c>
      <c r="C54" s="57">
        <f>COUNTIFS(Feb!$B:$B,3034,Feb!$J:$J,7)</f>
        <v>0</v>
      </c>
      <c r="D54" s="57">
        <f>COUNTIFS(Mar!$B:$B,3034,Mar!$J:$J,7)</f>
        <v>0</v>
      </c>
      <c r="E54" s="57">
        <f>COUNTIFS(Apr!$B:$B,3034,Apr!$J:$J,7)</f>
        <v>0</v>
      </c>
      <c r="F54" s="57">
        <v>2</v>
      </c>
      <c r="G54" s="57">
        <v>2</v>
      </c>
      <c r="H54" s="57">
        <f>COUNTIFS(Jul!$B:$B,3034,Jul!$J:$J,7)</f>
        <v>0</v>
      </c>
      <c r="I54" s="57">
        <v>1</v>
      </c>
      <c r="J54" s="57">
        <v>2</v>
      </c>
      <c r="K54" s="57">
        <v>4</v>
      </c>
      <c r="L54" s="57">
        <v>2</v>
      </c>
      <c r="M54" s="57">
        <v>4</v>
      </c>
    </row>
    <row r="55" spans="1:13" s="8" customFormat="1" ht="11.25" customHeight="1">
      <c r="A55" s="10" t="s">
        <v>29</v>
      </c>
      <c r="B55" s="59">
        <f>COUNTIFS(Jan!$B:$B,3034,Jan!$J:$J,8)</f>
        <v>0</v>
      </c>
      <c r="C55" s="59">
        <f>COUNTIFS(Feb!$B:$B,3034,Feb!$J:$J,8)</f>
        <v>0</v>
      </c>
      <c r="D55" s="59">
        <f>COUNTIFS(Mar!$B:$B,3034,Mar!$J:$J,8)</f>
        <v>0</v>
      </c>
      <c r="E55" s="59">
        <f>COUNTIFS(Apr!$B:$B,3034,Apr!$J:$J,8)</f>
        <v>0</v>
      </c>
      <c r="F55" s="59">
        <f>COUNTIFS(May!$B:$B,3034,May!$J:$J,8)</f>
        <v>0</v>
      </c>
      <c r="G55" s="59">
        <f>COUNTIFS(Jun!$B:$B,3034,Jun!$J:$J,8)</f>
        <v>0</v>
      </c>
      <c r="H55" s="59">
        <f>COUNTIFS(Jul!$B:$B,3034,Jul!$J:$J,8)</f>
        <v>0</v>
      </c>
      <c r="I55" s="59">
        <f>COUNTIFS(Aug!$B:$B,3034,Aug!$J:$J,8)</f>
        <v>0</v>
      </c>
      <c r="J55" s="59">
        <f>COUNTIFS(Sep!$B:$B,3034,Sep!$J:$J,8)</f>
        <v>0</v>
      </c>
      <c r="K55" s="59">
        <f>COUNTIFS(Oct!$B:$B,3034,Oct!$J:$J,8)</f>
        <v>0</v>
      </c>
      <c r="L55" s="59">
        <f>COUNTIFS(Nov!$B:$B,3034,Nov!$J:$J,8)</f>
        <v>0</v>
      </c>
      <c r="M55" s="59">
        <v>0</v>
      </c>
    </row>
    <row r="56" spans="1:13" s="8" customFormat="1" ht="11.25" customHeight="1">
      <c r="A56" s="10" t="s">
        <v>7</v>
      </c>
      <c r="B56" s="59">
        <f>COUNTIFS(Jan!$B:$B,3034,Jan!$J:$J,12)</f>
        <v>0</v>
      </c>
      <c r="C56" s="59">
        <v>1</v>
      </c>
      <c r="D56" s="59">
        <f>COUNTIFS(Mar!$B:$B,3034,Mar!$J:$J,12)</f>
        <v>0</v>
      </c>
      <c r="E56" s="59">
        <f>COUNTIFS(Apr!$B:$B,3034,Apr!$J:$J,12)</f>
        <v>0</v>
      </c>
      <c r="F56" s="59">
        <v>4</v>
      </c>
      <c r="G56" s="59">
        <v>3</v>
      </c>
      <c r="H56" s="59">
        <v>1</v>
      </c>
      <c r="I56" s="59">
        <v>5</v>
      </c>
      <c r="J56" s="59">
        <v>4</v>
      </c>
      <c r="K56" s="59">
        <v>5</v>
      </c>
      <c r="L56" s="59">
        <v>8</v>
      </c>
      <c r="M56" s="59">
        <v>10</v>
      </c>
    </row>
    <row r="57" spans="1:13" s="8" customFormat="1" ht="11.25" customHeight="1">
      <c r="A57" s="10" t="s">
        <v>10</v>
      </c>
      <c r="B57" s="59">
        <f>COUNTIFS(Jan!$B:$B,3034,Jan!$J:$J,5100)</f>
        <v>0</v>
      </c>
      <c r="C57" s="59">
        <f>COUNTIFS(Feb!$B:$B,3034,Feb!$J:$J,5100)</f>
        <v>0</v>
      </c>
      <c r="D57" s="59">
        <f>COUNTIFS(Mar!$B:$B,3034,Mar!$J:$J,5100)</f>
        <v>0</v>
      </c>
      <c r="E57" s="59">
        <f>COUNTIFS(Apr!$B:$B,3034,Apr!$J:$J,5100)</f>
        <v>0</v>
      </c>
      <c r="F57" s="59">
        <f>COUNTIFS(May!$B:$B,3034,May!$J:$J,5100)</f>
        <v>0</v>
      </c>
      <c r="G57" s="59">
        <f>COUNTIFS(Jun!$B:$B,3034,Jun!$J:$J,5100)</f>
        <v>0</v>
      </c>
      <c r="H57" s="59">
        <f>COUNTIFS(Jul!$B:$B,3034,Jul!$J:$J,5100)</f>
        <v>0</v>
      </c>
      <c r="I57" s="59">
        <f>COUNTIFS(Aug!$B:$B,3034,Aug!$J:$J,5100)</f>
        <v>0</v>
      </c>
      <c r="J57" s="59">
        <f>COUNTIFS(Sep!$B:$B,3034,Sep!$J:$J,5100)</f>
        <v>0</v>
      </c>
      <c r="K57" s="59">
        <f>COUNTIFS(Oct!$B:$B,3034,Oct!$J:$J,5100)</f>
        <v>0</v>
      </c>
      <c r="L57" s="59">
        <f>COUNTIFS(Nov!$B:$B,3034,Nov!$J:$J,5100)</f>
        <v>0</v>
      </c>
      <c r="M57" s="59">
        <v>0</v>
      </c>
    </row>
    <row r="58" spans="1:13" s="8" customFormat="1" ht="11.25" customHeight="1">
      <c r="A58" s="10" t="s">
        <v>36</v>
      </c>
      <c r="B58" s="59">
        <f>COUNTIFS(Jan!$B:$B,3034,Jan!$J:$J,6200)</f>
        <v>83</v>
      </c>
      <c r="C58" s="59">
        <v>96</v>
      </c>
      <c r="D58" s="59">
        <v>87</v>
      </c>
      <c r="E58" s="59">
        <v>90</v>
      </c>
      <c r="F58" s="59">
        <v>59</v>
      </c>
      <c r="G58" s="59">
        <v>79</v>
      </c>
      <c r="H58" s="59">
        <v>108</v>
      </c>
      <c r="I58" s="59">
        <v>125</v>
      </c>
      <c r="J58" s="59">
        <v>170</v>
      </c>
      <c r="K58" s="59">
        <v>48</v>
      </c>
      <c r="L58" s="59">
        <v>109</v>
      </c>
      <c r="M58" s="59">
        <v>129</v>
      </c>
    </row>
    <row r="59" spans="1:13" s="8" customFormat="1" ht="11.25" customHeight="1">
      <c r="A59" s="10" t="s">
        <v>145</v>
      </c>
      <c r="B59" s="59">
        <f>COUNTIFS(Jan!$B:$B,3034,Jan!$J:$J,28)</f>
        <v>0</v>
      </c>
      <c r="C59" s="59">
        <f>COUNTIFS(Feb!$B:$B,3034,Feb!$J:$J,28)</f>
        <v>0</v>
      </c>
      <c r="D59" s="59">
        <f>COUNTIFS(Mar!$B:$B,3034,Mar!$J:$J,28)</f>
        <v>0</v>
      </c>
      <c r="E59" s="59">
        <f>COUNTIFS(Apr!$B:$B,3034,Apr!$J:$J,28)</f>
        <v>0</v>
      </c>
      <c r="F59" s="59">
        <f>COUNTIFS(May!$B:$B,3034,May!$J:$J,28)</f>
        <v>0</v>
      </c>
      <c r="G59" s="59">
        <f>COUNTIFS(Jun!$B:$B,3034,Jun!$J:$J,28)</f>
        <v>0</v>
      </c>
      <c r="H59" s="59">
        <f>COUNTIFS(Jul!$B:$B,3034,Jul!$J:$J,28)</f>
        <v>0</v>
      </c>
      <c r="I59" s="59">
        <f>COUNTIFS(Aug!$B:$B,3034,Aug!$J:$J,28)</f>
        <v>0</v>
      </c>
      <c r="J59" s="59">
        <f>COUNTIFS(Sep!$B:$B,3034,Sep!$J:$J,28)</f>
        <v>0</v>
      </c>
      <c r="K59" s="59">
        <f>COUNTIFS(Oct!$B:$B,3034,Oct!$J:$J,28)</f>
        <v>0</v>
      </c>
      <c r="L59" s="59">
        <f>COUNTIFS(Nov!$B:$B,3034,Nov!$J:$J,28)</f>
        <v>0</v>
      </c>
      <c r="M59" s="59">
        <v>0</v>
      </c>
    </row>
    <row r="60" spans="1:13" s="8" customFormat="1" ht="11.25" customHeight="1">
      <c r="A60" s="10" t="s">
        <v>38</v>
      </c>
      <c r="B60" s="59">
        <f>COUNTIFS(Jan!$B:$B,3034,Jan!$J:$J,6100)</f>
        <v>0</v>
      </c>
      <c r="C60" s="59">
        <f>COUNTIFS(Feb!$B:$B,3034,Feb!$J:$J,6100)</f>
        <v>0</v>
      </c>
      <c r="D60" s="59">
        <v>1</v>
      </c>
      <c r="E60" s="59">
        <f>COUNTIFS(Apr!$B:$B,3034,Apr!$J:$J,6100)</f>
        <v>0</v>
      </c>
      <c r="F60" s="59">
        <f>COUNTIFS(May!$B:$B,3034,May!$J:$J,6100)</f>
        <v>0</v>
      </c>
      <c r="G60" s="59">
        <f>COUNTIFS(Jun!$B:$B,3034,Jun!$J:$J,6100)</f>
        <v>0</v>
      </c>
      <c r="H60" s="59">
        <f>COUNTIFS(Jul!$B:$B,3034,Jul!$J:$J,6100)</f>
        <v>0</v>
      </c>
      <c r="I60" s="59">
        <f>COUNTIFS(Aug!$B:$B,3034,Aug!$J:$J,6100)</f>
        <v>0</v>
      </c>
      <c r="J60" s="59">
        <f>COUNTIFS(Sep!$B:$B,3034,Sep!$J:$J,6100)</f>
        <v>0</v>
      </c>
      <c r="K60" s="59">
        <f>COUNTIFS(Oct!$B:$B,3034,Oct!$J:$J,6100)</f>
        <v>0</v>
      </c>
      <c r="L60" s="59">
        <f>COUNTIFS(Nov!$B:$B,3034,Nov!$J:$J,6100)</f>
        <v>0</v>
      </c>
      <c r="M60" s="59">
        <v>0</v>
      </c>
    </row>
    <row r="61" spans="1:13" s="8" customFormat="1" ht="11.25" customHeight="1">
      <c r="A61" s="10" t="s">
        <v>9</v>
      </c>
      <c r="B61" s="59">
        <f>COUNTIFS(Jan!$B:$B,3034,Jan!$J:$J,6)</f>
        <v>0</v>
      </c>
      <c r="C61" s="59">
        <f>COUNTIFS(Feb!$B:$B,3034,Feb!$J:$J,6)</f>
        <v>0</v>
      </c>
      <c r="D61" s="59">
        <f>COUNTIFS(Mar!$B:$B,3034,Mar!$J:$J,6)</f>
        <v>0</v>
      </c>
      <c r="E61" s="59">
        <f>COUNTIFS(Apr!$B:$B,3034,Apr!$J:$J,6)</f>
        <v>0</v>
      </c>
      <c r="F61" s="59">
        <f>COUNTIFS(May!$B:$B,3034,May!$J:$J,6)</f>
        <v>0</v>
      </c>
      <c r="G61" s="59">
        <f>COUNTIFS(Jun!$B:$B,3034,Jun!$J:$J,6)</f>
        <v>0</v>
      </c>
      <c r="H61" s="59">
        <f>COUNTIFS(Jul!$B:$B,3034,Jul!$J:$J,6)</f>
        <v>0</v>
      </c>
      <c r="I61" s="59">
        <f>COUNTIFS(Aug!$B:$B,3034,Aug!$J:$J,6)</f>
        <v>0</v>
      </c>
      <c r="J61" s="59">
        <f>COUNTIFS(Sep!$B:$B,3034,Sep!$J:$J,6)</f>
        <v>0</v>
      </c>
      <c r="K61" s="59">
        <f>COUNTIFS(Oct!$B:$B,3034,Oct!$J:$J,6)</f>
        <v>0</v>
      </c>
      <c r="L61" s="59">
        <f>COUNTIFS(Nov!$B:$B,3034,Nov!$J:$J,6)</f>
        <v>0</v>
      </c>
      <c r="M61" s="59">
        <v>0</v>
      </c>
    </row>
    <row r="62" spans="1:13" s="8" customFormat="1" ht="11.25" customHeight="1">
      <c r="A62" s="10" t="s">
        <v>8</v>
      </c>
      <c r="B62" s="59">
        <f>COUNTIFS(Jan!$B:$B,3034,Jan!$J:$J,4)</f>
        <v>0</v>
      </c>
      <c r="C62" s="59">
        <f>COUNTIFS(Feb!$B:$B,3034,Feb!$J:$J,4)</f>
        <v>0</v>
      </c>
      <c r="D62" s="59">
        <f>COUNTIFS(Mar!$B:$B,3034,Mar!$J:$J,4)</f>
        <v>0</v>
      </c>
      <c r="E62" s="59">
        <f>COUNTIFS(Apr!$B:$B,3034,Apr!$J:$J,4)</f>
        <v>0</v>
      </c>
      <c r="F62" s="59">
        <f>COUNTIFS(May!$B:$B,3034,May!$J:$J,4)</f>
        <v>0</v>
      </c>
      <c r="G62" s="59">
        <f>COUNTIFS(Jun!$B:$B,3034,Jun!$J:$J,4)</f>
        <v>0</v>
      </c>
      <c r="H62" s="59">
        <f>COUNTIFS(Jul!$B:$B,3034,Jul!$J:$J,4)</f>
        <v>0</v>
      </c>
      <c r="I62" s="59">
        <f>COUNTIFS(Aug!$B:$B,3034,Aug!$J:$J,4)</f>
        <v>0</v>
      </c>
      <c r="J62" s="59">
        <f>COUNTIFS(Sep!$B:$B,3034,Sep!$J:$J,4)</f>
        <v>0</v>
      </c>
      <c r="K62" s="59">
        <f>COUNTIFS(Oct!$B:$B,3034,Oct!$J:$J,4)</f>
        <v>0</v>
      </c>
      <c r="L62" s="59">
        <f>COUNTIFS(Nov!$B:$B,3034,Nov!$J:$J,4)</f>
        <v>0</v>
      </c>
      <c r="M62" s="59">
        <v>0</v>
      </c>
    </row>
    <row r="63" spans="1:13" s="8" customFormat="1" ht="11.25" customHeight="1">
      <c r="A63" s="10" t="s">
        <v>6</v>
      </c>
      <c r="B63" s="59">
        <f>COUNTIFS(Jan!$B:$B,3034,Jan!$J:$J,5)</f>
        <v>0</v>
      </c>
      <c r="C63" s="59">
        <f>COUNTIFS(Feb!$B:$B,3034,Feb!$J:$J,5)</f>
        <v>0</v>
      </c>
      <c r="D63" s="59">
        <f>COUNTIFS(Mar!$B:$B,3034,Mar!$J:$J,5)</f>
        <v>0</v>
      </c>
      <c r="E63" s="59">
        <f>COUNTIFS(Apr!$B:$B,3034,Apr!$J:$J,5)</f>
        <v>0</v>
      </c>
      <c r="F63" s="59">
        <f>COUNTIFS(May!$B:$B,3034,May!$J:$J,5)</f>
        <v>0</v>
      </c>
      <c r="G63" s="59">
        <f>COUNTIFS(Jun!$B:$B,3034,Jun!$J:$J,5)</f>
        <v>0</v>
      </c>
      <c r="H63" s="59">
        <f>COUNTIFS(Jul!$B:$B,3034,Jul!$J:$J,5)</f>
        <v>0</v>
      </c>
      <c r="I63" s="59">
        <f>COUNTIFS(Aug!$B:$B,3034,Aug!$J:$J,5)</f>
        <v>0</v>
      </c>
      <c r="J63" s="59">
        <f>COUNTIFS(Sep!$B:$B,3034,Sep!$J:$J,5)</f>
        <v>0</v>
      </c>
      <c r="K63" s="59">
        <f>COUNTIFS(Oct!$B:$B,3034,Oct!$J:$J,5)</f>
        <v>0</v>
      </c>
      <c r="L63" s="59">
        <f>COUNTIFS(Nov!$B:$B,3034,Nov!$J:$J,5)</f>
        <v>0</v>
      </c>
      <c r="M63" s="59">
        <v>0</v>
      </c>
    </row>
    <row r="64" spans="1:13" s="8" customFormat="1" ht="11.25" customHeight="1">
      <c r="A64" s="52" t="s">
        <v>141</v>
      </c>
      <c r="B64" s="69">
        <f>COUNTIFS(Jan!$B:$B,3034,Jan!$F:$F,456)</f>
        <v>0</v>
      </c>
      <c r="C64" s="69">
        <f>COUNTIFS(Feb!$B:$B,3034,Feb!$F:$F,456)</f>
        <v>0</v>
      </c>
      <c r="D64" s="69">
        <f>COUNTIFS(Mar!$B:$B,3034,Mar!$F:$F,456)</f>
        <v>0</v>
      </c>
      <c r="E64" s="69">
        <f>COUNTIFS(Apr!$B:$B,3034,Apr!$F:$F,456)</f>
        <v>0</v>
      </c>
      <c r="F64" s="69">
        <v>1</v>
      </c>
      <c r="G64" s="69">
        <v>1</v>
      </c>
      <c r="H64" s="69">
        <f>COUNTIFS(Jul!$B:$B,3034,Jul!$F:$F,456)</f>
        <v>0</v>
      </c>
      <c r="I64" s="69">
        <f>COUNTIFS(Aug!$B:$B,3034,Aug!$F:$F,456)</f>
        <v>0</v>
      </c>
      <c r="J64" s="69">
        <v>1</v>
      </c>
      <c r="K64" s="69">
        <v>1</v>
      </c>
      <c r="L64" s="69">
        <f>COUNTIFS(Nov!$B:$B,3034,Nov!$F:$F,456)</f>
        <v>0</v>
      </c>
      <c r="M64" s="69">
        <v>0</v>
      </c>
    </row>
    <row r="65" spans="1:13" s="8" customFormat="1" ht="11.25" customHeight="1" thickBot="1">
      <c r="A65" s="12" t="s">
        <v>16</v>
      </c>
      <c r="B65" s="70">
        <f>SUM(B54:B64)</f>
        <v>83</v>
      </c>
      <c r="C65" s="70">
        <f t="shared" ref="C65:M65" si="12">SUM(C54:C64)</f>
        <v>97</v>
      </c>
      <c r="D65" s="70">
        <f t="shared" si="12"/>
        <v>88</v>
      </c>
      <c r="E65" s="70">
        <f t="shared" si="12"/>
        <v>90</v>
      </c>
      <c r="F65" s="70">
        <f t="shared" si="12"/>
        <v>66</v>
      </c>
      <c r="G65" s="70">
        <f t="shared" si="12"/>
        <v>85</v>
      </c>
      <c r="H65" s="70">
        <f t="shared" si="12"/>
        <v>109</v>
      </c>
      <c r="I65" s="70">
        <f t="shared" si="12"/>
        <v>131</v>
      </c>
      <c r="J65" s="70">
        <f t="shared" si="12"/>
        <v>177</v>
      </c>
      <c r="K65" s="70">
        <f t="shared" si="12"/>
        <v>58</v>
      </c>
      <c r="L65" s="165">
        <f t="shared" si="12"/>
        <v>119</v>
      </c>
      <c r="M65" s="170">
        <f t="shared" si="12"/>
        <v>143</v>
      </c>
    </row>
    <row r="66" spans="1:13" s="8" customFormat="1" ht="15.75" customHeight="1">
      <c r="A66" s="6"/>
      <c r="B66" s="7"/>
      <c r="C66" s="7"/>
      <c r="D66" s="7"/>
      <c r="E66" s="7"/>
      <c r="F66" s="7"/>
      <c r="G66" s="7"/>
      <c r="H66" s="7"/>
      <c r="I66" s="7"/>
      <c r="J66" s="7"/>
      <c r="K66" s="7"/>
      <c r="L66" s="7"/>
      <c r="M66" s="7"/>
    </row>
    <row r="67" spans="1:13" ht="12" customHeight="1">
      <c r="A67" s="6"/>
      <c r="B67" s="7"/>
      <c r="C67" s="7"/>
      <c r="D67" s="7"/>
      <c r="E67" s="7"/>
      <c r="F67" s="7"/>
      <c r="G67" s="7"/>
      <c r="H67" s="7"/>
      <c r="I67" s="7"/>
      <c r="J67" s="7"/>
      <c r="K67" s="7"/>
      <c r="L67" s="7"/>
      <c r="M67" s="7"/>
    </row>
  </sheetData>
  <phoneticPr fontId="0" type="noConversion"/>
  <printOptions horizontalCentered="1" verticalCentered="1"/>
  <pageMargins left="0.14000000000000001" right="0.16" top="0.25" bottom="0.5" header="0.5" footer="0.25"/>
  <pageSetup scale="95" firstPageNumber="3" orientation="portrait" useFirstPageNumber="1" r:id="rId1"/>
  <headerFooter alignWithMargins="0">
    <oddFooter>&amp;R50 of 51</oddFooter>
  </headerFooter>
  <ignoredErrors>
    <ignoredError sqref="M32 M52 M65" formulaRange="1"/>
  </ignoredErrors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67"/>
  <sheetViews>
    <sheetView view="pageBreakPreview" zoomScaleNormal="100" zoomScaleSheetLayoutView="100" workbookViewId="0">
      <selection activeCell="M47" sqref="M47"/>
    </sheetView>
  </sheetViews>
  <sheetFormatPr defaultRowHeight="12.75"/>
  <cols>
    <col min="1" max="1" width="22.85546875" style="1" customWidth="1"/>
    <col min="2" max="13" width="7.140625" style="1" customWidth="1"/>
    <col min="14" max="14" width="4.42578125" style="1" customWidth="1"/>
    <col min="15" max="16384" width="9.140625" style="1"/>
  </cols>
  <sheetData>
    <row r="1" spans="1:21" ht="18" customHeight="1">
      <c r="A1" s="130"/>
      <c r="B1" s="131"/>
      <c r="C1" s="131"/>
      <c r="D1" s="131"/>
      <c r="E1" s="131"/>
      <c r="F1" s="131"/>
      <c r="G1" s="131"/>
      <c r="H1" s="130"/>
      <c r="I1" s="131"/>
      <c r="J1" s="131"/>
      <c r="K1" s="131"/>
      <c r="L1" s="130"/>
      <c r="M1" s="143" t="s">
        <v>22</v>
      </c>
    </row>
    <row r="2" spans="1:21" ht="18" customHeight="1">
      <c r="A2" s="130"/>
      <c r="B2" s="135"/>
      <c r="C2" s="135"/>
      <c r="D2" s="135"/>
      <c r="E2" s="135"/>
      <c r="F2" s="135"/>
      <c r="G2" s="135"/>
      <c r="H2" s="130"/>
      <c r="I2" s="135"/>
      <c r="J2" s="135"/>
      <c r="K2" s="135"/>
      <c r="L2" s="130"/>
      <c r="M2" s="155" t="s">
        <v>13</v>
      </c>
    </row>
    <row r="3" spans="1:21" s="5" customFormat="1" ht="18" customHeight="1">
      <c r="A3" s="133"/>
      <c r="B3" s="133"/>
      <c r="C3" s="133"/>
      <c r="D3" s="133"/>
      <c r="E3" s="133"/>
      <c r="F3" s="133"/>
      <c r="G3" s="133"/>
      <c r="H3" s="133"/>
      <c r="I3" s="133"/>
      <c r="J3" s="136"/>
      <c r="K3" s="136"/>
      <c r="L3" s="133"/>
      <c r="M3" s="155" t="s">
        <v>217</v>
      </c>
      <c r="N3" s="134"/>
      <c r="O3" s="134"/>
      <c r="P3" s="134"/>
      <c r="Q3" s="134"/>
      <c r="R3" s="134"/>
      <c r="S3" s="134"/>
      <c r="T3" s="134"/>
      <c r="U3" s="134"/>
    </row>
    <row r="4" spans="1:21" s="8" customFormat="1" ht="6.75" customHeight="1" thickBot="1">
      <c r="A4" s="38"/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</row>
    <row r="5" spans="1:21" s="8" customFormat="1" ht="11.25" customHeight="1" thickBot="1">
      <c r="A5" s="53" t="s">
        <v>19</v>
      </c>
      <c r="B5" s="50">
        <v>41275</v>
      </c>
      <c r="C5" s="47">
        <v>41306</v>
      </c>
      <c r="D5" s="47">
        <v>41334</v>
      </c>
      <c r="E5" s="47">
        <v>41365</v>
      </c>
      <c r="F5" s="47">
        <v>41395</v>
      </c>
      <c r="G5" s="47">
        <v>41426</v>
      </c>
      <c r="H5" s="47">
        <v>41456</v>
      </c>
      <c r="I5" s="47">
        <v>41487</v>
      </c>
      <c r="J5" s="47">
        <v>41518</v>
      </c>
      <c r="K5" s="47">
        <v>41548</v>
      </c>
      <c r="L5" s="47">
        <v>41579</v>
      </c>
      <c r="M5" s="51">
        <v>41609</v>
      </c>
    </row>
    <row r="6" spans="1:21" s="8" customFormat="1" ht="11.25" customHeight="1">
      <c r="A6" s="41" t="s">
        <v>129</v>
      </c>
      <c r="B6" s="57">
        <f t="shared" ref="B6:M6" si="0">B32</f>
        <v>140</v>
      </c>
      <c r="C6" s="57">
        <f t="shared" si="0"/>
        <v>108</v>
      </c>
      <c r="D6" s="57">
        <f t="shared" si="0"/>
        <v>116</v>
      </c>
      <c r="E6" s="57">
        <f t="shared" si="0"/>
        <v>88</v>
      </c>
      <c r="F6" s="57">
        <f t="shared" si="0"/>
        <v>112</v>
      </c>
      <c r="G6" s="57">
        <f t="shared" si="0"/>
        <v>112</v>
      </c>
      <c r="H6" s="57">
        <f t="shared" si="0"/>
        <v>147</v>
      </c>
      <c r="I6" s="57">
        <f t="shared" si="0"/>
        <v>150</v>
      </c>
      <c r="J6" s="57">
        <f t="shared" si="0"/>
        <v>146</v>
      </c>
      <c r="K6" s="57">
        <f t="shared" si="0"/>
        <v>79</v>
      </c>
      <c r="L6" s="156">
        <f t="shared" si="0"/>
        <v>152</v>
      </c>
      <c r="M6" s="168">
        <f t="shared" si="0"/>
        <v>159</v>
      </c>
    </row>
    <row r="7" spans="1:21" s="8" customFormat="1" ht="11.25" customHeight="1">
      <c r="A7" s="42" t="s">
        <v>18</v>
      </c>
      <c r="B7" s="57">
        <f t="shared" ref="B7:M7" si="1">SUM(B10:B12)</f>
        <v>147</v>
      </c>
      <c r="C7" s="57">
        <f t="shared" si="1"/>
        <v>132</v>
      </c>
      <c r="D7" s="57">
        <f t="shared" si="1"/>
        <v>150</v>
      </c>
      <c r="E7" s="57">
        <f t="shared" si="1"/>
        <v>135</v>
      </c>
      <c r="F7" s="57">
        <f t="shared" si="1"/>
        <v>152</v>
      </c>
      <c r="G7" s="57">
        <f t="shared" si="1"/>
        <v>148</v>
      </c>
      <c r="H7" s="57">
        <f t="shared" si="1"/>
        <v>166</v>
      </c>
      <c r="I7" s="57">
        <f t="shared" si="1"/>
        <v>212</v>
      </c>
      <c r="J7" s="57">
        <f t="shared" si="1"/>
        <v>151</v>
      </c>
      <c r="K7" s="57">
        <f t="shared" si="1"/>
        <v>131</v>
      </c>
      <c r="L7" s="156">
        <f t="shared" si="1"/>
        <v>180</v>
      </c>
      <c r="M7" s="171">
        <f t="shared" si="1"/>
        <v>169</v>
      </c>
    </row>
    <row r="8" spans="1:21" s="8" customFormat="1" ht="11.25" customHeight="1" thickBot="1">
      <c r="A8" s="43" t="s">
        <v>14</v>
      </c>
      <c r="B8" s="58">
        <f t="shared" ref="B8:M8" si="2">SUM(B6:B7)</f>
        <v>287</v>
      </c>
      <c r="C8" s="58">
        <f t="shared" si="2"/>
        <v>240</v>
      </c>
      <c r="D8" s="58">
        <f t="shared" si="2"/>
        <v>266</v>
      </c>
      <c r="E8" s="58">
        <f t="shared" si="2"/>
        <v>223</v>
      </c>
      <c r="F8" s="58">
        <f t="shared" si="2"/>
        <v>264</v>
      </c>
      <c r="G8" s="58">
        <f t="shared" si="2"/>
        <v>260</v>
      </c>
      <c r="H8" s="58">
        <f t="shared" si="2"/>
        <v>313</v>
      </c>
      <c r="I8" s="58">
        <f t="shared" si="2"/>
        <v>362</v>
      </c>
      <c r="J8" s="58">
        <f t="shared" si="2"/>
        <v>297</v>
      </c>
      <c r="K8" s="58">
        <f t="shared" si="2"/>
        <v>210</v>
      </c>
      <c r="L8" s="157">
        <f t="shared" si="2"/>
        <v>332</v>
      </c>
      <c r="M8" s="172">
        <f t="shared" si="2"/>
        <v>328</v>
      </c>
    </row>
    <row r="9" spans="1:21" s="8" customFormat="1" ht="11.25" customHeight="1" thickBot="1">
      <c r="A9" s="54" t="s">
        <v>18</v>
      </c>
      <c r="B9" s="50">
        <v>41275</v>
      </c>
      <c r="C9" s="47">
        <v>41306</v>
      </c>
      <c r="D9" s="47">
        <v>41334</v>
      </c>
      <c r="E9" s="47">
        <v>41365</v>
      </c>
      <c r="F9" s="47">
        <v>41395</v>
      </c>
      <c r="G9" s="47">
        <v>41426</v>
      </c>
      <c r="H9" s="47">
        <v>41456</v>
      </c>
      <c r="I9" s="47">
        <v>41487</v>
      </c>
      <c r="J9" s="47">
        <v>41518</v>
      </c>
      <c r="K9" s="47">
        <v>41548</v>
      </c>
      <c r="L9" s="47">
        <v>41579</v>
      </c>
      <c r="M9" s="51">
        <v>41609</v>
      </c>
    </row>
    <row r="10" spans="1:21" s="8" customFormat="1" ht="11.25" customHeight="1">
      <c r="A10" s="9" t="s">
        <v>128</v>
      </c>
      <c r="B10" s="57">
        <f t="shared" ref="B10:M10" si="3">B52</f>
        <v>80</v>
      </c>
      <c r="C10" s="57">
        <f t="shared" si="3"/>
        <v>61</v>
      </c>
      <c r="D10" s="57">
        <f t="shared" si="3"/>
        <v>83</v>
      </c>
      <c r="E10" s="57">
        <f t="shared" si="3"/>
        <v>51</v>
      </c>
      <c r="F10" s="57">
        <f t="shared" si="3"/>
        <v>69</v>
      </c>
      <c r="G10" s="59">
        <f t="shared" si="3"/>
        <v>52</v>
      </c>
      <c r="H10" s="59">
        <f t="shared" si="3"/>
        <v>79</v>
      </c>
      <c r="I10" s="59">
        <f t="shared" si="3"/>
        <v>78</v>
      </c>
      <c r="J10" s="59">
        <f t="shared" si="3"/>
        <v>60</v>
      </c>
      <c r="K10" s="59">
        <f t="shared" si="3"/>
        <v>63</v>
      </c>
      <c r="L10" s="158">
        <f t="shared" si="3"/>
        <v>91</v>
      </c>
      <c r="M10" s="168">
        <f t="shared" si="3"/>
        <v>89</v>
      </c>
    </row>
    <row r="11" spans="1:21" s="8" customFormat="1" ht="11.25" customHeight="1">
      <c r="A11" s="9" t="s">
        <v>127</v>
      </c>
      <c r="B11" s="59">
        <f t="shared" ref="B11:M11" si="4">B65</f>
        <v>9</v>
      </c>
      <c r="C11" s="59">
        <f t="shared" si="4"/>
        <v>5</v>
      </c>
      <c r="D11" s="59">
        <f t="shared" si="4"/>
        <v>3</v>
      </c>
      <c r="E11" s="59">
        <f t="shared" si="4"/>
        <v>4</v>
      </c>
      <c r="F11" s="59">
        <f t="shared" si="4"/>
        <v>3</v>
      </c>
      <c r="G11" s="59">
        <f t="shared" si="4"/>
        <v>11</v>
      </c>
      <c r="H11" s="59">
        <f t="shared" si="4"/>
        <v>10</v>
      </c>
      <c r="I11" s="59">
        <f t="shared" si="4"/>
        <v>14</v>
      </c>
      <c r="J11" s="59">
        <f t="shared" si="4"/>
        <v>3</v>
      </c>
      <c r="K11" s="59">
        <f t="shared" si="4"/>
        <v>3</v>
      </c>
      <c r="L11" s="158">
        <f t="shared" si="4"/>
        <v>9</v>
      </c>
      <c r="M11" s="169">
        <f t="shared" si="4"/>
        <v>5</v>
      </c>
    </row>
    <row r="12" spans="1:21" s="8" customFormat="1" ht="11.25" customHeight="1" thickBot="1">
      <c r="A12" s="2" t="s">
        <v>12</v>
      </c>
      <c r="B12" s="60">
        <f>COUNTIFS(Jan!$B:$B,3044,Jan!$F:$F,800)</f>
        <v>58</v>
      </c>
      <c r="C12" s="60">
        <v>66</v>
      </c>
      <c r="D12" s="60">
        <v>64</v>
      </c>
      <c r="E12" s="60">
        <v>80</v>
      </c>
      <c r="F12" s="60">
        <v>80</v>
      </c>
      <c r="G12" s="60">
        <v>85</v>
      </c>
      <c r="H12" s="60">
        <v>77</v>
      </c>
      <c r="I12" s="60">
        <v>120</v>
      </c>
      <c r="J12" s="60">
        <v>88</v>
      </c>
      <c r="K12" s="60">
        <v>65</v>
      </c>
      <c r="L12" s="60">
        <v>80</v>
      </c>
      <c r="M12" s="60">
        <v>75</v>
      </c>
    </row>
    <row r="13" spans="1:21" s="8" customFormat="1" ht="5.0999999999999996" customHeight="1" thickBot="1">
      <c r="A13" s="3"/>
      <c r="B13" s="17"/>
      <c r="C13" s="17"/>
      <c r="D13" s="17"/>
      <c r="E13" s="17"/>
      <c r="F13" s="17"/>
      <c r="G13" s="17"/>
      <c r="H13" s="17"/>
      <c r="I13" s="17"/>
      <c r="J13" s="17"/>
      <c r="K13" s="17"/>
      <c r="L13" s="17"/>
      <c r="M13" s="147"/>
    </row>
    <row r="14" spans="1:21" s="16" customFormat="1" ht="11.25" customHeight="1">
      <c r="A14" s="44" t="s">
        <v>131</v>
      </c>
      <c r="B14" s="120">
        <v>10567</v>
      </c>
      <c r="C14" s="120">
        <v>10820</v>
      </c>
      <c r="D14" s="120">
        <v>10774</v>
      </c>
      <c r="E14" s="120">
        <v>10611</v>
      </c>
      <c r="F14" s="120">
        <v>10760</v>
      </c>
      <c r="G14" s="120">
        <v>8442</v>
      </c>
      <c r="H14" s="119">
        <v>10529</v>
      </c>
      <c r="I14" s="61">
        <v>10551.81</v>
      </c>
      <c r="J14" s="61">
        <v>10542.6</v>
      </c>
      <c r="K14" s="118">
        <v>10663</v>
      </c>
      <c r="L14" s="160">
        <v>10411</v>
      </c>
      <c r="M14" s="173">
        <v>10041</v>
      </c>
      <c r="O14" s="22"/>
      <c r="P14" s="22"/>
      <c r="Q14" s="22"/>
    </row>
    <row r="15" spans="1:21" s="8" customFormat="1" ht="11.25" customHeight="1">
      <c r="A15" s="45" t="s">
        <v>132</v>
      </c>
      <c r="B15" s="62">
        <f>IFERROR((SUMIFS(Jan!$N:$N,Jan!$J:$J,1,Jan!$B:$B,3044)+SUMIFS(Jan!$N:$N,Jan!$D:$D,"&gt;1",Jan!$B:$B,3044))/(COUNTIFS(Jan!$J:$J,1,Jan!$B:$B,3044)+COUNTIFS(Jan!$D:$D,"&gt;1",Jan!$B:$B,3044)),"")</f>
        <v>18.738636363636363</v>
      </c>
      <c r="C15" s="62">
        <v>19.03</v>
      </c>
      <c r="D15" s="62">
        <v>19.760000000000002</v>
      </c>
      <c r="E15" s="62">
        <v>19.82</v>
      </c>
      <c r="F15" s="62">
        <v>19.11</v>
      </c>
      <c r="G15" s="62">
        <v>18.86</v>
      </c>
      <c r="H15" s="62">
        <v>19.149999999999999</v>
      </c>
      <c r="I15" s="62">
        <v>19.41</v>
      </c>
      <c r="J15" s="62">
        <v>19.809999999999999</v>
      </c>
      <c r="K15" s="62">
        <v>19.010000000000002</v>
      </c>
      <c r="L15" s="62">
        <v>19.55</v>
      </c>
      <c r="M15" s="62">
        <v>19.29</v>
      </c>
      <c r="N15" s="15"/>
      <c r="O15" s="1"/>
      <c r="P15" s="1"/>
      <c r="Q15" s="1"/>
    </row>
    <row r="16" spans="1:21" s="8" customFormat="1" ht="11.25" customHeight="1">
      <c r="A16" s="45" t="s">
        <v>133</v>
      </c>
      <c r="B16" s="62">
        <f>IFERROR(AVERAGEIFS(Jan!$N:$N,Jan!$F:$F,800,Jan!$B:$B,3044),"")</f>
        <v>18.948275862068964</v>
      </c>
      <c r="C16" s="62">
        <v>19.39</v>
      </c>
      <c r="D16" s="62">
        <v>19.23</v>
      </c>
      <c r="E16" s="62">
        <v>19.71</v>
      </c>
      <c r="F16" s="62">
        <v>20.079999999999998</v>
      </c>
      <c r="G16" s="62">
        <v>19.489999999999998</v>
      </c>
      <c r="H16" s="62">
        <v>19.04</v>
      </c>
      <c r="I16" s="62">
        <v>19.190000000000001</v>
      </c>
      <c r="J16" s="62">
        <v>19.649999999999999</v>
      </c>
      <c r="K16" s="62">
        <v>19.45</v>
      </c>
      <c r="L16" s="62">
        <v>19.420000000000002</v>
      </c>
      <c r="M16" s="62">
        <v>19.77</v>
      </c>
      <c r="O16" s="1"/>
      <c r="P16" s="1"/>
      <c r="Q16" s="1"/>
    </row>
    <row r="17" spans="1:17" s="8" customFormat="1" ht="11.25" customHeight="1">
      <c r="A17" s="45" t="s">
        <v>134</v>
      </c>
      <c r="B17" s="63">
        <f>IFERROR((SUMIFS(Jan!$M:$M,Jan!$J:$J,1,Jan!$B:$B,3044)+SUMIFS(Jan!$M:$M,Jan!$D:$D,"&gt;1",Jan!$B:$B,3044))/(COUNTIFS(Jan!$J:$J,1,Jan!$B:$B,3044)+COUNTIFS(Jan!$D:$D,"&gt;1",Jan!$B:$B,3044)),"")</f>
        <v>42.152272727272731</v>
      </c>
      <c r="C17" s="63">
        <v>38.450000000000003</v>
      </c>
      <c r="D17" s="63">
        <v>39.1</v>
      </c>
      <c r="E17" s="63">
        <v>35.450000000000003</v>
      </c>
      <c r="F17" s="63">
        <v>39.17</v>
      </c>
      <c r="G17" s="63">
        <v>37.979999999999997</v>
      </c>
      <c r="H17" s="63">
        <v>38.36</v>
      </c>
      <c r="I17" s="63">
        <v>38.83</v>
      </c>
      <c r="J17" s="63">
        <v>42.12</v>
      </c>
      <c r="K17" s="63">
        <v>46.92</v>
      </c>
      <c r="L17" s="63">
        <v>39.299999999999997</v>
      </c>
      <c r="M17" s="63">
        <v>39.93</v>
      </c>
      <c r="O17" s="1"/>
      <c r="P17" s="1"/>
      <c r="Q17" s="1"/>
    </row>
    <row r="18" spans="1:17" s="8" customFormat="1" ht="11.25" customHeight="1" thickBot="1">
      <c r="A18" s="43" t="s">
        <v>135</v>
      </c>
      <c r="B18" s="64">
        <f>IFERROR(AVERAGEIFS(Jan!$M:$M,Jan!$F:$F,800,Jan!$B:$B,3044),"")</f>
        <v>41.974137931034484</v>
      </c>
      <c r="C18" s="64">
        <v>39.92</v>
      </c>
      <c r="D18" s="64">
        <v>41.82</v>
      </c>
      <c r="E18" s="64">
        <v>37.630000000000003</v>
      </c>
      <c r="F18" s="64">
        <v>40.83</v>
      </c>
      <c r="G18" s="64">
        <v>39.01</v>
      </c>
      <c r="H18" s="64">
        <v>40.06</v>
      </c>
      <c r="I18" s="64">
        <v>40.69</v>
      </c>
      <c r="J18" s="64">
        <v>45.93</v>
      </c>
      <c r="K18" s="64">
        <v>41.13</v>
      </c>
      <c r="L18" s="64">
        <v>40.69</v>
      </c>
      <c r="M18" s="64">
        <v>41.03</v>
      </c>
    </row>
    <row r="19" spans="1:17" s="8" customFormat="1" ht="5.0999999999999996" customHeight="1" thickBot="1">
      <c r="A19" s="3"/>
      <c r="B19" s="17"/>
      <c r="C19" s="17"/>
      <c r="D19" s="17"/>
      <c r="E19" s="17"/>
      <c r="F19" s="17"/>
      <c r="G19" s="17"/>
      <c r="H19" s="17"/>
      <c r="I19" s="17"/>
      <c r="J19" s="17"/>
      <c r="K19" s="17"/>
      <c r="L19" s="17"/>
      <c r="M19" s="147"/>
    </row>
    <row r="20" spans="1:17" s="8" customFormat="1" ht="11.25" customHeight="1">
      <c r="A20" s="42" t="s">
        <v>52</v>
      </c>
      <c r="B20" s="65">
        <v>31</v>
      </c>
      <c r="C20" s="65">
        <v>28</v>
      </c>
      <c r="D20" s="65">
        <v>31</v>
      </c>
      <c r="E20" s="65">
        <v>30</v>
      </c>
      <c r="F20" s="65">
        <v>31</v>
      </c>
      <c r="G20" s="65">
        <v>30</v>
      </c>
      <c r="H20" s="65">
        <v>31</v>
      </c>
      <c r="I20" s="65">
        <v>31</v>
      </c>
      <c r="J20" s="65">
        <v>30</v>
      </c>
      <c r="K20" s="65">
        <v>31</v>
      </c>
      <c r="L20" s="161">
        <v>30</v>
      </c>
      <c r="M20" s="174">
        <v>31</v>
      </c>
    </row>
    <row r="21" spans="1:17" s="8" customFormat="1" ht="11.25" customHeight="1">
      <c r="A21" s="9" t="s">
        <v>15</v>
      </c>
      <c r="B21" s="66">
        <f t="shared" ref="B21:M21" si="5">B12/B20</f>
        <v>1.8709677419354838</v>
      </c>
      <c r="C21" s="66">
        <f t="shared" si="5"/>
        <v>2.3571428571428572</v>
      </c>
      <c r="D21" s="66">
        <f t="shared" si="5"/>
        <v>2.064516129032258</v>
      </c>
      <c r="E21" s="66">
        <f t="shared" si="5"/>
        <v>2.6666666666666665</v>
      </c>
      <c r="F21" s="66">
        <f t="shared" si="5"/>
        <v>2.5806451612903225</v>
      </c>
      <c r="G21" s="66">
        <f t="shared" si="5"/>
        <v>2.8333333333333335</v>
      </c>
      <c r="H21" s="66">
        <f t="shared" si="5"/>
        <v>2.4838709677419355</v>
      </c>
      <c r="I21" s="66">
        <f t="shared" si="5"/>
        <v>3.870967741935484</v>
      </c>
      <c r="J21" s="66">
        <f t="shared" si="5"/>
        <v>2.9333333333333331</v>
      </c>
      <c r="K21" s="66">
        <f t="shared" si="5"/>
        <v>2.096774193548387</v>
      </c>
      <c r="L21" s="162">
        <f t="shared" si="5"/>
        <v>2.6666666666666665</v>
      </c>
      <c r="M21" s="175">
        <f t="shared" si="5"/>
        <v>2.4193548387096775</v>
      </c>
    </row>
    <row r="22" spans="1:17" s="8" customFormat="1" ht="11.25" customHeight="1">
      <c r="A22" s="9" t="s">
        <v>130</v>
      </c>
      <c r="B22" s="67">
        <f>IFERROR(B12/B7,0)</f>
        <v>0.39455782312925169</v>
      </c>
      <c r="C22" s="67">
        <f>IFERROR(C12/C7,0)</f>
        <v>0.5</v>
      </c>
      <c r="D22" s="67">
        <f t="shared" ref="D22:M22" si="6">IFERROR(D12/D7,0)</f>
        <v>0.42666666666666669</v>
      </c>
      <c r="E22" s="67">
        <f t="shared" si="6"/>
        <v>0.59259259259259256</v>
      </c>
      <c r="F22" s="67">
        <f t="shared" si="6"/>
        <v>0.52631578947368418</v>
      </c>
      <c r="G22" s="67">
        <f t="shared" si="6"/>
        <v>0.57432432432432434</v>
      </c>
      <c r="H22" s="67">
        <f t="shared" si="6"/>
        <v>0.46385542168674698</v>
      </c>
      <c r="I22" s="67">
        <f t="shared" si="6"/>
        <v>0.56603773584905659</v>
      </c>
      <c r="J22" s="67">
        <f t="shared" si="6"/>
        <v>0.58278145695364236</v>
      </c>
      <c r="K22" s="116">
        <f t="shared" si="6"/>
        <v>0.49618320610687022</v>
      </c>
      <c r="L22" s="67">
        <f t="shared" si="6"/>
        <v>0.44444444444444442</v>
      </c>
      <c r="M22" s="176">
        <f t="shared" si="6"/>
        <v>0.4437869822485207</v>
      </c>
      <c r="N22" s="1"/>
    </row>
    <row r="23" spans="1:17" s="8" customFormat="1" ht="11.25" customHeight="1" thickBot="1">
      <c r="A23" s="9" t="s">
        <v>53</v>
      </c>
      <c r="B23" s="67">
        <f>IFERROR(B12/(B11+B12),0)</f>
        <v>0.86567164179104472</v>
      </c>
      <c r="C23" s="67">
        <f>IFERROR(C12/(C11+C12),0)</f>
        <v>0.92957746478873238</v>
      </c>
      <c r="D23" s="67">
        <f t="shared" ref="D23:M23" si="7">IFERROR(D12/(D11+D12),0)</f>
        <v>0.95522388059701491</v>
      </c>
      <c r="E23" s="67">
        <f t="shared" si="7"/>
        <v>0.95238095238095233</v>
      </c>
      <c r="F23" s="67">
        <f t="shared" si="7"/>
        <v>0.96385542168674698</v>
      </c>
      <c r="G23" s="67">
        <f t="shared" si="7"/>
        <v>0.88541666666666663</v>
      </c>
      <c r="H23" s="67">
        <f t="shared" si="7"/>
        <v>0.88505747126436785</v>
      </c>
      <c r="I23" s="67">
        <f t="shared" si="7"/>
        <v>0.89552238805970152</v>
      </c>
      <c r="J23" s="67">
        <f t="shared" si="7"/>
        <v>0.96703296703296704</v>
      </c>
      <c r="K23" s="117">
        <f t="shared" si="7"/>
        <v>0.95588235294117652</v>
      </c>
      <c r="L23" s="163">
        <f t="shared" si="7"/>
        <v>0.898876404494382</v>
      </c>
      <c r="M23" s="177">
        <f t="shared" si="7"/>
        <v>0.9375</v>
      </c>
      <c r="N23" s="4"/>
    </row>
    <row r="24" spans="1:17" s="8" customFormat="1" ht="11.25" customHeight="1" thickBot="1">
      <c r="A24" s="56" t="s">
        <v>21</v>
      </c>
      <c r="B24" s="50">
        <v>41275</v>
      </c>
      <c r="C24" s="47">
        <v>41306</v>
      </c>
      <c r="D24" s="47">
        <v>41334</v>
      </c>
      <c r="E24" s="47">
        <v>41365</v>
      </c>
      <c r="F24" s="47">
        <v>41395</v>
      </c>
      <c r="G24" s="47">
        <v>41426</v>
      </c>
      <c r="H24" s="47">
        <v>41456</v>
      </c>
      <c r="I24" s="47">
        <v>41487</v>
      </c>
      <c r="J24" s="47">
        <v>41518</v>
      </c>
      <c r="K24" s="47">
        <v>41548</v>
      </c>
      <c r="L24" s="47">
        <v>41579</v>
      </c>
      <c r="M24" s="51">
        <v>41609</v>
      </c>
    </row>
    <row r="25" spans="1:17" s="8" customFormat="1" ht="11.25" customHeight="1">
      <c r="A25" s="18" t="s">
        <v>5</v>
      </c>
      <c r="B25" s="68">
        <f>COUNTIFS(Jan!$B:$B,3044,Jan!$J:$J,18)</f>
        <v>14</v>
      </c>
      <c r="C25" s="68">
        <v>14</v>
      </c>
      <c r="D25" s="68">
        <v>15</v>
      </c>
      <c r="E25" s="68">
        <v>9</v>
      </c>
      <c r="F25" s="68">
        <v>11</v>
      </c>
      <c r="G25" s="68">
        <v>5</v>
      </c>
      <c r="H25" s="68">
        <v>19</v>
      </c>
      <c r="I25" s="68">
        <v>18</v>
      </c>
      <c r="J25" s="68">
        <v>11</v>
      </c>
      <c r="K25" s="68">
        <v>4</v>
      </c>
      <c r="L25" s="68">
        <v>13</v>
      </c>
      <c r="M25" s="68">
        <v>14</v>
      </c>
    </row>
    <row r="26" spans="1:17" s="8" customFormat="1" ht="11.25" customHeight="1">
      <c r="A26" s="46" t="s">
        <v>40</v>
      </c>
      <c r="B26" s="57">
        <f>COUNTIFS(Jan!$B:$B,3044,Jan!$J:$J,41)</f>
        <v>0</v>
      </c>
      <c r="C26" s="57">
        <f>COUNTIFS(Feb!$B:$B,3044,Feb!$J:$J,41)</f>
        <v>0</v>
      </c>
      <c r="D26" s="57">
        <f>COUNTIFS(Mar!$B:$B,3044,Mar!$J:$J,41)</f>
        <v>0</v>
      </c>
      <c r="E26" s="57">
        <f>COUNTIFS(Apr!$B:$B,3044,Apr!$J:$J,41)</f>
        <v>0</v>
      </c>
      <c r="F26" s="57">
        <v>2</v>
      </c>
      <c r="G26" s="57">
        <f>COUNTIFS(Jun!$B:$B,3044,Jun!$J:$J,41)</f>
        <v>0</v>
      </c>
      <c r="H26" s="57">
        <v>6</v>
      </c>
      <c r="I26" s="57">
        <v>4</v>
      </c>
      <c r="J26" s="57">
        <f>COUNTIFS(Sep!$B:$B,3044,Sep!$J:$J,41)</f>
        <v>0</v>
      </c>
      <c r="K26" s="57">
        <f>COUNTIFS(Oct!$B:$B,3044,Oct!$J:$J,41)</f>
        <v>0</v>
      </c>
      <c r="L26" s="57">
        <v>2</v>
      </c>
      <c r="M26" s="57">
        <v>0</v>
      </c>
    </row>
    <row r="27" spans="1:17" s="8" customFormat="1" ht="11.25" customHeight="1">
      <c r="A27" s="9" t="s">
        <v>11</v>
      </c>
      <c r="B27" s="179">
        <f>COUNTIFS(Jan!$B:$B,3044,Jan!$J:$J,17)</f>
        <v>126</v>
      </c>
      <c r="C27" s="206">
        <v>93</v>
      </c>
      <c r="D27" s="206">
        <v>101</v>
      </c>
      <c r="E27" s="206">
        <v>79</v>
      </c>
      <c r="F27" s="206">
        <v>99</v>
      </c>
      <c r="G27" s="206">
        <v>107</v>
      </c>
      <c r="H27" s="206">
        <v>122</v>
      </c>
      <c r="I27" s="206">
        <v>94</v>
      </c>
      <c r="J27" s="206">
        <v>104</v>
      </c>
      <c r="K27" s="206">
        <v>43</v>
      </c>
      <c r="L27" s="206">
        <v>107</v>
      </c>
      <c r="M27" s="206">
        <v>116</v>
      </c>
    </row>
    <row r="28" spans="1:17" s="8" customFormat="1" ht="11.25" customHeight="1">
      <c r="A28" s="9" t="s">
        <v>143</v>
      </c>
      <c r="B28" s="59">
        <f>COUNTIFS(Jan!$B:$B,3044,Jan!$F:$F,455)</f>
        <v>0</v>
      </c>
      <c r="C28" s="59">
        <f>COUNTIFS(Feb!$B:$B,3044,Feb!$F:$F,455)</f>
        <v>0</v>
      </c>
      <c r="D28" s="59">
        <f>COUNTIFS(Mar!$B:$B,3044,Mar!$F:$F,455)</f>
        <v>0</v>
      </c>
      <c r="E28" s="59">
        <f>COUNTIFS(Apr!$B:$B,3044,Apr!$F:$F,455)</f>
        <v>0</v>
      </c>
      <c r="F28" s="59">
        <f>COUNTIFS(May!$B:$B,3044,May!$F:$F,455)</f>
        <v>0</v>
      </c>
      <c r="G28" s="59">
        <f>COUNTIFS(Jun!$B:$B,3044,Jun!$F:$F,455)</f>
        <v>0</v>
      </c>
      <c r="H28" s="59">
        <f>COUNTIFS(Jul!$B:$B,3044,Jul!$F:$F,455)</f>
        <v>0</v>
      </c>
      <c r="I28" s="59">
        <f>COUNTIFS(Aug!$B:$B,3044,Aug!$F:$F,455)</f>
        <v>0</v>
      </c>
      <c r="J28" s="59">
        <f>COUNTIFS(Sep!$B:$B,3044,Sep!$F:$F,455)</f>
        <v>0</v>
      </c>
      <c r="K28" s="59">
        <f>COUNTIFS(Oct!$B:$B,3044,Oct!$F:$F,455)</f>
        <v>0</v>
      </c>
      <c r="L28" s="59">
        <f>COUNTIFS(Nov!$B:$B,3044,Nov!$F:$F,455)</f>
        <v>0</v>
      </c>
      <c r="M28" s="59">
        <v>0</v>
      </c>
    </row>
    <row r="29" spans="1:17" s="8" customFormat="1" ht="11.25" customHeight="1">
      <c r="A29" s="9" t="s">
        <v>23</v>
      </c>
      <c r="B29" s="59">
        <f>COUNTIFS(Jan!$B:$B,3044,Jan!$J:$J,31)</f>
        <v>0</v>
      </c>
      <c r="C29" s="59">
        <f>COUNTIFS(Feb!$B:$B,3044,Feb!$J:$J,31)</f>
        <v>0</v>
      </c>
      <c r="D29" s="59">
        <f>COUNTIFS(Mar!$B:$B,3044,Mar!$J:$J,31)</f>
        <v>0</v>
      </c>
      <c r="E29" s="59">
        <f>COUNTIFS(Apr!$B:$B,3044,Apr!$J:$J,31)</f>
        <v>0</v>
      </c>
      <c r="F29" s="59">
        <f>COUNTIFS(May!$B:$B,3044,May!$J:$J,31)</f>
        <v>0</v>
      </c>
      <c r="G29" s="59">
        <f>COUNTIFS(Jun!$B:$B,3044,Jun!$J:$J,31)</f>
        <v>0</v>
      </c>
      <c r="H29" s="59">
        <f>COUNTIFS(Jul!$B:$B,3044,Jul!$J:$J,31)</f>
        <v>0</v>
      </c>
      <c r="I29" s="59">
        <v>34</v>
      </c>
      <c r="J29" s="59">
        <v>31</v>
      </c>
      <c r="K29" s="59">
        <v>32</v>
      </c>
      <c r="L29" s="59">
        <v>30</v>
      </c>
      <c r="M29" s="59">
        <v>29</v>
      </c>
    </row>
    <row r="30" spans="1:17" s="8" customFormat="1" ht="11.25" customHeight="1">
      <c r="A30" s="9" t="s">
        <v>37</v>
      </c>
      <c r="B30" s="59">
        <f>COUNTIFS(Jan!$B:$B,3044,Jan!$J:$J,4400)</f>
        <v>0</v>
      </c>
      <c r="C30" s="59">
        <v>1</v>
      </c>
      <c r="D30" s="59">
        <f>COUNTIFS(Mar!$B:$B,3044,Mar!$J:$J,4400)</f>
        <v>0</v>
      </c>
      <c r="E30" s="59">
        <f>COUNTIFS(Apr!$B:$B,3044,Apr!$J:$J,4400)</f>
        <v>0</v>
      </c>
      <c r="F30" s="59">
        <f>COUNTIFS(May!$B:$B,3044,May!$J:$J,4400)</f>
        <v>0</v>
      </c>
      <c r="G30" s="59">
        <f>COUNTIFS(Jun!$B:$B,3044,Jun!$J:$J,4400)</f>
        <v>0</v>
      </c>
      <c r="H30" s="59">
        <f>COUNTIFS(Jul!$B:$B,3044,Jul!$J:$J,4400)</f>
        <v>0</v>
      </c>
      <c r="I30" s="59">
        <f>COUNTIFS(Aug!$B:$B,3044,Aug!$J:$J,4400)</f>
        <v>0</v>
      </c>
      <c r="J30" s="59">
        <f>COUNTIFS(Sep!$B:$B,3044,Sep!$J:$J,4400)</f>
        <v>0</v>
      </c>
      <c r="K30" s="59">
        <f>COUNTIFS(Oct!$B:$B,3044,Oct!$J:$J,4400)</f>
        <v>0</v>
      </c>
      <c r="L30" s="59">
        <f>COUNTIFS(Nov!$B:$B,3044,Nov!$J:$J,4400)</f>
        <v>0</v>
      </c>
      <c r="M30" s="59">
        <v>0</v>
      </c>
    </row>
    <row r="31" spans="1:17" s="8" customFormat="1" ht="11.25" customHeight="1">
      <c r="A31" s="10" t="s">
        <v>24</v>
      </c>
      <c r="B31" s="59">
        <f>COUNTIFS(Jan!$B:$B,3044,Jan!$J:$J,30)</f>
        <v>0</v>
      </c>
      <c r="C31" s="59">
        <f>COUNTIFS(Feb!$B:$B,3044,Feb!$J:$J,30)</f>
        <v>0</v>
      </c>
      <c r="D31" s="59">
        <f>COUNTIFS(Mar!$B:$B,3044,Mar!$J:$J,30)</f>
        <v>0</v>
      </c>
      <c r="E31" s="59">
        <f>COUNTIFS(Apr!$B:$B,3044,Apr!$J:$J,30)</f>
        <v>0</v>
      </c>
      <c r="F31" s="59">
        <f>COUNTIFS(May!$B:$B,3044,May!$J:$J,30)</f>
        <v>0</v>
      </c>
      <c r="G31" s="59">
        <f>COUNTIFS(Jun!$B:$B,3044,Jun!$J:$J,30)</f>
        <v>0</v>
      </c>
      <c r="H31" s="59">
        <f>COUNTIFS(Jul!$B:$B,3044,Jul!$J:$J,30)</f>
        <v>0</v>
      </c>
      <c r="I31" s="59">
        <f>COUNTIFS(Aug!$B:$B,3044,Aug!$J:$J,30)</f>
        <v>0</v>
      </c>
      <c r="J31" s="59">
        <f>COUNTIFS(Sep!$B:$B,3044,Sep!$J:$J,30)</f>
        <v>0</v>
      </c>
      <c r="K31" s="59">
        <f>COUNTIFS(Oct!$B:$B,3044,Oct!$J:$J,30)</f>
        <v>0</v>
      </c>
      <c r="L31" s="59">
        <f>COUNTIFS(Nov!$B:$B,3044,Nov!$J:$J,30)</f>
        <v>0</v>
      </c>
      <c r="M31" s="59">
        <v>0</v>
      </c>
    </row>
    <row r="32" spans="1:17" s="14" customFormat="1" ht="11.25" customHeight="1" thickBot="1">
      <c r="A32" s="2" t="s">
        <v>140</v>
      </c>
      <c r="B32" s="60">
        <f>SUM(B25:B31)</f>
        <v>140</v>
      </c>
      <c r="C32" s="60">
        <f t="shared" ref="C32:M32" si="8">SUM(C25:C31)</f>
        <v>108</v>
      </c>
      <c r="D32" s="60">
        <f t="shared" si="8"/>
        <v>116</v>
      </c>
      <c r="E32" s="60">
        <f t="shared" si="8"/>
        <v>88</v>
      </c>
      <c r="F32" s="60">
        <f t="shared" si="8"/>
        <v>112</v>
      </c>
      <c r="G32" s="60">
        <f t="shared" si="8"/>
        <v>112</v>
      </c>
      <c r="H32" s="60">
        <f t="shared" si="8"/>
        <v>147</v>
      </c>
      <c r="I32" s="60">
        <f t="shared" si="8"/>
        <v>150</v>
      </c>
      <c r="J32" s="60">
        <f t="shared" si="8"/>
        <v>146</v>
      </c>
      <c r="K32" s="60">
        <f t="shared" si="8"/>
        <v>79</v>
      </c>
      <c r="L32" s="159">
        <f t="shared" si="8"/>
        <v>152</v>
      </c>
      <c r="M32" s="170">
        <f t="shared" si="8"/>
        <v>159</v>
      </c>
    </row>
    <row r="33" spans="1:13" ht="12" customHeight="1" thickBot="1">
      <c r="A33" s="55" t="s">
        <v>136</v>
      </c>
      <c r="B33" s="50">
        <v>41275</v>
      </c>
      <c r="C33" s="47">
        <v>41306</v>
      </c>
      <c r="D33" s="47">
        <v>41334</v>
      </c>
      <c r="E33" s="47">
        <v>41365</v>
      </c>
      <c r="F33" s="47">
        <v>41395</v>
      </c>
      <c r="G33" s="47">
        <v>41426</v>
      </c>
      <c r="H33" s="47">
        <v>41456</v>
      </c>
      <c r="I33" s="47">
        <v>41487</v>
      </c>
      <c r="J33" s="47">
        <v>41518</v>
      </c>
      <c r="K33" s="47">
        <v>41548</v>
      </c>
      <c r="L33" s="47">
        <v>41579</v>
      </c>
      <c r="M33" s="51">
        <v>41609</v>
      </c>
    </row>
    <row r="34" spans="1:13" s="8" customFormat="1" ht="11.25" customHeight="1">
      <c r="A34" s="46" t="s">
        <v>33</v>
      </c>
      <c r="B34" s="57">
        <f>COUNTIFS(Jan!$B:$B,3044,Jan!$J:$J,40)</f>
        <v>3</v>
      </c>
      <c r="C34" s="57">
        <f>COUNTIFS(Feb!$B:$B,3044,Feb!$J:$J,40)</f>
        <v>0</v>
      </c>
      <c r="D34" s="57">
        <v>1</v>
      </c>
      <c r="E34" s="57">
        <v>1</v>
      </c>
      <c r="F34" s="57">
        <f>COUNTIFS(May!$B:$B,3044,May!$J:$J,40)</f>
        <v>0</v>
      </c>
      <c r="G34" s="57">
        <v>2</v>
      </c>
      <c r="H34" s="57">
        <f>COUNTIFS(Jul!$B:$B,3044,Jul!$J:$J,40)</f>
        <v>0</v>
      </c>
      <c r="I34" s="57">
        <f>COUNTIFS(Aug!$B:$B,3044,Aug!$J:$J,40)</f>
        <v>0</v>
      </c>
      <c r="J34" s="57">
        <v>1</v>
      </c>
      <c r="K34" s="57">
        <v>2</v>
      </c>
      <c r="L34" s="57">
        <v>1</v>
      </c>
      <c r="M34" s="57">
        <v>0</v>
      </c>
    </row>
    <row r="35" spans="1:13" s="8" customFormat="1" ht="11.25" customHeight="1">
      <c r="A35" s="10" t="s">
        <v>4</v>
      </c>
      <c r="B35" s="59">
        <f>COUNTIFS(Jan!$B:$B,3044,Jan!$J:$J,15)</f>
        <v>0</v>
      </c>
      <c r="C35" s="59">
        <f>COUNTIFS(Feb!$B:$B,3044,Feb!$J:$J,15)</f>
        <v>0</v>
      </c>
      <c r="D35" s="59">
        <f>COUNTIFS(Mar!$B:$B,3044,Mar!$J:$J,15)</f>
        <v>0</v>
      </c>
      <c r="E35" s="59">
        <f>COUNTIFS(Apr!$B:$B,3044,Apr!$J:$J,15)</f>
        <v>0</v>
      </c>
      <c r="F35" s="59">
        <f>COUNTIFS(May!$B:$B,3044,May!$J:$J,15)</f>
        <v>0</v>
      </c>
      <c r="G35" s="59">
        <f>COUNTIFS(Jun!$B:$B,3044,Jun!$J:$J,15)</f>
        <v>0</v>
      </c>
      <c r="H35" s="59">
        <f>COUNTIFS(Jul!$B:$B,3044,Jul!$J:$J,15)</f>
        <v>0</v>
      </c>
      <c r="I35" s="59">
        <f>COUNTIFS(Aug!$B:$B,3044,Aug!$J:$J,15)</f>
        <v>0</v>
      </c>
      <c r="J35" s="59">
        <v>1</v>
      </c>
      <c r="K35" s="59">
        <f>COUNTIFS(Oct!$B:$B,3044,Oct!$J:$J,15)</f>
        <v>0</v>
      </c>
      <c r="L35" s="59">
        <f>COUNTIFS(Nov!$B:$B,3044,Nov!$J:$J,15)</f>
        <v>0</v>
      </c>
      <c r="M35" s="59">
        <v>0</v>
      </c>
    </row>
    <row r="36" spans="1:13" s="8" customFormat="1" ht="11.25" customHeight="1">
      <c r="A36" s="10" t="s">
        <v>39</v>
      </c>
      <c r="B36" s="59">
        <f>COUNTIFS(Jan!$B:$B,3044,Jan!$J:$J,29)</f>
        <v>8</v>
      </c>
      <c r="C36" s="59">
        <v>9</v>
      </c>
      <c r="D36" s="59">
        <v>5</v>
      </c>
      <c r="E36" s="59">
        <v>4</v>
      </c>
      <c r="F36" s="59">
        <v>4</v>
      </c>
      <c r="G36" s="59">
        <v>7</v>
      </c>
      <c r="H36" s="59">
        <v>8</v>
      </c>
      <c r="I36" s="59">
        <v>15</v>
      </c>
      <c r="J36" s="59">
        <v>9</v>
      </c>
      <c r="K36" s="59">
        <v>14</v>
      </c>
      <c r="L36" s="59">
        <v>8</v>
      </c>
      <c r="M36" s="59">
        <v>10</v>
      </c>
    </row>
    <row r="37" spans="1:13" s="8" customFormat="1" ht="11.25" customHeight="1">
      <c r="A37" s="10" t="s">
        <v>3</v>
      </c>
      <c r="B37" s="59">
        <f>COUNTIFS(Jan!$B:$B,3044,Jan!$J:$J,13)</f>
        <v>0</v>
      </c>
      <c r="C37" s="59">
        <f>COUNTIFS(Feb!$B:$B,3044,Feb!$J:$J,13)</f>
        <v>0</v>
      </c>
      <c r="D37" s="59">
        <f>COUNTIFS(Mar!$B:$B,3044,Mar!$J:$J,13)</f>
        <v>0</v>
      </c>
      <c r="E37" s="59">
        <f>COUNTIFS(Apr!$B:$B,3044,Apr!$J:$J,13)</f>
        <v>0</v>
      </c>
      <c r="F37" s="59">
        <f>COUNTIFS(May!$B:$B,3044,May!$J:$J,13)</f>
        <v>0</v>
      </c>
      <c r="G37" s="59">
        <f>COUNTIFS(Jun!$B:$B,3044,Jun!$J:$J,13)</f>
        <v>0</v>
      </c>
      <c r="H37" s="59">
        <f>COUNTIFS(Jul!$B:$B,3044,Jul!$J:$J,13)</f>
        <v>0</v>
      </c>
      <c r="I37" s="59">
        <f>COUNTIFS(Aug!$B:$B,3044,Aug!$J:$J,13)</f>
        <v>0</v>
      </c>
      <c r="J37" s="59">
        <f>COUNTIFS(Sep!$B:$B,3044,Sep!$J:$J,13)</f>
        <v>0</v>
      </c>
      <c r="K37" s="59">
        <v>1</v>
      </c>
      <c r="L37" s="59">
        <f>COUNTIFS(Nov!$B:$B,3044,Nov!$J:$J,13)</f>
        <v>0</v>
      </c>
      <c r="M37" s="59">
        <v>0</v>
      </c>
    </row>
    <row r="38" spans="1:13" s="8" customFormat="1" ht="11.25" customHeight="1">
      <c r="A38" s="9" t="s">
        <v>218</v>
      </c>
      <c r="B38" s="59">
        <f>COUNTIFS(Jan!$B:$B,3044,Jan!$J:$J,43)</f>
        <v>0</v>
      </c>
      <c r="C38" s="59">
        <f>COUNTIFS(Feb!$B:$B,3044,Feb!$J:$J,43)</f>
        <v>0</v>
      </c>
      <c r="D38" s="59">
        <f>COUNTIFS(Mar!$B:$B,3044,Mar!$J:$J,43)</f>
        <v>0</v>
      </c>
      <c r="E38" s="59">
        <f>COUNTIFS(Apr!$B:$B,3044,Apr!$J:$J,43)</f>
        <v>0</v>
      </c>
      <c r="F38" s="59">
        <f>COUNTIFS(May!$B:$B,3044,May!$J:$J,43)</f>
        <v>0</v>
      </c>
      <c r="G38" s="59">
        <f>COUNTIFS(Jun!$B:$B,3044,Jun!$J:$J,43)</f>
        <v>0</v>
      </c>
      <c r="H38" s="59">
        <f>COUNTIFS(Jul!$B:$B,3044,Jul!$J:$J,43)</f>
        <v>0</v>
      </c>
      <c r="I38" s="59">
        <f>COUNTIFS(Aug!$B:$B,3044,Aug!$J:$J,43)</f>
        <v>0</v>
      </c>
      <c r="J38" s="59">
        <f>COUNTIFS(Sep!$B:$B,3044,Sep!$J:$J,43)</f>
        <v>0</v>
      </c>
      <c r="K38" s="59">
        <f>COUNTIFS(Oct!$B:$B,3044,Oct!$J:$J,43)</f>
        <v>0</v>
      </c>
      <c r="L38" s="59">
        <f>COUNTIFS(Nov!$B:$B,3044,Nov!$J:$J,43)</f>
        <v>0</v>
      </c>
      <c r="M38" s="59">
        <v>0</v>
      </c>
    </row>
    <row r="39" spans="1:13" s="8" customFormat="1" ht="11.25" customHeight="1">
      <c r="A39" s="10" t="s">
        <v>25</v>
      </c>
      <c r="B39" s="59">
        <f>COUNTIFS(Jan!$B:$B,3044,Jan!$J:$J,24)</f>
        <v>19</v>
      </c>
      <c r="C39" s="59">
        <v>12</v>
      </c>
      <c r="D39" s="59">
        <v>19</v>
      </c>
      <c r="E39" s="59">
        <v>10</v>
      </c>
      <c r="F39" s="59">
        <v>13</v>
      </c>
      <c r="G39" s="59">
        <v>15</v>
      </c>
      <c r="H39" s="59">
        <v>18</v>
      </c>
      <c r="I39" s="59">
        <v>20</v>
      </c>
      <c r="J39" s="59">
        <v>18</v>
      </c>
      <c r="K39" s="59">
        <v>16</v>
      </c>
      <c r="L39" s="59">
        <v>19</v>
      </c>
      <c r="M39" s="59">
        <v>19</v>
      </c>
    </row>
    <row r="40" spans="1:13" s="8" customFormat="1" ht="11.25" customHeight="1">
      <c r="A40" s="10" t="s">
        <v>34</v>
      </c>
      <c r="B40" s="59">
        <f>COUNTIFS(Jan!$B:$B,3044,Jan!$J:$J,9)</f>
        <v>0</v>
      </c>
      <c r="C40" s="59">
        <f>COUNTIFS(Feb!$B:$B,3044,Feb!$J:$J,9)</f>
        <v>0</v>
      </c>
      <c r="D40" s="59">
        <f>COUNTIFS(Mar!$B:$B,3044,Mar!$J:$J,9)</f>
        <v>0</v>
      </c>
      <c r="E40" s="59">
        <f>COUNTIFS(Apr!$B:$B,3044,Apr!$J:$J,9)</f>
        <v>0</v>
      </c>
      <c r="F40" s="59">
        <f>COUNTIFS(May!$B:$B,3044,May!$J:$J,9)</f>
        <v>0</v>
      </c>
      <c r="G40" s="59">
        <v>1</v>
      </c>
      <c r="H40" s="59">
        <v>14</v>
      </c>
      <c r="I40" s="59">
        <f>COUNTIFS(Aug!$B:$B,3044,Aug!$J:$J,9)</f>
        <v>0</v>
      </c>
      <c r="J40" s="59">
        <f>COUNTIFS(Sep!$B:$B,3044,Sep!$J:$J,9)</f>
        <v>0</v>
      </c>
      <c r="K40" s="59">
        <f>COUNTIFS(Oct!$B:$B,3044,Oct!$J:$J,9)</f>
        <v>0</v>
      </c>
      <c r="L40" s="59">
        <f>COUNTIFS(Nov!$B:$B,3044,Nov!$J:$J,9)</f>
        <v>0</v>
      </c>
      <c r="M40" s="59">
        <v>0</v>
      </c>
    </row>
    <row r="41" spans="1:13" s="8" customFormat="1" ht="11.25" customHeight="1">
      <c r="A41" s="10" t="s">
        <v>31</v>
      </c>
      <c r="B41" s="59">
        <f>COUNTIFS(Jan!$B:$B,3044,Jan!$J:$J,10)</f>
        <v>0</v>
      </c>
      <c r="C41" s="59">
        <f>COUNTIFS(Feb!$B:$B,3044,Feb!$J:$J,10)</f>
        <v>0</v>
      </c>
      <c r="D41" s="59">
        <v>1</v>
      </c>
      <c r="E41" s="59">
        <f>COUNTIFS(Apr!$B:$B,3044,Apr!$J:$J,10)</f>
        <v>0</v>
      </c>
      <c r="F41" s="59">
        <v>6</v>
      </c>
      <c r="G41" s="59">
        <v>3</v>
      </c>
      <c r="H41" s="59">
        <v>1</v>
      </c>
      <c r="I41" s="59">
        <v>1</v>
      </c>
      <c r="J41" s="59">
        <f>COUNTIFS(Sep!$B:$B,3044,Sep!$J:$J,10)</f>
        <v>0</v>
      </c>
      <c r="K41" s="59">
        <f>COUNTIFS(Oct!$B:$B,3044,Oct!$J:$J,10)</f>
        <v>0</v>
      </c>
      <c r="L41" s="59">
        <f>COUNTIFS(Nov!$B:$B,3044,Nov!$J:$J,10)</f>
        <v>0</v>
      </c>
      <c r="M41" s="59">
        <v>0</v>
      </c>
    </row>
    <row r="42" spans="1:13" s="8" customFormat="1" ht="11.25" customHeight="1">
      <c r="A42" s="10" t="s">
        <v>144</v>
      </c>
      <c r="B42" s="59">
        <f>COUNTIFS(Jan!$B:$B,3044,Jan!$F:$F,462)</f>
        <v>0</v>
      </c>
      <c r="C42" s="59">
        <f>COUNTIFS(Feb!$B:$B,3044,Feb!$F:$F,462)</f>
        <v>0</v>
      </c>
      <c r="D42" s="59">
        <f>COUNTIFS(Mar!$B:$B,3044,Mar!$F:$F,462)</f>
        <v>0</v>
      </c>
      <c r="E42" s="59">
        <f>COUNTIFS(Apr!$B:$B,3044,Apr!$F:$F,462)</f>
        <v>0</v>
      </c>
      <c r="F42" s="59">
        <f>COUNTIFS(May!$B:$B,3044,May!$F:$F,462)</f>
        <v>0</v>
      </c>
      <c r="G42" s="59">
        <f>COUNTIFS(Jun!$B:$B,3044,Jun!$F:$F,462)</f>
        <v>0</v>
      </c>
      <c r="H42" s="59">
        <f>COUNTIFS(Jul!$B:$B,3044,Jul!$F:$F,462)</f>
        <v>0</v>
      </c>
      <c r="I42" s="59">
        <f>COUNTIFS(Aug!$B:$B,3044,Aug!$F:$F,462)</f>
        <v>0</v>
      </c>
      <c r="J42" s="59">
        <f>COUNTIFS(Sep!$B:$B,3044,Sep!$F:$F,462)</f>
        <v>0</v>
      </c>
      <c r="K42" s="59">
        <f>COUNTIFS(Oct!$B:$B,3044,Oct!$F:$F,462)</f>
        <v>0</v>
      </c>
      <c r="L42" s="59">
        <f>COUNTIFS(Nov!$B:$B,3044,Nov!$F:$F,462)</f>
        <v>0</v>
      </c>
      <c r="M42" s="59">
        <v>0</v>
      </c>
    </row>
    <row r="43" spans="1:13" s="8" customFormat="1" ht="11.25" customHeight="1">
      <c r="A43" s="10" t="s">
        <v>1</v>
      </c>
      <c r="B43" s="59">
        <f>COUNTIFS(Jan!$B:$B,3044,Jan!$J:$J,11)</f>
        <v>2</v>
      </c>
      <c r="C43" s="59">
        <v>1</v>
      </c>
      <c r="D43" s="59">
        <v>9</v>
      </c>
      <c r="E43" s="59">
        <v>1</v>
      </c>
      <c r="F43" s="59">
        <v>2</v>
      </c>
      <c r="G43" s="59">
        <f>COUNTIFS(Jun!$B:$B,3044,Jun!$J:$J,11)</f>
        <v>0</v>
      </c>
      <c r="H43" s="59">
        <v>4</v>
      </c>
      <c r="I43" s="59">
        <v>2</v>
      </c>
      <c r="J43" s="59">
        <v>1</v>
      </c>
      <c r="K43" s="59">
        <v>1</v>
      </c>
      <c r="L43" s="59">
        <v>1</v>
      </c>
      <c r="M43" s="59">
        <v>1</v>
      </c>
    </row>
    <row r="44" spans="1:13" s="8" customFormat="1" ht="11.25" customHeight="1">
      <c r="A44" s="10" t="s">
        <v>26</v>
      </c>
      <c r="B44" s="59">
        <f>COUNTIFS(Jan!$B:$B,3044,Jan!$J:$J,20)</f>
        <v>0</v>
      </c>
      <c r="C44" s="59">
        <f>COUNTIFS(Feb!$B:$B,3044,Feb!$J:$J,20)</f>
        <v>0</v>
      </c>
      <c r="D44" s="59">
        <f>COUNTIFS(Mar!$B:$B,3044,Mar!$J:$J,20)</f>
        <v>0</v>
      </c>
      <c r="E44" s="59">
        <f>COUNTIFS(Apr!$B:$B,3044,Apr!$J:$J,20)</f>
        <v>0</v>
      </c>
      <c r="F44" s="59">
        <f>COUNTIFS(May!$B:$B,3044,May!$J:$J,20)</f>
        <v>0</v>
      </c>
      <c r="G44" s="59">
        <f>COUNTIFS(Jun!$B:$B,3044,Jun!$J:$J,20)</f>
        <v>0</v>
      </c>
      <c r="H44" s="59">
        <f>COUNTIFS(Jul!$B:$B,3044,Jul!$J:$J,20)</f>
        <v>0</v>
      </c>
      <c r="I44" s="59">
        <f>COUNTIFS(Aug!$B:$B,3044,Aug!$J:$J,20)</f>
        <v>0</v>
      </c>
      <c r="J44" s="59">
        <f>COUNTIFS(Sep!$B:$B,3044,Sep!$J:$J,20)</f>
        <v>0</v>
      </c>
      <c r="K44" s="59">
        <f>COUNTIFS(Oct!$B:$B,3044,Oct!$J:$J,20)</f>
        <v>0</v>
      </c>
      <c r="L44" s="59">
        <f>COUNTIFS(Nov!$B:$B,3044,Nov!$J:$J,20)</f>
        <v>0</v>
      </c>
      <c r="M44" s="59">
        <v>0</v>
      </c>
    </row>
    <row r="45" spans="1:13" s="8" customFormat="1" ht="11.25" customHeight="1">
      <c r="A45" s="10" t="s">
        <v>32</v>
      </c>
      <c r="B45" s="59">
        <f>COUNTIFS(Jan!$B:$B,3044,Jan!$J:$J,2)</f>
        <v>7</v>
      </c>
      <c r="C45" s="59">
        <v>9</v>
      </c>
      <c r="D45" s="59">
        <v>4</v>
      </c>
      <c r="E45" s="59">
        <v>9</v>
      </c>
      <c r="F45" s="59">
        <v>8</v>
      </c>
      <c r="G45" s="59">
        <v>7</v>
      </c>
      <c r="H45" s="59">
        <v>10</v>
      </c>
      <c r="I45" s="59">
        <v>15</v>
      </c>
      <c r="J45" s="59">
        <v>8</v>
      </c>
      <c r="K45" s="59">
        <v>6</v>
      </c>
      <c r="L45" s="59">
        <f>COUNTIFS(Nov!$B:$B,3044,Nov!$J:$J,2)</f>
        <v>0</v>
      </c>
      <c r="M45" s="59">
        <v>14</v>
      </c>
    </row>
    <row r="46" spans="1:13" s="8" customFormat="1" ht="11.25" customHeight="1">
      <c r="A46" s="10" t="s">
        <v>28</v>
      </c>
      <c r="B46" s="59">
        <f>COUNTIFS(Jan!$B:$B,3044,Jan!$J:$J,1700)+COUNTIFS(Jan!$B:$B,3044,Jan!$F:$F,1700)+COUNTIFS(Jan!$B:$B,3044,Jan!$J:$J,19)</f>
        <v>0</v>
      </c>
      <c r="C46" s="59">
        <f>COUNTIFS(Feb!$B:$B,3044,Feb!$J:$J,1700)+COUNTIFS(Feb!$B:$B,3044,Feb!$F:$F,1700)+COUNTIFS(Feb!$B:$B,3044,Feb!$J:$J,19)</f>
        <v>0</v>
      </c>
      <c r="D46" s="59">
        <f>COUNTIFS(Mar!$B:$B,3044,Mar!$J:$J,1700)+COUNTIFS(Mar!$B:$B,3044,Mar!$F:$F,1700)+COUNTIFS(Mar!$B:$B,3044,Mar!$J:$J,19)</f>
        <v>0</v>
      </c>
      <c r="E46" s="59">
        <f>COUNTIFS(Apr!$B:$B,3044,Apr!$J:$J,1700)+COUNTIFS(Apr!$B:$B,3044,Apr!$F:$F,1700)+COUNTIFS(Apr!$B:$B,3044,Apr!$J:$J,19)</f>
        <v>0</v>
      </c>
      <c r="F46" s="59">
        <f>COUNTIFS(May!$B:$B,3044,May!$J:$J,1700)+COUNTIFS(May!$B:$B,3044,May!$F:$F,1700)+COUNTIFS(May!$B:$B,3044,May!$J:$J,19)</f>
        <v>0</v>
      </c>
      <c r="G46" s="59">
        <f>COUNTIFS(Jun!$B:$B,3044,Jun!$J:$J,1700)+COUNTIFS(Jun!$B:$B,3044,Jun!$F:$F,1700)+COUNTIFS(Jun!$B:$B,3044,Jun!$J:$J,19)</f>
        <v>0</v>
      </c>
      <c r="H46" s="59">
        <f>COUNTIFS(Jul!$B:$B,3044,Jul!$J:$J,1700)+COUNTIFS(Jul!$B:$B,3044,Jul!$F:$F,1700)+COUNTIFS(Jul!$B:$B,3044,Jul!$J:$J,19)</f>
        <v>0</v>
      </c>
      <c r="I46" s="59">
        <v>2</v>
      </c>
      <c r="J46" s="59">
        <f>COUNTIFS(Sep!$B:$B,3044,Sep!$J:$J,1700)+COUNTIFS(Sep!$B:$B,3044,Sep!$F:$F,1700)+COUNTIFS(Sep!$B:$B,3044,Sep!$J:$J,19)</f>
        <v>0</v>
      </c>
      <c r="K46" s="59">
        <v>1</v>
      </c>
      <c r="L46" s="59">
        <v>13</v>
      </c>
      <c r="M46" s="59">
        <v>2</v>
      </c>
    </row>
    <row r="47" spans="1:13" s="8" customFormat="1" ht="11.25" customHeight="1">
      <c r="A47" s="10" t="s">
        <v>0</v>
      </c>
      <c r="B47" s="59">
        <f>COUNTIFS(Jan!$B:$B,3044,Jan!$J:$J,3)</f>
        <v>11</v>
      </c>
      <c r="C47" s="59">
        <v>14</v>
      </c>
      <c r="D47" s="59">
        <v>17</v>
      </c>
      <c r="E47" s="59">
        <v>7</v>
      </c>
      <c r="F47" s="59">
        <v>17</v>
      </c>
      <c r="G47" s="59">
        <v>10</v>
      </c>
      <c r="H47" s="59">
        <v>16</v>
      </c>
      <c r="I47" s="59">
        <v>22</v>
      </c>
      <c r="J47" s="59">
        <v>15</v>
      </c>
      <c r="K47" s="59">
        <v>6</v>
      </c>
      <c r="L47" s="59">
        <v>23</v>
      </c>
      <c r="M47" s="59">
        <v>15</v>
      </c>
    </row>
    <row r="48" spans="1:13" s="8" customFormat="1" ht="11.25" customHeight="1">
      <c r="A48" s="10" t="s">
        <v>35</v>
      </c>
      <c r="B48" s="59">
        <f>COUNTIFS(Jan!$B:$B,3044,Jan!$J:$J,7400)</f>
        <v>0</v>
      </c>
      <c r="C48" s="59">
        <f>COUNTIFS(Feb!$B:$B,3044,Feb!$J:$J,7400)</f>
        <v>0</v>
      </c>
      <c r="D48" s="59">
        <f>COUNTIFS(Mar!$B:$B,3044,Mar!$J:$J,7400)</f>
        <v>0</v>
      </c>
      <c r="E48" s="59">
        <f>COUNTIFS(Apr!$B:$B,3044,Apr!$J:$J,7400)</f>
        <v>0</v>
      </c>
      <c r="F48" s="59">
        <f>COUNTIFS(May!$B:$B,3044,May!$J:$J,7400)</f>
        <v>0</v>
      </c>
      <c r="G48" s="59">
        <f>COUNTIFS(Jun!$B:$B,3044,Jun!$J:$J,7400)</f>
        <v>0</v>
      </c>
      <c r="H48" s="59">
        <f>COUNTIFS(Jul!$B:$B,3044,Jul!$J:$J,7400)</f>
        <v>0</v>
      </c>
      <c r="I48" s="59">
        <f>COUNTIFS(Aug!$B:$B,3044,Aug!$J:$J,7400)</f>
        <v>0</v>
      </c>
      <c r="J48" s="59">
        <f>COUNTIFS(Sep!$B:$B,3044,Sep!$J:$J,7400)</f>
        <v>0</v>
      </c>
      <c r="K48" s="59">
        <f>COUNTIFS(Oct!$B:$B,3044,Oct!$J:$J,7400)</f>
        <v>0</v>
      </c>
      <c r="L48" s="59">
        <f>COUNTIFS(Nov!$B:$B,3044,Nov!$J:$J,7400)</f>
        <v>0</v>
      </c>
      <c r="M48" s="59">
        <v>0</v>
      </c>
    </row>
    <row r="49" spans="1:13" s="8" customFormat="1" ht="11.25" customHeight="1">
      <c r="A49" s="10" t="s">
        <v>2</v>
      </c>
      <c r="B49" s="59">
        <f>COUNTIFS(Jan!$B:$B,3044,Jan!$J:$J,14)</f>
        <v>0</v>
      </c>
      <c r="C49" s="59">
        <f>COUNTIFS(Feb!$B:$B,3044,Feb!$J:$J,14)</f>
        <v>0</v>
      </c>
      <c r="D49" s="59">
        <f>COUNTIFS(Mar!$B:$B,3044,Mar!$J:$J,14)</f>
        <v>0</v>
      </c>
      <c r="E49" s="59">
        <f>COUNTIFS(Apr!$B:$B,3044,Apr!$J:$J,14)</f>
        <v>0</v>
      </c>
      <c r="F49" s="59">
        <f>COUNTIFS(May!$B:$B,3044,May!$J:$J,14)</f>
        <v>0</v>
      </c>
      <c r="G49" s="59">
        <f>COUNTIFS(Jun!$B:$B,3044,Jun!$J:$J,14)</f>
        <v>0</v>
      </c>
      <c r="H49" s="59">
        <f>COUNTIFS(Jul!$B:$B,3044,Jul!$J:$J,14)</f>
        <v>0</v>
      </c>
      <c r="I49" s="59">
        <f>COUNTIFS(Aug!$B:$B,3044,Aug!$J:$J,14)</f>
        <v>0</v>
      </c>
      <c r="J49" s="59">
        <f>COUNTIFS(Sep!$B:$B,3044,Sep!$J:$J,14)</f>
        <v>0</v>
      </c>
      <c r="K49" s="59">
        <f>COUNTIFS(Oct!$B:$B,3044,Oct!$J:$J,14)</f>
        <v>0</v>
      </c>
      <c r="L49" s="59">
        <f>COUNTIFS(Nov!$B:$B,3044,Nov!$J:$J,14)</f>
        <v>0</v>
      </c>
      <c r="M49" s="59">
        <v>0</v>
      </c>
    </row>
    <row r="50" spans="1:13" s="8" customFormat="1" ht="11.25" customHeight="1">
      <c r="A50" s="10" t="s">
        <v>142</v>
      </c>
      <c r="B50" s="59">
        <f>COUNTIFS(Jan!$B:$B,3044,Jan!$F:$F,466)</f>
        <v>30</v>
      </c>
      <c r="C50" s="59">
        <v>16</v>
      </c>
      <c r="D50" s="59">
        <v>27</v>
      </c>
      <c r="E50" s="59">
        <v>19</v>
      </c>
      <c r="F50" s="59">
        <v>19</v>
      </c>
      <c r="G50" s="59">
        <v>7</v>
      </c>
      <c r="H50" s="59">
        <v>8</v>
      </c>
      <c r="I50" s="59">
        <v>1</v>
      </c>
      <c r="J50" s="59">
        <v>7</v>
      </c>
      <c r="K50" s="59">
        <v>16</v>
      </c>
      <c r="L50" s="59">
        <v>25</v>
      </c>
      <c r="M50" s="59">
        <v>28</v>
      </c>
    </row>
    <row r="51" spans="1:13" s="8" customFormat="1" ht="11.25" customHeight="1">
      <c r="A51" s="10" t="s">
        <v>27</v>
      </c>
      <c r="B51" s="59">
        <f>COUNTIFS(Jan!$B:$B,3044,Jan!$J:$J,25)</f>
        <v>0</v>
      </c>
      <c r="C51" s="59">
        <f>COUNTIFS(Feb!$B:$B,3044,Feb!$J:$J,25)</f>
        <v>0</v>
      </c>
      <c r="D51" s="59">
        <f>COUNTIFS(Mar!$B:$B,3044,Mar!$J:$J,25)</f>
        <v>0</v>
      </c>
      <c r="E51" s="59">
        <f>COUNTIFS(Apr!$B:$B,3044,Apr!$J:$J,25)</f>
        <v>0</v>
      </c>
      <c r="F51" s="59">
        <f>COUNTIFS(May!$B:$B,3044,May!$J:$J,25)</f>
        <v>0</v>
      </c>
      <c r="G51" s="59">
        <f>COUNTIFS(Jun!$B:$B,3044,Jun!$J:$J,25)</f>
        <v>0</v>
      </c>
      <c r="H51" s="59">
        <f>COUNTIFS(Jul!$B:$B,3044,Jul!$J:$J,25)</f>
        <v>0</v>
      </c>
      <c r="I51" s="59">
        <f>COUNTIFS(Aug!$B:$B,3044,Aug!$J:$J,25)</f>
        <v>0</v>
      </c>
      <c r="J51" s="59">
        <f>COUNTIFS(Sep!$B:$B,3044,Sep!$J:$J,25)</f>
        <v>0</v>
      </c>
      <c r="K51" s="59">
        <f>COUNTIFS(Oct!$B:$B,3044,Oct!$J:$J,25)</f>
        <v>0</v>
      </c>
      <c r="L51" s="59">
        <v>1</v>
      </c>
      <c r="M51" s="59">
        <v>0</v>
      </c>
    </row>
    <row r="52" spans="1:13" s="8" customFormat="1" ht="11.25" customHeight="1" thickBot="1">
      <c r="A52" s="11" t="s">
        <v>16</v>
      </c>
      <c r="B52" s="60">
        <f>SUM(B34:B51)</f>
        <v>80</v>
      </c>
      <c r="C52" s="60">
        <f t="shared" ref="C52:M52" si="9">SUM(C34:C51)</f>
        <v>61</v>
      </c>
      <c r="D52" s="60">
        <f t="shared" si="9"/>
        <v>83</v>
      </c>
      <c r="E52" s="60">
        <f t="shared" si="9"/>
        <v>51</v>
      </c>
      <c r="F52" s="60">
        <f t="shared" si="9"/>
        <v>69</v>
      </c>
      <c r="G52" s="60">
        <f t="shared" si="9"/>
        <v>52</v>
      </c>
      <c r="H52" s="60">
        <f t="shared" si="9"/>
        <v>79</v>
      </c>
      <c r="I52" s="60">
        <f t="shared" si="9"/>
        <v>78</v>
      </c>
      <c r="J52" s="60">
        <f t="shared" si="9"/>
        <v>60</v>
      </c>
      <c r="K52" s="60">
        <f t="shared" si="9"/>
        <v>63</v>
      </c>
      <c r="L52" s="159">
        <f t="shared" si="9"/>
        <v>91</v>
      </c>
      <c r="M52" s="170">
        <f t="shared" si="9"/>
        <v>89</v>
      </c>
    </row>
    <row r="53" spans="1:13" ht="12" customHeight="1" thickBot="1">
      <c r="A53" s="55" t="s">
        <v>137</v>
      </c>
      <c r="B53" s="50">
        <v>41275</v>
      </c>
      <c r="C53" s="47">
        <v>41306</v>
      </c>
      <c r="D53" s="47">
        <v>41334</v>
      </c>
      <c r="E53" s="47">
        <v>41365</v>
      </c>
      <c r="F53" s="47">
        <v>41395</v>
      </c>
      <c r="G53" s="47">
        <v>41426</v>
      </c>
      <c r="H53" s="47">
        <v>41456</v>
      </c>
      <c r="I53" s="47">
        <v>41487</v>
      </c>
      <c r="J53" s="47">
        <v>41518</v>
      </c>
      <c r="K53" s="47">
        <v>41548</v>
      </c>
      <c r="L53" s="47">
        <v>41579</v>
      </c>
      <c r="M53" s="51">
        <v>41609</v>
      </c>
    </row>
    <row r="54" spans="1:13" s="8" customFormat="1" ht="11.25" customHeight="1">
      <c r="A54" s="10" t="s">
        <v>30</v>
      </c>
      <c r="B54" s="57">
        <f>COUNTIFS(Jan!$B:$B,3044,Jan!$J:$J,7)</f>
        <v>0</v>
      </c>
      <c r="C54" s="57">
        <f>COUNTIFS(Feb!$B:$B,3044,Feb!$J:$J,7)</f>
        <v>0</v>
      </c>
      <c r="D54" s="57">
        <v>1</v>
      </c>
      <c r="E54" s="57">
        <f>COUNTIFS(Apr!$B:$B,3044,Apr!$J:$J,7)</f>
        <v>0</v>
      </c>
      <c r="F54" s="57">
        <f>COUNTIFS(May!$B:$B,3044,May!$J:$J,7)</f>
        <v>0</v>
      </c>
      <c r="G54" s="57">
        <f>COUNTIFS(Jun!$B:$B,3044,Jun!$J:$J,7)</f>
        <v>0</v>
      </c>
      <c r="H54" s="57">
        <v>2</v>
      </c>
      <c r="I54" s="57">
        <f>COUNTIFS(Aug!$B:$B,3044,Aug!$J:$J,7)</f>
        <v>0</v>
      </c>
      <c r="J54" s="57">
        <f>COUNTIFS(Sep!$B:$B,3044,Sep!$J:$J,7)</f>
        <v>0</v>
      </c>
      <c r="K54" s="57">
        <f>COUNTIFS(Oct!$B:$B,3044,Oct!$J:$J,7)</f>
        <v>0</v>
      </c>
      <c r="L54" s="57">
        <f>COUNTIFS(Nov!$B:$B,3044,Nov!$J:$J,7)</f>
        <v>0</v>
      </c>
      <c r="M54" s="57">
        <v>0</v>
      </c>
    </row>
    <row r="55" spans="1:13" s="8" customFormat="1" ht="11.25" customHeight="1">
      <c r="A55" s="10" t="s">
        <v>29</v>
      </c>
      <c r="B55" s="59">
        <f>COUNTIFS(Jan!$B:$B,3044,Jan!$J:$J,8)</f>
        <v>0</v>
      </c>
      <c r="C55" s="59">
        <f>COUNTIFS(Feb!$B:$B,3044,Feb!$J:$J,8)</f>
        <v>0</v>
      </c>
      <c r="D55" s="59">
        <f>COUNTIFS(Mar!$B:$B,3044,Mar!$J:$J,8)</f>
        <v>0</v>
      </c>
      <c r="E55" s="59">
        <f>COUNTIFS(Apr!$B:$B,3044,Apr!$J:$J,8)</f>
        <v>0</v>
      </c>
      <c r="F55" s="59">
        <f>COUNTIFS(May!$B:$B,3044,May!$J:$J,8)</f>
        <v>0</v>
      </c>
      <c r="G55" s="59">
        <f>COUNTIFS(Jun!$B:$B,3044,Jun!$J:$J,8)</f>
        <v>0</v>
      </c>
      <c r="H55" s="59">
        <f>COUNTIFS(Jul!$B:$B,3044,Jul!$J:$J,8)</f>
        <v>0</v>
      </c>
      <c r="I55" s="59">
        <f>COUNTIFS(Aug!$B:$B,3044,Aug!$J:$J,8)</f>
        <v>0</v>
      </c>
      <c r="J55" s="59">
        <f>COUNTIFS(Sep!$B:$B,3044,Sep!$J:$J,8)</f>
        <v>0</v>
      </c>
      <c r="K55" s="59">
        <f>COUNTIFS(Oct!$B:$B,3044,Oct!$J:$J,8)</f>
        <v>0</v>
      </c>
      <c r="L55" s="59">
        <f>COUNTIFS(Nov!$B:$B,3044,Nov!$J:$J,8)</f>
        <v>0</v>
      </c>
      <c r="M55" s="59">
        <v>0</v>
      </c>
    </row>
    <row r="56" spans="1:13" s="8" customFormat="1" ht="11.25" customHeight="1">
      <c r="A56" s="10" t="s">
        <v>7</v>
      </c>
      <c r="B56" s="59">
        <f>COUNTIFS(Jan!$B:$B,3044,Jan!$J:$J,12)</f>
        <v>0</v>
      </c>
      <c r="C56" s="59">
        <f>COUNTIFS(Feb!$B:$B,3044,Feb!$J:$J,12)</f>
        <v>0</v>
      </c>
      <c r="D56" s="59">
        <f>COUNTIFS(Mar!$B:$B,3044,Mar!$J:$J,12)</f>
        <v>0</v>
      </c>
      <c r="E56" s="59">
        <f>COUNTIFS(Apr!$B:$B,3044,Apr!$J:$J,12)</f>
        <v>0</v>
      </c>
      <c r="F56" s="59">
        <f>COUNTIFS(May!$B:$B,3044,May!$J:$J,12)</f>
        <v>0</v>
      </c>
      <c r="G56" s="59">
        <v>1</v>
      </c>
      <c r="H56" s="59">
        <f>COUNTIFS(Jul!$B:$B,3044,Jul!$J:$J,12)</f>
        <v>0</v>
      </c>
      <c r="I56" s="59">
        <f>COUNTIFS(Aug!$B:$B,3044,Aug!$J:$J,12)</f>
        <v>0</v>
      </c>
      <c r="J56" s="59">
        <f>COUNTIFS(Sep!$B:$B,3044,Sep!$J:$J,12)</f>
        <v>0</v>
      </c>
      <c r="K56" s="59">
        <f>COUNTIFS(Oct!$B:$B,3044,Oct!$J:$J,12)</f>
        <v>0</v>
      </c>
      <c r="L56" s="59">
        <f>COUNTIFS(Nov!$B:$B,3044,Nov!$J:$J,12)</f>
        <v>0</v>
      </c>
      <c r="M56" s="59">
        <v>0</v>
      </c>
    </row>
    <row r="57" spans="1:13" s="8" customFormat="1" ht="11.25" customHeight="1">
      <c r="A57" s="10" t="s">
        <v>10</v>
      </c>
      <c r="B57" s="59">
        <f>COUNTIFS(Jan!$B:$B,3044,Jan!$J:$J,5100)</f>
        <v>0</v>
      </c>
      <c r="C57" s="59">
        <f>COUNTIFS(Feb!$B:$B,3044,Feb!$J:$J,5100)</f>
        <v>0</v>
      </c>
      <c r="D57" s="59">
        <f>COUNTIFS(Mar!$B:$B,3044,Mar!$J:$J,5100)</f>
        <v>0</v>
      </c>
      <c r="E57" s="59">
        <f>COUNTIFS(Apr!$B:$B,3044,Apr!$J:$J,5100)</f>
        <v>0</v>
      </c>
      <c r="F57" s="59">
        <f>COUNTIFS(May!$B:$B,3044,May!$J:$J,5100)</f>
        <v>0</v>
      </c>
      <c r="G57" s="59">
        <f>COUNTIFS(Jun!$B:$B,3044,Jun!$J:$J,5100)</f>
        <v>0</v>
      </c>
      <c r="H57" s="59">
        <f>COUNTIFS(Jul!$B:$B,3044,Jul!$J:$J,5100)</f>
        <v>0</v>
      </c>
      <c r="I57" s="59">
        <f>COUNTIFS(Aug!$B:$B,3044,Aug!$J:$J,5100)</f>
        <v>0</v>
      </c>
      <c r="J57" s="59">
        <f>COUNTIFS(Sep!$B:$B,3044,Sep!$J:$J,5100)</f>
        <v>0</v>
      </c>
      <c r="K57" s="59">
        <f>COUNTIFS(Oct!$B:$B,3044,Oct!$J:$J,5100)</f>
        <v>0</v>
      </c>
      <c r="L57" s="59">
        <f>COUNTIFS(Nov!$B:$B,3044,Nov!$J:$J,5100)</f>
        <v>0</v>
      </c>
      <c r="M57" s="59">
        <v>0</v>
      </c>
    </row>
    <row r="58" spans="1:13" s="8" customFormat="1" ht="11.25" customHeight="1">
      <c r="A58" s="10" t="s">
        <v>36</v>
      </c>
      <c r="B58" s="59">
        <f>COUNTIFS(Jan!$B:$B,3044,Jan!$J:$J,6200)</f>
        <v>9</v>
      </c>
      <c r="C58" s="59">
        <v>5</v>
      </c>
      <c r="D58" s="59">
        <v>2</v>
      </c>
      <c r="E58" s="59">
        <v>4</v>
      </c>
      <c r="F58" s="59">
        <v>3</v>
      </c>
      <c r="G58" s="59">
        <v>10</v>
      </c>
      <c r="H58" s="59">
        <v>8</v>
      </c>
      <c r="I58" s="59">
        <v>14</v>
      </c>
      <c r="J58" s="59">
        <v>3</v>
      </c>
      <c r="K58" s="59">
        <v>3</v>
      </c>
      <c r="L58" s="59">
        <v>9</v>
      </c>
      <c r="M58" s="59">
        <v>5</v>
      </c>
    </row>
    <row r="59" spans="1:13" s="8" customFormat="1" ht="11.25" customHeight="1">
      <c r="A59" s="10" t="s">
        <v>145</v>
      </c>
      <c r="B59" s="59">
        <f>COUNTIFS(Jan!$B:$B,3044,Jan!$J:$J,28)</f>
        <v>0</v>
      </c>
      <c r="C59" s="59">
        <f>COUNTIFS(Feb!$B:$B,3044,Feb!$J:$J,28)</f>
        <v>0</v>
      </c>
      <c r="D59" s="59">
        <f>COUNTIFS(Mar!$B:$B,3044,Mar!$J:$J,28)</f>
        <v>0</v>
      </c>
      <c r="E59" s="59">
        <f>COUNTIFS(Apr!$B:$B,3044,Apr!$J:$J,28)</f>
        <v>0</v>
      </c>
      <c r="F59" s="59">
        <f>COUNTIFS(May!$B:$B,3044,May!$J:$J,28)</f>
        <v>0</v>
      </c>
      <c r="G59" s="59">
        <f>COUNTIFS(Jun!$B:$B,3044,Jun!$J:$J,28)</f>
        <v>0</v>
      </c>
      <c r="H59" s="59">
        <f>COUNTIFS(Jul!$B:$B,3044,Jul!$J:$J,28)</f>
        <v>0</v>
      </c>
      <c r="I59" s="59">
        <f>COUNTIFS(Aug!$B:$B,3044,Aug!$J:$J,28)</f>
        <v>0</v>
      </c>
      <c r="J59" s="59">
        <f>COUNTIFS(Sep!$B:$B,3044,Sep!$J:$J,28)</f>
        <v>0</v>
      </c>
      <c r="K59" s="59">
        <f>COUNTIFS(Oct!$B:$B,3044,Oct!$J:$J,28)</f>
        <v>0</v>
      </c>
      <c r="L59" s="59">
        <f>COUNTIFS(Nov!$B:$B,3044,Nov!$J:$J,28)</f>
        <v>0</v>
      </c>
      <c r="M59" s="59">
        <v>0</v>
      </c>
    </row>
    <row r="60" spans="1:13" s="8" customFormat="1" ht="11.25" customHeight="1">
      <c r="A60" s="10" t="s">
        <v>38</v>
      </c>
      <c r="B60" s="59">
        <f>COUNTIFS(Jan!$B:$B,3044,Jan!$J:$J,6100)</f>
        <v>0</v>
      </c>
      <c r="C60" s="59">
        <f>COUNTIFS(Feb!$B:$B,3044,Feb!$J:$J,6100)</f>
        <v>0</v>
      </c>
      <c r="D60" s="59">
        <f>COUNTIFS(Mar!$B:$B,3044,Mar!$J:$J,6100)</f>
        <v>0</v>
      </c>
      <c r="E60" s="59">
        <f>COUNTIFS(Apr!$B:$B,3044,Apr!$J:$J,6100)</f>
        <v>0</v>
      </c>
      <c r="F60" s="59">
        <f>COUNTIFS(May!$B:$B,3044,May!$J:$J,6100)</f>
        <v>0</v>
      </c>
      <c r="G60" s="59">
        <f>COUNTIFS(Jun!$B:$B,3044,Jun!$J:$J,6100)</f>
        <v>0</v>
      </c>
      <c r="H60" s="59">
        <f>COUNTIFS(Jul!$B:$B,3044,Jul!$J:$J,6100)</f>
        <v>0</v>
      </c>
      <c r="I60" s="59">
        <f>COUNTIFS(Aug!$B:$B,3044,Aug!$J:$J,6100)</f>
        <v>0</v>
      </c>
      <c r="J60" s="59">
        <f>COUNTIFS(Sep!$B:$B,3044,Sep!$J:$J,6100)</f>
        <v>0</v>
      </c>
      <c r="K60" s="59">
        <f>COUNTIFS(Oct!$B:$B,3044,Oct!$J:$J,6100)</f>
        <v>0</v>
      </c>
      <c r="L60" s="59">
        <f>COUNTIFS(Nov!$B:$B,3044,Nov!$J:$J,6100)</f>
        <v>0</v>
      </c>
      <c r="M60" s="59">
        <v>0</v>
      </c>
    </row>
    <row r="61" spans="1:13" s="8" customFormat="1" ht="11.25" customHeight="1">
      <c r="A61" s="10" t="s">
        <v>9</v>
      </c>
      <c r="B61" s="59">
        <f>COUNTIFS(Jan!$B:$B,3044,Jan!$J:$J,6)</f>
        <v>0</v>
      </c>
      <c r="C61" s="59">
        <f>COUNTIFS(Feb!$B:$B,3044,Feb!$J:$J,6)</f>
        <v>0</v>
      </c>
      <c r="D61" s="59">
        <f>COUNTIFS(Mar!$B:$B,3044,Mar!$J:$J,6)</f>
        <v>0</v>
      </c>
      <c r="E61" s="59">
        <f>COUNTIFS(Apr!$B:$B,3044,Apr!$J:$J,6)</f>
        <v>0</v>
      </c>
      <c r="F61" s="59">
        <f>COUNTIFS(May!$B:$B,3044,May!$J:$J,6)</f>
        <v>0</v>
      </c>
      <c r="G61" s="59">
        <f>COUNTIFS(Jun!$B:$B,3044,Jun!$J:$J,6)</f>
        <v>0</v>
      </c>
      <c r="H61" s="59">
        <f>COUNTIFS(Jul!$B:$B,3044,Jul!$J:$J,6)</f>
        <v>0</v>
      </c>
      <c r="I61" s="59">
        <f>COUNTIFS(Aug!$B:$B,3044,Aug!$J:$J,6)</f>
        <v>0</v>
      </c>
      <c r="J61" s="59">
        <f>COUNTIFS(Sep!$B:$B,3044,Sep!$J:$J,6)</f>
        <v>0</v>
      </c>
      <c r="K61" s="59">
        <f>COUNTIFS(Oct!$B:$B,3044,Oct!$J:$J,6)</f>
        <v>0</v>
      </c>
      <c r="L61" s="59">
        <f>COUNTIFS(Nov!$B:$B,3044,Nov!$J:$J,6)</f>
        <v>0</v>
      </c>
      <c r="M61" s="59">
        <v>0</v>
      </c>
    </row>
    <row r="62" spans="1:13" s="8" customFormat="1" ht="11.25" customHeight="1">
      <c r="A62" s="10" t="s">
        <v>8</v>
      </c>
      <c r="B62" s="59">
        <f>COUNTIFS(Jan!$B:$B,3044,Jan!$J:$J,4)</f>
        <v>0</v>
      </c>
      <c r="C62" s="59">
        <f>COUNTIFS(Feb!$B:$B,3044,Feb!$J:$J,4)</f>
        <v>0</v>
      </c>
      <c r="D62" s="59">
        <f>COUNTIFS(Mar!$B:$B,3044,Mar!$J:$J,4)</f>
        <v>0</v>
      </c>
      <c r="E62" s="59">
        <f>COUNTIFS(Apr!$B:$B,3044,Apr!$J:$J,4)</f>
        <v>0</v>
      </c>
      <c r="F62" s="59">
        <f>COUNTIFS(May!$B:$B,3044,May!$J:$J,4)</f>
        <v>0</v>
      </c>
      <c r="G62" s="59">
        <f>COUNTIFS(Jun!$B:$B,3044,Jun!$J:$J,4)</f>
        <v>0</v>
      </c>
      <c r="H62" s="59">
        <f>COUNTIFS(Jul!$B:$B,3044,Jul!$J:$J,4)</f>
        <v>0</v>
      </c>
      <c r="I62" s="59">
        <f>COUNTIFS(Aug!$B:$B,3044,Aug!$J:$J,4)</f>
        <v>0</v>
      </c>
      <c r="J62" s="59">
        <f>COUNTIFS(Sep!$B:$B,3044,Sep!$J:$J,4)</f>
        <v>0</v>
      </c>
      <c r="K62" s="59">
        <f>COUNTIFS(Oct!$B:$B,3044,Oct!$J:$J,4)</f>
        <v>0</v>
      </c>
      <c r="L62" s="59">
        <f>COUNTIFS(Nov!$B:$B,3044,Nov!$J:$J,4)</f>
        <v>0</v>
      </c>
      <c r="M62" s="59">
        <v>0</v>
      </c>
    </row>
    <row r="63" spans="1:13" s="8" customFormat="1" ht="11.25" customHeight="1">
      <c r="A63" s="10" t="s">
        <v>6</v>
      </c>
      <c r="B63" s="59">
        <f>COUNTIFS(Jan!$B:$B,3044,Jan!$J:$J,5)</f>
        <v>0</v>
      </c>
      <c r="C63" s="59">
        <f>COUNTIFS(Feb!$B:$B,3044,Feb!$J:$J,5)</f>
        <v>0</v>
      </c>
      <c r="D63" s="59">
        <f>COUNTIFS(Mar!$B:$B,3044,Mar!$J:$J,5)</f>
        <v>0</v>
      </c>
      <c r="E63" s="59">
        <f>COUNTIFS(Apr!$B:$B,3044,Apr!$J:$J,5)</f>
        <v>0</v>
      </c>
      <c r="F63" s="59">
        <f>COUNTIFS(May!$B:$B,3044,May!$J:$J,5)</f>
        <v>0</v>
      </c>
      <c r="G63" s="59">
        <f>COUNTIFS(Jun!$B:$B,3044,Jun!$J:$J,5)</f>
        <v>0</v>
      </c>
      <c r="H63" s="59">
        <f>COUNTIFS(Jul!$B:$B,3044,Jul!$J:$J,5)</f>
        <v>0</v>
      </c>
      <c r="I63" s="59">
        <f>COUNTIFS(Aug!$B:$B,3044,Aug!$J:$J,5)</f>
        <v>0</v>
      </c>
      <c r="J63" s="59">
        <f>COUNTIFS(Sep!$B:$B,3044,Sep!$J:$J,5)</f>
        <v>0</v>
      </c>
      <c r="K63" s="59">
        <f>COUNTIFS(Oct!$B:$B,3044,Oct!$J:$J,5)</f>
        <v>0</v>
      </c>
      <c r="L63" s="59">
        <f>COUNTIFS(Nov!$B:$B,3044,Nov!$J:$J,5)</f>
        <v>0</v>
      </c>
      <c r="M63" s="59">
        <v>0</v>
      </c>
    </row>
    <row r="64" spans="1:13" s="8" customFormat="1" ht="11.25" customHeight="1">
      <c r="A64" s="52" t="s">
        <v>141</v>
      </c>
      <c r="B64" s="69">
        <f>COUNTIFS(Jan!$B:$B,3044,Jan!$F:$F,456)</f>
        <v>0</v>
      </c>
      <c r="C64" s="69">
        <f>COUNTIFS(Feb!$B:$B,3044,Feb!$F:$F,456)</f>
        <v>0</v>
      </c>
      <c r="D64" s="69">
        <f>COUNTIFS(Mar!$B:$B,3044,Mar!$F:$F,456)</f>
        <v>0</v>
      </c>
      <c r="E64" s="69">
        <f>COUNTIFS(Apr!$B:$B,3044,Apr!$F:$F,456)</f>
        <v>0</v>
      </c>
      <c r="F64" s="69">
        <f>COUNTIFS(May!$B:$B,3044,May!$F:$F,456)</f>
        <v>0</v>
      </c>
      <c r="G64" s="69">
        <f>COUNTIFS(Jun!$B:$B,3044,Jun!$F:$F,456)</f>
        <v>0</v>
      </c>
      <c r="H64" s="69">
        <f>COUNTIFS(Jul!$B:$B,3044,Jul!$F:$F,456)</f>
        <v>0</v>
      </c>
      <c r="I64" s="69">
        <f>COUNTIFS(Aug!$B:$B,3044,Aug!$F:$F,456)</f>
        <v>0</v>
      </c>
      <c r="J64" s="69">
        <f>COUNTIFS(Sep!$B:$B,3044,Sep!$F:$F,456)</f>
        <v>0</v>
      </c>
      <c r="K64" s="69">
        <f>COUNTIFS(Oct!$B:$B,3044,Oct!$F:$F,456)</f>
        <v>0</v>
      </c>
      <c r="L64" s="69">
        <f>COUNTIFS(Nov!$B:$B,3044,Nov!$F:$F,456)</f>
        <v>0</v>
      </c>
      <c r="M64" s="69">
        <v>0</v>
      </c>
    </row>
    <row r="65" spans="1:13" s="8" customFormat="1" ht="11.25" customHeight="1" thickBot="1">
      <c r="A65" s="12" t="s">
        <v>16</v>
      </c>
      <c r="B65" s="70">
        <f>SUM(B54:B64)</f>
        <v>9</v>
      </c>
      <c r="C65" s="70">
        <f t="shared" ref="C65:M65" si="10">SUM(C54:C64)</f>
        <v>5</v>
      </c>
      <c r="D65" s="70">
        <f t="shared" si="10"/>
        <v>3</v>
      </c>
      <c r="E65" s="70">
        <f t="shared" si="10"/>
        <v>4</v>
      </c>
      <c r="F65" s="70">
        <f t="shared" si="10"/>
        <v>3</v>
      </c>
      <c r="G65" s="70">
        <f t="shared" si="10"/>
        <v>11</v>
      </c>
      <c r="H65" s="70">
        <f t="shared" si="10"/>
        <v>10</v>
      </c>
      <c r="I65" s="70">
        <f t="shared" si="10"/>
        <v>14</v>
      </c>
      <c r="J65" s="70">
        <f t="shared" si="10"/>
        <v>3</v>
      </c>
      <c r="K65" s="70">
        <f t="shared" si="10"/>
        <v>3</v>
      </c>
      <c r="L65" s="165">
        <f t="shared" si="10"/>
        <v>9</v>
      </c>
      <c r="M65" s="170">
        <f t="shared" si="10"/>
        <v>5</v>
      </c>
    </row>
    <row r="66" spans="1:13" s="8" customFormat="1" ht="15.75" customHeight="1">
      <c r="A66" s="6"/>
      <c r="B66" s="7"/>
      <c r="C66" s="7"/>
      <c r="D66" s="7"/>
      <c r="E66" s="7"/>
      <c r="F66" s="7"/>
      <c r="G66" s="7"/>
      <c r="H66" s="7"/>
      <c r="I66" s="7"/>
      <c r="J66" s="7"/>
      <c r="K66" s="7"/>
      <c r="L66" s="7"/>
      <c r="M66" s="7"/>
    </row>
    <row r="67" spans="1:13" ht="12" customHeight="1">
      <c r="A67" s="6"/>
      <c r="B67" s="7"/>
      <c r="C67" s="7"/>
      <c r="D67" s="7"/>
      <c r="E67" s="7"/>
      <c r="F67" s="7"/>
      <c r="G67" s="7"/>
      <c r="H67" s="7"/>
      <c r="I67" s="7"/>
      <c r="J67" s="7"/>
      <c r="K67" s="7"/>
      <c r="L67" s="7"/>
      <c r="M67" s="7"/>
    </row>
  </sheetData>
  <printOptions horizontalCentered="1" verticalCentered="1"/>
  <pageMargins left="0.14000000000000001" right="0.16" top="0.25" bottom="0.5" header="0.5" footer="0.25"/>
  <pageSetup scale="95" firstPageNumber="3" orientation="portrait" useFirstPageNumber="1" r:id="rId1"/>
  <headerFooter alignWithMargins="0">
    <oddFooter>&amp;R51 of 51</oddFooter>
  </headerFooter>
  <ignoredErrors>
    <ignoredError sqref="M52 M65" formulaRange="1"/>
  </ignoredErrors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950"/>
  <sheetViews>
    <sheetView zoomScaleNormal="100" workbookViewId="0">
      <pane ySplit="1" topLeftCell="A2" activePane="bottomLeft" state="frozen"/>
      <selection pane="bottomLeft" activeCell="A2" sqref="A2"/>
    </sheetView>
  </sheetViews>
  <sheetFormatPr defaultColWidth="11.42578125" defaultRowHeight="12.75"/>
  <cols>
    <col min="1" max="1" width="26.5703125" style="198" customWidth="1"/>
    <col min="2" max="2" width="12.7109375" style="203" customWidth="1"/>
    <col min="3" max="3" width="8.7109375" style="198" customWidth="1"/>
    <col min="4" max="4" width="5.140625" style="198" customWidth="1"/>
    <col min="5" max="5" width="11.42578125" style="203"/>
    <col min="6" max="6" width="13.7109375" style="203" customWidth="1"/>
    <col min="7" max="7" width="27" style="198" customWidth="1"/>
    <col min="8" max="8" width="11.42578125" style="202" customWidth="1"/>
    <col min="9" max="9" width="11.42578125" style="198" customWidth="1"/>
    <col min="10" max="10" width="11.42578125" style="203"/>
    <col min="11" max="11" width="25.5703125" style="205" customWidth="1"/>
    <col min="12" max="12" width="11.42578125" style="198"/>
    <col min="13" max="13" width="10.140625" style="202" customWidth="1"/>
    <col min="14" max="14" width="9.140625" style="202" customWidth="1"/>
    <col min="15" max="16384" width="11.42578125" style="202"/>
  </cols>
  <sheetData>
    <row r="1" spans="1:14" s="193" customFormat="1" ht="42.75" customHeight="1">
      <c r="A1" s="190" t="s">
        <v>2168</v>
      </c>
      <c r="B1" s="191" t="s">
        <v>2169</v>
      </c>
      <c r="C1" s="190"/>
      <c r="D1" s="190"/>
      <c r="E1" s="191" t="s">
        <v>2170</v>
      </c>
      <c r="F1" s="191" t="s">
        <v>2171</v>
      </c>
      <c r="G1" s="190" t="s">
        <v>221</v>
      </c>
      <c r="H1" s="190"/>
      <c r="I1" s="190" t="s">
        <v>2176</v>
      </c>
      <c r="J1" s="191" t="s">
        <v>2172</v>
      </c>
      <c r="K1" s="190" t="s">
        <v>2178</v>
      </c>
      <c r="L1" s="190" t="s">
        <v>2173</v>
      </c>
      <c r="M1" s="190" t="s">
        <v>2174</v>
      </c>
      <c r="N1" s="192" t="s">
        <v>2175</v>
      </c>
    </row>
    <row r="2" spans="1:14">
      <c r="A2" s="194">
        <v>41277.561064814814</v>
      </c>
      <c r="B2" s="195">
        <v>2011</v>
      </c>
      <c r="C2" s="194"/>
      <c r="D2" s="194"/>
      <c r="E2" s="196" t="s">
        <v>259</v>
      </c>
      <c r="F2" s="195">
        <v>456</v>
      </c>
      <c r="G2" s="197" t="s">
        <v>141</v>
      </c>
      <c r="H2" s="197" t="s">
        <v>223</v>
      </c>
      <c r="I2" s="196" t="s">
        <v>226</v>
      </c>
      <c r="J2" s="195">
        <v>1</v>
      </c>
      <c r="K2" s="204" t="s">
        <v>224</v>
      </c>
      <c r="L2" s="199">
        <v>1</v>
      </c>
      <c r="M2" s="200">
        <v>0.6</v>
      </c>
      <c r="N2" s="201">
        <v>28</v>
      </c>
    </row>
    <row r="3" spans="1:14">
      <c r="A3" s="194">
        <v>41304.990451388891</v>
      </c>
      <c r="B3" s="195">
        <v>2011</v>
      </c>
      <c r="C3" s="194"/>
      <c r="D3" s="194"/>
      <c r="E3" s="196" t="s">
        <v>394</v>
      </c>
      <c r="F3" s="195">
        <v>456</v>
      </c>
      <c r="G3" s="197" t="s">
        <v>141</v>
      </c>
      <c r="H3" s="197" t="s">
        <v>223</v>
      </c>
      <c r="I3" s="196" t="s">
        <v>226</v>
      </c>
      <c r="J3" s="195">
        <v>1</v>
      </c>
      <c r="K3" s="204" t="s">
        <v>224</v>
      </c>
      <c r="L3" s="199">
        <v>1</v>
      </c>
      <c r="M3" s="200">
        <v>0.6</v>
      </c>
      <c r="N3" s="201">
        <v>33</v>
      </c>
    </row>
    <row r="4" spans="1:14">
      <c r="A4" s="194">
        <v>41303.548541666663</v>
      </c>
      <c r="B4" s="195">
        <v>2011</v>
      </c>
      <c r="C4" s="194"/>
      <c r="D4" s="194"/>
      <c r="E4" s="196" t="s">
        <v>385</v>
      </c>
      <c r="F4" s="195">
        <v>456</v>
      </c>
      <c r="G4" s="197" t="s">
        <v>141</v>
      </c>
      <c r="H4" s="197" t="s">
        <v>223</v>
      </c>
      <c r="I4" s="196" t="s">
        <v>226</v>
      </c>
      <c r="J4" s="195">
        <v>1</v>
      </c>
      <c r="K4" s="204" t="s">
        <v>224</v>
      </c>
      <c r="L4" s="199">
        <v>1</v>
      </c>
      <c r="M4" s="200">
        <v>0.4</v>
      </c>
      <c r="N4" s="201">
        <v>35</v>
      </c>
    </row>
    <row r="5" spans="1:14">
      <c r="A5" s="194">
        <v>41303.289178240739</v>
      </c>
      <c r="B5" s="195">
        <v>2011</v>
      </c>
      <c r="C5" s="194"/>
      <c r="D5" s="194"/>
      <c r="E5" s="196" t="s">
        <v>384</v>
      </c>
      <c r="F5" s="195">
        <v>456</v>
      </c>
      <c r="G5" s="197" t="s">
        <v>141</v>
      </c>
      <c r="H5" s="197" t="s">
        <v>223</v>
      </c>
      <c r="I5" s="196" t="s">
        <v>226</v>
      </c>
      <c r="J5" s="195">
        <v>1</v>
      </c>
      <c r="K5" s="204" t="s">
        <v>224</v>
      </c>
      <c r="L5" s="199">
        <v>1</v>
      </c>
      <c r="M5" s="200">
        <v>0.6</v>
      </c>
      <c r="N5" s="201">
        <v>36</v>
      </c>
    </row>
    <row r="6" spans="1:14">
      <c r="A6" s="194">
        <v>41303.567060185182</v>
      </c>
      <c r="B6" s="195">
        <v>2011</v>
      </c>
      <c r="C6" s="194"/>
      <c r="D6" s="194"/>
      <c r="E6" s="196" t="s">
        <v>386</v>
      </c>
      <c r="F6" s="195">
        <v>456</v>
      </c>
      <c r="G6" s="197" t="s">
        <v>141</v>
      </c>
      <c r="H6" s="197" t="s">
        <v>223</v>
      </c>
      <c r="I6" s="196" t="s">
        <v>226</v>
      </c>
      <c r="J6" s="195">
        <v>1</v>
      </c>
      <c r="K6" s="204" t="s">
        <v>224</v>
      </c>
      <c r="L6" s="199">
        <v>2</v>
      </c>
      <c r="M6" s="200">
        <v>0.3</v>
      </c>
      <c r="N6" s="201">
        <v>39</v>
      </c>
    </row>
    <row r="7" spans="1:14">
      <c r="A7" s="194">
        <v>41284.591273148151</v>
      </c>
      <c r="B7" s="195">
        <v>2011</v>
      </c>
      <c r="C7" s="194"/>
      <c r="D7" s="194"/>
      <c r="E7" s="196" t="s">
        <v>289</v>
      </c>
      <c r="F7" s="195">
        <v>456</v>
      </c>
      <c r="G7" s="197" t="s">
        <v>141</v>
      </c>
      <c r="H7" s="197" t="s">
        <v>223</v>
      </c>
      <c r="I7" s="196" t="s">
        <v>226</v>
      </c>
      <c r="J7" s="195">
        <v>1</v>
      </c>
      <c r="K7" s="204" t="s">
        <v>224</v>
      </c>
      <c r="L7" s="199">
        <v>1</v>
      </c>
      <c r="M7" s="200">
        <v>0.3</v>
      </c>
      <c r="N7" s="201">
        <v>42</v>
      </c>
    </row>
    <row r="8" spans="1:14">
      <c r="A8" s="194">
        <v>41299.083923611113</v>
      </c>
      <c r="B8" s="195">
        <v>2011</v>
      </c>
      <c r="C8" s="194"/>
      <c r="D8" s="194"/>
      <c r="E8" s="196" t="s">
        <v>343</v>
      </c>
      <c r="F8" s="195">
        <v>456</v>
      </c>
      <c r="G8" s="197" t="s">
        <v>141</v>
      </c>
      <c r="H8" s="197" t="s">
        <v>223</v>
      </c>
      <c r="I8" s="196" t="s">
        <v>226</v>
      </c>
      <c r="J8" s="195">
        <v>1</v>
      </c>
      <c r="K8" s="204" t="s">
        <v>224</v>
      </c>
      <c r="L8" s="199">
        <v>1</v>
      </c>
      <c r="M8" s="200">
        <v>0.4</v>
      </c>
      <c r="N8" s="201">
        <v>42</v>
      </c>
    </row>
    <row r="9" spans="1:14">
      <c r="A9" s="194">
        <v>41280.627581018518</v>
      </c>
      <c r="B9" s="195">
        <v>2011</v>
      </c>
      <c r="C9" s="194"/>
      <c r="D9" s="194"/>
      <c r="E9" s="196" t="s">
        <v>246</v>
      </c>
      <c r="F9" s="195">
        <v>456</v>
      </c>
      <c r="G9" s="197" t="s">
        <v>141</v>
      </c>
      <c r="H9" s="197" t="s">
        <v>223</v>
      </c>
      <c r="I9" s="196" t="s">
        <v>226</v>
      </c>
      <c r="J9" s="195">
        <v>1</v>
      </c>
      <c r="K9" s="204" t="s">
        <v>224</v>
      </c>
      <c r="L9" s="199">
        <v>2</v>
      </c>
      <c r="M9" s="200">
        <v>0.4</v>
      </c>
      <c r="N9" s="201">
        <v>54</v>
      </c>
    </row>
    <row r="10" spans="1:14">
      <c r="A10" s="194">
        <v>41298.584351851852</v>
      </c>
      <c r="B10" s="195">
        <v>2011</v>
      </c>
      <c r="C10" s="194"/>
      <c r="D10" s="194"/>
      <c r="E10" s="196" t="s">
        <v>344</v>
      </c>
      <c r="F10" s="195">
        <v>456</v>
      </c>
      <c r="G10" s="197" t="s">
        <v>141</v>
      </c>
      <c r="H10" s="197" t="s">
        <v>223</v>
      </c>
      <c r="I10" s="196" t="s">
        <v>226</v>
      </c>
      <c r="J10" s="195">
        <v>1</v>
      </c>
      <c r="K10" s="204" t="s">
        <v>224</v>
      </c>
      <c r="L10" s="199">
        <v>2</v>
      </c>
      <c r="M10" s="200">
        <v>0.3</v>
      </c>
      <c r="N10" s="201">
        <v>55</v>
      </c>
    </row>
    <row r="11" spans="1:14">
      <c r="A11" s="194">
        <v>41297.276608796295</v>
      </c>
      <c r="B11" s="195">
        <v>2011</v>
      </c>
      <c r="C11" s="194"/>
      <c r="D11" s="194"/>
      <c r="E11" s="196" t="s">
        <v>457</v>
      </c>
      <c r="F11" s="195">
        <v>466</v>
      </c>
      <c r="G11" s="197" t="s">
        <v>142</v>
      </c>
      <c r="H11" s="197" t="s">
        <v>223</v>
      </c>
      <c r="I11" s="196" t="s">
        <v>402</v>
      </c>
      <c r="J11" s="195">
        <v>1</v>
      </c>
      <c r="K11" s="204" t="s">
        <v>224</v>
      </c>
      <c r="L11" s="199">
        <v>2</v>
      </c>
      <c r="M11" s="200">
        <v>0.4</v>
      </c>
      <c r="N11" s="201">
        <v>39</v>
      </c>
    </row>
    <row r="12" spans="1:14">
      <c r="A12" s="194">
        <v>41283.762488425928</v>
      </c>
      <c r="B12" s="195">
        <v>2011</v>
      </c>
      <c r="C12" s="194"/>
      <c r="D12" s="194"/>
      <c r="E12" s="196" t="s">
        <v>749</v>
      </c>
      <c r="F12" s="195">
        <v>800</v>
      </c>
      <c r="G12" s="197" t="s">
        <v>470</v>
      </c>
      <c r="H12" s="197" t="s">
        <v>471</v>
      </c>
      <c r="J12" s="195">
        <v>1</v>
      </c>
      <c r="K12" s="204" t="s">
        <v>224</v>
      </c>
      <c r="L12" s="199">
        <v>1</v>
      </c>
      <c r="M12" s="200">
        <v>0.3</v>
      </c>
      <c r="N12" s="201">
        <v>19</v>
      </c>
    </row>
    <row r="13" spans="1:14">
      <c r="A13" s="194">
        <v>41292.37972222222</v>
      </c>
      <c r="B13" s="195">
        <v>2011</v>
      </c>
      <c r="C13" s="194"/>
      <c r="D13" s="194"/>
      <c r="E13" s="196" t="s">
        <v>1133</v>
      </c>
      <c r="F13" s="195">
        <v>800</v>
      </c>
      <c r="G13" s="197" t="s">
        <v>470</v>
      </c>
      <c r="H13" s="197" t="s">
        <v>471</v>
      </c>
      <c r="J13" s="195">
        <v>1</v>
      </c>
      <c r="K13" s="204" t="s">
        <v>224</v>
      </c>
      <c r="L13" s="199">
        <v>1</v>
      </c>
      <c r="M13" s="200">
        <v>0.4</v>
      </c>
      <c r="N13" s="201">
        <v>24</v>
      </c>
    </row>
    <row r="14" spans="1:14">
      <c r="A14" s="194">
        <v>41301.588356481479</v>
      </c>
      <c r="B14" s="195">
        <v>2011</v>
      </c>
      <c r="C14" s="194"/>
      <c r="D14" s="194"/>
      <c r="E14" s="196" t="s">
        <v>1359</v>
      </c>
      <c r="F14" s="195">
        <v>800</v>
      </c>
      <c r="G14" s="197" t="s">
        <v>470</v>
      </c>
      <c r="H14" s="197" t="s">
        <v>471</v>
      </c>
      <c r="J14" s="195">
        <v>1</v>
      </c>
      <c r="K14" s="204" t="s">
        <v>224</v>
      </c>
      <c r="L14" s="199">
        <v>1</v>
      </c>
      <c r="M14" s="200">
        <v>0.5</v>
      </c>
      <c r="N14" s="201">
        <v>25</v>
      </c>
    </row>
    <row r="15" spans="1:14">
      <c r="A15" s="194">
        <v>41280.408831018518</v>
      </c>
      <c r="B15" s="195">
        <v>2011</v>
      </c>
      <c r="C15" s="194"/>
      <c r="D15" s="194"/>
      <c r="E15" s="196" t="s">
        <v>555</v>
      </c>
      <c r="F15" s="195">
        <v>800</v>
      </c>
      <c r="G15" s="197" t="s">
        <v>470</v>
      </c>
      <c r="H15" s="197" t="s">
        <v>471</v>
      </c>
      <c r="J15" s="195">
        <v>1</v>
      </c>
      <c r="K15" s="204" t="s">
        <v>224</v>
      </c>
      <c r="L15" s="199">
        <v>1</v>
      </c>
      <c r="M15" s="200">
        <v>0.3</v>
      </c>
      <c r="N15" s="201">
        <v>26</v>
      </c>
    </row>
    <row r="16" spans="1:14">
      <c r="A16" s="194">
        <v>41286.913541666669</v>
      </c>
      <c r="B16" s="195">
        <v>2011</v>
      </c>
      <c r="C16" s="194"/>
      <c r="D16" s="194"/>
      <c r="E16" s="196" t="s">
        <v>886</v>
      </c>
      <c r="F16" s="195">
        <v>800</v>
      </c>
      <c r="G16" s="197" t="s">
        <v>470</v>
      </c>
      <c r="H16" s="197" t="s">
        <v>471</v>
      </c>
      <c r="J16" s="195">
        <v>1</v>
      </c>
      <c r="K16" s="204" t="s">
        <v>224</v>
      </c>
      <c r="L16" s="199">
        <v>2</v>
      </c>
      <c r="M16" s="200">
        <v>1.3</v>
      </c>
      <c r="N16" s="201">
        <v>26</v>
      </c>
    </row>
    <row r="17" spans="1:14">
      <c r="A17" s="194">
        <v>41292.623657407406</v>
      </c>
      <c r="B17" s="195">
        <v>2011</v>
      </c>
      <c r="C17" s="194"/>
      <c r="D17" s="194"/>
      <c r="E17" s="196" t="s">
        <v>1134</v>
      </c>
      <c r="F17" s="195">
        <v>800</v>
      </c>
      <c r="G17" s="197" t="s">
        <v>470</v>
      </c>
      <c r="H17" s="197" t="s">
        <v>471</v>
      </c>
      <c r="J17" s="195">
        <v>1</v>
      </c>
      <c r="K17" s="204" t="s">
        <v>224</v>
      </c>
      <c r="L17" s="199">
        <v>2</v>
      </c>
      <c r="M17" s="200">
        <v>0.3</v>
      </c>
      <c r="N17" s="201">
        <v>27</v>
      </c>
    </row>
    <row r="18" spans="1:14">
      <c r="A18" s="194">
        <v>41299.81931712963</v>
      </c>
      <c r="B18" s="195">
        <v>2011</v>
      </c>
      <c r="C18" s="194"/>
      <c r="D18" s="194"/>
      <c r="E18" s="196" t="s">
        <v>1352</v>
      </c>
      <c r="F18" s="195">
        <v>800</v>
      </c>
      <c r="G18" s="197" t="s">
        <v>470</v>
      </c>
      <c r="H18" s="197" t="s">
        <v>471</v>
      </c>
      <c r="J18" s="195">
        <v>1</v>
      </c>
      <c r="K18" s="204" t="s">
        <v>224</v>
      </c>
      <c r="L18" s="199">
        <v>2</v>
      </c>
      <c r="M18" s="200">
        <v>0.3</v>
      </c>
      <c r="N18" s="201">
        <v>27</v>
      </c>
    </row>
    <row r="19" spans="1:14">
      <c r="A19" s="194">
        <v>41295.892245370371</v>
      </c>
      <c r="B19" s="195">
        <v>2011</v>
      </c>
      <c r="C19" s="194"/>
      <c r="D19" s="194"/>
      <c r="E19" s="196" t="s">
        <v>1086</v>
      </c>
      <c r="F19" s="195">
        <v>800</v>
      </c>
      <c r="G19" s="197" t="s">
        <v>470</v>
      </c>
      <c r="H19" s="197" t="s">
        <v>471</v>
      </c>
      <c r="J19" s="195">
        <v>1</v>
      </c>
      <c r="K19" s="204" t="s">
        <v>224</v>
      </c>
      <c r="L19" s="199">
        <v>1</v>
      </c>
      <c r="M19" s="200">
        <v>0.8</v>
      </c>
      <c r="N19" s="201">
        <v>27</v>
      </c>
    </row>
    <row r="20" spans="1:14">
      <c r="A20" s="194">
        <v>41286.646122685182</v>
      </c>
      <c r="B20" s="195">
        <v>2011</v>
      </c>
      <c r="C20" s="194"/>
      <c r="D20" s="194"/>
      <c r="E20" s="196" t="s">
        <v>884</v>
      </c>
      <c r="F20" s="195">
        <v>800</v>
      </c>
      <c r="G20" s="197" t="s">
        <v>470</v>
      </c>
      <c r="H20" s="197" t="s">
        <v>471</v>
      </c>
      <c r="J20" s="195">
        <v>1</v>
      </c>
      <c r="K20" s="204" t="s">
        <v>224</v>
      </c>
      <c r="L20" s="199">
        <v>2</v>
      </c>
      <c r="M20" s="200">
        <v>0.3</v>
      </c>
      <c r="N20" s="201">
        <v>30</v>
      </c>
    </row>
    <row r="21" spans="1:14">
      <c r="A21" s="194">
        <v>41303.813622685186</v>
      </c>
      <c r="B21" s="195">
        <v>2011</v>
      </c>
      <c r="C21" s="194"/>
      <c r="D21" s="194"/>
      <c r="E21" s="196" t="s">
        <v>1480</v>
      </c>
      <c r="F21" s="195">
        <v>800</v>
      </c>
      <c r="G21" s="197" t="s">
        <v>470</v>
      </c>
      <c r="H21" s="197" t="s">
        <v>471</v>
      </c>
      <c r="J21" s="195">
        <v>1</v>
      </c>
      <c r="K21" s="204" t="s">
        <v>224</v>
      </c>
      <c r="L21" s="199">
        <v>2</v>
      </c>
      <c r="M21" s="200">
        <v>0.7</v>
      </c>
      <c r="N21" s="201">
        <v>30</v>
      </c>
    </row>
    <row r="22" spans="1:14">
      <c r="A22" s="194">
        <v>41293.574432870373</v>
      </c>
      <c r="B22" s="195">
        <v>2011</v>
      </c>
      <c r="C22" s="194"/>
      <c r="D22" s="194"/>
      <c r="E22" s="196" t="s">
        <v>1185</v>
      </c>
      <c r="F22" s="195">
        <v>800</v>
      </c>
      <c r="G22" s="197" t="s">
        <v>470</v>
      </c>
      <c r="H22" s="197" t="s">
        <v>471</v>
      </c>
      <c r="J22" s="195">
        <v>1</v>
      </c>
      <c r="K22" s="204" t="s">
        <v>224</v>
      </c>
      <c r="L22" s="199">
        <v>1</v>
      </c>
      <c r="M22" s="200">
        <v>0.8</v>
      </c>
      <c r="N22" s="201">
        <v>30</v>
      </c>
    </row>
    <row r="23" spans="1:14">
      <c r="A23" s="194">
        <v>41284.700092592589</v>
      </c>
      <c r="B23" s="195">
        <v>2011</v>
      </c>
      <c r="C23" s="194"/>
      <c r="D23" s="194"/>
      <c r="E23" s="196" t="s">
        <v>818</v>
      </c>
      <c r="F23" s="195">
        <v>800</v>
      </c>
      <c r="G23" s="197" t="s">
        <v>470</v>
      </c>
      <c r="H23" s="197" t="s">
        <v>471</v>
      </c>
      <c r="J23" s="195">
        <v>1</v>
      </c>
      <c r="K23" s="204" t="s">
        <v>224</v>
      </c>
      <c r="L23" s="199">
        <v>2</v>
      </c>
      <c r="M23" s="200">
        <v>1.2</v>
      </c>
      <c r="N23" s="201">
        <v>31</v>
      </c>
    </row>
    <row r="24" spans="1:14">
      <c r="A24" s="194">
        <v>41301.614988425928</v>
      </c>
      <c r="B24" s="195">
        <v>2011</v>
      </c>
      <c r="C24" s="194"/>
      <c r="D24" s="194"/>
      <c r="E24" s="196" t="s">
        <v>1360</v>
      </c>
      <c r="F24" s="195">
        <v>800</v>
      </c>
      <c r="G24" s="197" t="s">
        <v>470</v>
      </c>
      <c r="H24" s="197" t="s">
        <v>471</v>
      </c>
      <c r="J24" s="195">
        <v>1</v>
      </c>
      <c r="K24" s="204" t="s">
        <v>224</v>
      </c>
      <c r="L24" s="199">
        <v>1</v>
      </c>
      <c r="M24" s="200">
        <v>0.3</v>
      </c>
      <c r="N24" s="201">
        <v>32</v>
      </c>
    </row>
    <row r="25" spans="1:14">
      <c r="A25" s="194">
        <v>41305.73951388889</v>
      </c>
      <c r="B25" s="195">
        <v>2011</v>
      </c>
      <c r="C25" s="194"/>
      <c r="D25" s="194"/>
      <c r="E25" s="196" t="s">
        <v>1558</v>
      </c>
      <c r="F25" s="195">
        <v>800</v>
      </c>
      <c r="G25" s="197" t="s">
        <v>470</v>
      </c>
      <c r="H25" s="197" t="s">
        <v>471</v>
      </c>
      <c r="J25" s="195">
        <v>1</v>
      </c>
      <c r="K25" s="204" t="s">
        <v>224</v>
      </c>
      <c r="L25" s="199">
        <v>1</v>
      </c>
      <c r="M25" s="200">
        <v>0.3</v>
      </c>
      <c r="N25" s="201">
        <v>32</v>
      </c>
    </row>
    <row r="26" spans="1:14">
      <c r="A26" s="194">
        <v>41293.45521990741</v>
      </c>
      <c r="B26" s="195">
        <v>2011</v>
      </c>
      <c r="C26" s="194"/>
      <c r="D26" s="194"/>
      <c r="E26" s="196" t="s">
        <v>1184</v>
      </c>
      <c r="F26" s="195">
        <v>800</v>
      </c>
      <c r="G26" s="197" t="s">
        <v>470</v>
      </c>
      <c r="H26" s="197" t="s">
        <v>471</v>
      </c>
      <c r="J26" s="195">
        <v>1</v>
      </c>
      <c r="K26" s="204" t="s">
        <v>224</v>
      </c>
      <c r="L26" s="199">
        <v>2</v>
      </c>
      <c r="M26" s="200">
        <v>0.3</v>
      </c>
      <c r="N26" s="201">
        <v>33</v>
      </c>
    </row>
    <row r="27" spans="1:14">
      <c r="A27" s="194">
        <v>41286.570868055554</v>
      </c>
      <c r="B27" s="195">
        <v>2011</v>
      </c>
      <c r="C27" s="194"/>
      <c r="D27" s="194"/>
      <c r="E27" s="196" t="s">
        <v>880</v>
      </c>
      <c r="F27" s="195">
        <v>800</v>
      </c>
      <c r="G27" s="197" t="s">
        <v>470</v>
      </c>
      <c r="H27" s="197" t="s">
        <v>471</v>
      </c>
      <c r="J27" s="195">
        <v>1</v>
      </c>
      <c r="K27" s="204" t="s">
        <v>224</v>
      </c>
      <c r="L27" s="199">
        <v>2</v>
      </c>
      <c r="M27" s="200">
        <v>0.4</v>
      </c>
      <c r="N27" s="201">
        <v>33</v>
      </c>
    </row>
    <row r="28" spans="1:14">
      <c r="A28" s="194">
        <v>41286.669270833336</v>
      </c>
      <c r="B28" s="195">
        <v>2011</v>
      </c>
      <c r="C28" s="194"/>
      <c r="D28" s="194"/>
      <c r="E28" s="196" t="s">
        <v>885</v>
      </c>
      <c r="F28" s="195">
        <v>800</v>
      </c>
      <c r="G28" s="197" t="s">
        <v>470</v>
      </c>
      <c r="H28" s="197" t="s">
        <v>471</v>
      </c>
      <c r="J28" s="195">
        <v>1</v>
      </c>
      <c r="K28" s="204" t="s">
        <v>224</v>
      </c>
      <c r="L28" s="199">
        <v>1</v>
      </c>
      <c r="M28" s="200">
        <v>0.5</v>
      </c>
      <c r="N28" s="201">
        <v>33</v>
      </c>
    </row>
    <row r="29" spans="1:14">
      <c r="A29" s="194">
        <v>41297.442013888889</v>
      </c>
      <c r="B29" s="195">
        <v>2011</v>
      </c>
      <c r="C29" s="194"/>
      <c r="D29" s="194"/>
      <c r="E29" s="196" t="s">
        <v>1283</v>
      </c>
      <c r="F29" s="195">
        <v>800</v>
      </c>
      <c r="G29" s="197" t="s">
        <v>470</v>
      </c>
      <c r="H29" s="197" t="s">
        <v>471</v>
      </c>
      <c r="J29" s="195">
        <v>1</v>
      </c>
      <c r="K29" s="204" t="s">
        <v>224</v>
      </c>
      <c r="L29" s="199">
        <v>1</v>
      </c>
      <c r="M29" s="200">
        <v>1.2</v>
      </c>
      <c r="N29" s="201">
        <v>33</v>
      </c>
    </row>
    <row r="30" spans="1:14">
      <c r="A30" s="194">
        <v>41288.584317129629</v>
      </c>
      <c r="B30" s="195">
        <v>2011</v>
      </c>
      <c r="C30" s="194"/>
      <c r="D30" s="194"/>
      <c r="E30" s="196" t="s">
        <v>943</v>
      </c>
      <c r="F30" s="195">
        <v>800</v>
      </c>
      <c r="G30" s="197" t="s">
        <v>470</v>
      </c>
      <c r="H30" s="197" t="s">
        <v>471</v>
      </c>
      <c r="J30" s="195">
        <v>1</v>
      </c>
      <c r="K30" s="204" t="s">
        <v>224</v>
      </c>
      <c r="L30" s="199">
        <v>1</v>
      </c>
      <c r="M30" s="200">
        <v>0.4</v>
      </c>
      <c r="N30" s="201">
        <v>34</v>
      </c>
    </row>
    <row r="31" spans="1:14">
      <c r="A31" s="194">
        <v>41290.283888888887</v>
      </c>
      <c r="B31" s="195">
        <v>2011</v>
      </c>
      <c r="C31" s="194"/>
      <c r="D31" s="194"/>
      <c r="E31" s="196" t="s">
        <v>1009</v>
      </c>
      <c r="F31" s="195">
        <v>800</v>
      </c>
      <c r="G31" s="197" t="s">
        <v>470</v>
      </c>
      <c r="H31" s="197" t="s">
        <v>471</v>
      </c>
      <c r="J31" s="195">
        <v>1</v>
      </c>
      <c r="K31" s="204" t="s">
        <v>224</v>
      </c>
      <c r="L31" s="199">
        <v>2</v>
      </c>
      <c r="M31" s="200">
        <v>0.4</v>
      </c>
      <c r="N31" s="201">
        <v>34</v>
      </c>
    </row>
    <row r="32" spans="1:14">
      <c r="A32" s="194">
        <v>41302.845879629633</v>
      </c>
      <c r="B32" s="195">
        <v>2011</v>
      </c>
      <c r="C32" s="194"/>
      <c r="D32" s="194"/>
      <c r="E32" s="196" t="s">
        <v>1453</v>
      </c>
      <c r="F32" s="195">
        <v>800</v>
      </c>
      <c r="G32" s="197" t="s">
        <v>470</v>
      </c>
      <c r="H32" s="197" t="s">
        <v>471</v>
      </c>
      <c r="J32" s="195">
        <v>1</v>
      </c>
      <c r="K32" s="204" t="s">
        <v>224</v>
      </c>
      <c r="L32" s="199">
        <v>2</v>
      </c>
      <c r="M32" s="200">
        <v>0.8</v>
      </c>
      <c r="N32" s="201">
        <v>34</v>
      </c>
    </row>
    <row r="33" spans="1:14">
      <c r="A33" s="194">
        <v>41303.398576388892</v>
      </c>
      <c r="B33" s="195">
        <v>2011</v>
      </c>
      <c r="C33" s="194"/>
      <c r="D33" s="194"/>
      <c r="E33" s="196" t="s">
        <v>1479</v>
      </c>
      <c r="F33" s="195">
        <v>800</v>
      </c>
      <c r="G33" s="197" t="s">
        <v>470</v>
      </c>
      <c r="H33" s="197" t="s">
        <v>471</v>
      </c>
      <c r="J33" s="195">
        <v>1</v>
      </c>
      <c r="K33" s="204" t="s">
        <v>224</v>
      </c>
      <c r="L33" s="199">
        <v>2</v>
      </c>
      <c r="M33" s="200">
        <v>0.4</v>
      </c>
      <c r="N33" s="201">
        <v>35</v>
      </c>
    </row>
    <row r="34" spans="1:14">
      <c r="A34" s="194">
        <v>41303.392337962963</v>
      </c>
      <c r="B34" s="195">
        <v>2011</v>
      </c>
      <c r="C34" s="194"/>
      <c r="D34" s="194"/>
      <c r="E34" s="196" t="s">
        <v>1478</v>
      </c>
      <c r="F34" s="195">
        <v>800</v>
      </c>
      <c r="G34" s="197" t="s">
        <v>470</v>
      </c>
      <c r="H34" s="197" t="s">
        <v>471</v>
      </c>
      <c r="J34" s="195">
        <v>1</v>
      </c>
      <c r="K34" s="204" t="s">
        <v>224</v>
      </c>
      <c r="L34" s="199">
        <v>2</v>
      </c>
      <c r="M34" s="200">
        <v>1</v>
      </c>
      <c r="N34" s="201">
        <v>35</v>
      </c>
    </row>
    <row r="35" spans="1:14">
      <c r="A35" s="194">
        <v>41296.496365740742</v>
      </c>
      <c r="B35" s="195">
        <v>2011</v>
      </c>
      <c r="C35" s="194"/>
      <c r="D35" s="194"/>
      <c r="E35" s="196" t="s">
        <v>1268</v>
      </c>
      <c r="F35" s="195">
        <v>800</v>
      </c>
      <c r="G35" s="197" t="s">
        <v>470</v>
      </c>
      <c r="H35" s="197" t="s">
        <v>471</v>
      </c>
      <c r="J35" s="195">
        <v>1</v>
      </c>
      <c r="K35" s="204" t="s">
        <v>224</v>
      </c>
      <c r="L35" s="199">
        <v>1</v>
      </c>
      <c r="M35" s="200">
        <v>0.4</v>
      </c>
      <c r="N35" s="201">
        <v>36</v>
      </c>
    </row>
    <row r="36" spans="1:14">
      <c r="A36" s="194">
        <v>41298.370393518519</v>
      </c>
      <c r="B36" s="195">
        <v>2011</v>
      </c>
      <c r="C36" s="194"/>
      <c r="D36" s="194"/>
      <c r="E36" s="196" t="s">
        <v>1279</v>
      </c>
      <c r="F36" s="195">
        <v>800</v>
      </c>
      <c r="G36" s="197" t="s">
        <v>470</v>
      </c>
      <c r="H36" s="197" t="s">
        <v>471</v>
      </c>
      <c r="J36" s="195">
        <v>1</v>
      </c>
      <c r="K36" s="204" t="s">
        <v>224</v>
      </c>
      <c r="L36" s="199">
        <v>1</v>
      </c>
      <c r="M36" s="200">
        <v>0.5</v>
      </c>
      <c r="N36" s="201">
        <v>36</v>
      </c>
    </row>
    <row r="37" spans="1:14">
      <c r="A37" s="194">
        <v>41275.77988425926</v>
      </c>
      <c r="B37" s="195">
        <v>2011</v>
      </c>
      <c r="C37" s="194"/>
      <c r="D37" s="194"/>
      <c r="E37" s="196" t="s">
        <v>475</v>
      </c>
      <c r="F37" s="195">
        <v>800</v>
      </c>
      <c r="G37" s="197" t="s">
        <v>470</v>
      </c>
      <c r="H37" s="197" t="s">
        <v>471</v>
      </c>
      <c r="J37" s="195">
        <v>1</v>
      </c>
      <c r="K37" s="204" t="s">
        <v>224</v>
      </c>
      <c r="L37" s="199">
        <v>2</v>
      </c>
      <c r="M37" s="200">
        <v>0.6</v>
      </c>
      <c r="N37" s="201">
        <v>36</v>
      </c>
    </row>
    <row r="38" spans="1:14">
      <c r="A38" s="194">
        <v>41282.015243055554</v>
      </c>
      <c r="B38" s="195">
        <v>2011</v>
      </c>
      <c r="C38" s="194"/>
      <c r="D38" s="194"/>
      <c r="E38" s="196" t="s">
        <v>723</v>
      </c>
      <c r="F38" s="195">
        <v>800</v>
      </c>
      <c r="G38" s="197" t="s">
        <v>470</v>
      </c>
      <c r="H38" s="197" t="s">
        <v>471</v>
      </c>
      <c r="J38" s="195">
        <v>1</v>
      </c>
      <c r="K38" s="204" t="s">
        <v>224</v>
      </c>
      <c r="L38" s="199">
        <v>1</v>
      </c>
      <c r="M38" s="200">
        <v>0.6</v>
      </c>
      <c r="N38" s="201">
        <v>36</v>
      </c>
    </row>
    <row r="39" spans="1:14">
      <c r="A39" s="194">
        <v>41305.23027777778</v>
      </c>
      <c r="B39" s="195">
        <v>2011</v>
      </c>
      <c r="C39" s="194"/>
      <c r="D39" s="194"/>
      <c r="E39" s="196" t="s">
        <v>1457</v>
      </c>
      <c r="F39" s="195">
        <v>800</v>
      </c>
      <c r="G39" s="197" t="s">
        <v>470</v>
      </c>
      <c r="H39" s="197" t="s">
        <v>471</v>
      </c>
      <c r="J39" s="195">
        <v>1</v>
      </c>
      <c r="K39" s="204" t="s">
        <v>224</v>
      </c>
      <c r="L39" s="199">
        <v>1</v>
      </c>
      <c r="M39" s="200">
        <v>0.8</v>
      </c>
      <c r="N39" s="201">
        <v>39</v>
      </c>
    </row>
    <row r="40" spans="1:14">
      <c r="A40" s="194">
        <v>41285.827303240738</v>
      </c>
      <c r="B40" s="195">
        <v>2011</v>
      </c>
      <c r="C40" s="194"/>
      <c r="D40" s="194"/>
      <c r="E40" s="196" t="s">
        <v>840</v>
      </c>
      <c r="F40" s="195">
        <v>800</v>
      </c>
      <c r="G40" s="197" t="s">
        <v>470</v>
      </c>
      <c r="H40" s="197" t="s">
        <v>471</v>
      </c>
      <c r="J40" s="195">
        <v>1</v>
      </c>
      <c r="K40" s="204" t="s">
        <v>224</v>
      </c>
      <c r="L40" s="199">
        <v>1</v>
      </c>
      <c r="M40" s="200">
        <v>0.4</v>
      </c>
      <c r="N40" s="201">
        <v>40</v>
      </c>
    </row>
    <row r="41" spans="1:14">
      <c r="A41" s="194">
        <v>41283.2890625</v>
      </c>
      <c r="B41" s="195">
        <v>2011</v>
      </c>
      <c r="C41" s="194"/>
      <c r="D41" s="194"/>
      <c r="E41" s="196" t="s">
        <v>748</v>
      </c>
      <c r="F41" s="195">
        <v>800</v>
      </c>
      <c r="G41" s="197" t="s">
        <v>470</v>
      </c>
      <c r="H41" s="197" t="s">
        <v>471</v>
      </c>
      <c r="J41" s="195">
        <v>1</v>
      </c>
      <c r="K41" s="204" t="s">
        <v>224</v>
      </c>
      <c r="L41" s="199">
        <v>2</v>
      </c>
      <c r="M41" s="200">
        <v>0.4</v>
      </c>
      <c r="N41" s="201">
        <v>41</v>
      </c>
    </row>
    <row r="42" spans="1:14">
      <c r="A42" s="194">
        <v>41295.41207175926</v>
      </c>
      <c r="B42" s="195">
        <v>2011</v>
      </c>
      <c r="C42" s="194"/>
      <c r="D42" s="194"/>
      <c r="E42" s="196" t="s">
        <v>1085</v>
      </c>
      <c r="F42" s="195">
        <v>800</v>
      </c>
      <c r="G42" s="197" t="s">
        <v>470</v>
      </c>
      <c r="H42" s="197" t="s">
        <v>471</v>
      </c>
      <c r="J42" s="195">
        <v>1</v>
      </c>
      <c r="K42" s="204" t="s">
        <v>224</v>
      </c>
      <c r="L42" s="199">
        <v>1</v>
      </c>
      <c r="M42" s="200">
        <v>0.4</v>
      </c>
      <c r="N42" s="201">
        <v>41</v>
      </c>
    </row>
    <row r="43" spans="1:14">
      <c r="A43" s="194">
        <v>41297.960775462961</v>
      </c>
      <c r="B43" s="195">
        <v>2011</v>
      </c>
      <c r="C43" s="194"/>
      <c r="D43" s="194"/>
      <c r="E43" s="196" t="s">
        <v>1284</v>
      </c>
      <c r="F43" s="195">
        <v>800</v>
      </c>
      <c r="G43" s="197" t="s">
        <v>470</v>
      </c>
      <c r="H43" s="197" t="s">
        <v>471</v>
      </c>
      <c r="J43" s="195">
        <v>1</v>
      </c>
      <c r="K43" s="204" t="s">
        <v>224</v>
      </c>
      <c r="L43" s="199">
        <v>1</v>
      </c>
      <c r="M43" s="200">
        <v>0.7</v>
      </c>
      <c r="N43" s="201">
        <v>41</v>
      </c>
    </row>
    <row r="44" spans="1:14">
      <c r="A44" s="194">
        <v>41282.397418981483</v>
      </c>
      <c r="B44" s="195">
        <v>2011</v>
      </c>
      <c r="C44" s="194"/>
      <c r="D44" s="194"/>
      <c r="E44" s="196" t="s">
        <v>724</v>
      </c>
      <c r="F44" s="195">
        <v>800</v>
      </c>
      <c r="G44" s="197" t="s">
        <v>470</v>
      </c>
      <c r="H44" s="197" t="s">
        <v>471</v>
      </c>
      <c r="J44" s="195">
        <v>1</v>
      </c>
      <c r="K44" s="204" t="s">
        <v>224</v>
      </c>
      <c r="L44" s="199">
        <v>1</v>
      </c>
      <c r="M44" s="200">
        <v>0.4</v>
      </c>
      <c r="N44" s="201">
        <v>42</v>
      </c>
    </row>
    <row r="45" spans="1:14">
      <c r="A45" s="194">
        <v>41280.693564814814</v>
      </c>
      <c r="B45" s="195">
        <v>2011</v>
      </c>
      <c r="C45" s="194"/>
      <c r="D45" s="194"/>
      <c r="E45" s="196" t="s">
        <v>559</v>
      </c>
      <c r="F45" s="195">
        <v>800</v>
      </c>
      <c r="G45" s="197" t="s">
        <v>470</v>
      </c>
      <c r="H45" s="197" t="s">
        <v>471</v>
      </c>
      <c r="J45" s="195">
        <v>1</v>
      </c>
      <c r="K45" s="204" t="s">
        <v>224</v>
      </c>
      <c r="L45" s="199">
        <v>1</v>
      </c>
      <c r="M45" s="200">
        <v>0.5</v>
      </c>
      <c r="N45" s="201">
        <v>42</v>
      </c>
    </row>
    <row r="46" spans="1:14">
      <c r="A46" s="194">
        <v>41299.466319444444</v>
      </c>
      <c r="B46" s="195">
        <v>2011</v>
      </c>
      <c r="C46" s="194"/>
      <c r="D46" s="194"/>
      <c r="E46" s="196" t="s">
        <v>1351</v>
      </c>
      <c r="F46" s="195">
        <v>800</v>
      </c>
      <c r="G46" s="197" t="s">
        <v>470</v>
      </c>
      <c r="H46" s="197" t="s">
        <v>471</v>
      </c>
      <c r="J46" s="195">
        <v>1</v>
      </c>
      <c r="K46" s="204" t="s">
        <v>224</v>
      </c>
      <c r="L46" s="199">
        <v>1</v>
      </c>
      <c r="M46" s="200">
        <v>0.3</v>
      </c>
      <c r="N46" s="201">
        <v>45</v>
      </c>
    </row>
    <row r="47" spans="1:14">
      <c r="A47" s="194">
        <v>41302.527604166666</v>
      </c>
      <c r="B47" s="195">
        <v>2011</v>
      </c>
      <c r="C47" s="194"/>
      <c r="D47" s="194"/>
      <c r="E47" s="196" t="s">
        <v>1452</v>
      </c>
      <c r="F47" s="195">
        <v>800</v>
      </c>
      <c r="G47" s="197" t="s">
        <v>470</v>
      </c>
      <c r="H47" s="197" t="s">
        <v>471</v>
      </c>
      <c r="J47" s="195">
        <v>1</v>
      </c>
      <c r="K47" s="204" t="s">
        <v>224</v>
      </c>
      <c r="L47" s="199">
        <v>1</v>
      </c>
      <c r="M47" s="200">
        <v>0.6</v>
      </c>
      <c r="N47" s="201">
        <v>49</v>
      </c>
    </row>
    <row r="48" spans="1:14">
      <c r="A48" s="194">
        <v>41285.931041666663</v>
      </c>
      <c r="B48" s="195">
        <v>2011</v>
      </c>
      <c r="C48" s="194"/>
      <c r="D48" s="194"/>
      <c r="E48" s="198"/>
      <c r="G48" s="202"/>
      <c r="J48" s="195">
        <v>2</v>
      </c>
      <c r="K48" s="204" t="s">
        <v>32</v>
      </c>
      <c r="L48" s="199">
        <v>1</v>
      </c>
      <c r="M48" s="200">
        <v>0.4</v>
      </c>
      <c r="N48" s="201">
        <v>17</v>
      </c>
    </row>
    <row r="49" spans="1:14">
      <c r="A49" s="194">
        <v>41298.188784722224</v>
      </c>
      <c r="B49" s="195">
        <v>2011</v>
      </c>
      <c r="C49" s="194"/>
      <c r="D49" s="194"/>
      <c r="E49" s="198"/>
      <c r="G49" s="202"/>
      <c r="J49" s="195">
        <v>2</v>
      </c>
      <c r="K49" s="204" t="s">
        <v>32</v>
      </c>
      <c r="L49" s="199">
        <v>2</v>
      </c>
      <c r="M49" s="200">
        <v>17.8</v>
      </c>
      <c r="N49" s="201">
        <v>18</v>
      </c>
    </row>
    <row r="50" spans="1:14">
      <c r="A50" s="194">
        <v>41298.613275462965</v>
      </c>
      <c r="B50" s="195">
        <v>2011</v>
      </c>
      <c r="C50" s="194"/>
      <c r="D50" s="194"/>
      <c r="E50" s="198"/>
      <c r="G50" s="202"/>
      <c r="J50" s="195">
        <v>2</v>
      </c>
      <c r="K50" s="204" t="s">
        <v>32</v>
      </c>
      <c r="L50" s="199">
        <v>1</v>
      </c>
      <c r="M50" s="200">
        <v>0.6</v>
      </c>
      <c r="N50" s="201">
        <v>27</v>
      </c>
    </row>
    <row r="51" spans="1:14">
      <c r="A51" s="194">
        <v>41287.502592592595</v>
      </c>
      <c r="B51" s="195">
        <v>2011</v>
      </c>
      <c r="C51" s="194"/>
      <c r="D51" s="194"/>
      <c r="E51" s="198"/>
      <c r="G51" s="202"/>
      <c r="J51" s="195">
        <v>2</v>
      </c>
      <c r="K51" s="204" t="s">
        <v>32</v>
      </c>
      <c r="L51" s="199">
        <v>2</v>
      </c>
      <c r="M51" s="200">
        <v>0.3</v>
      </c>
      <c r="N51" s="201">
        <v>28</v>
      </c>
    </row>
    <row r="52" spans="1:14">
      <c r="A52" s="194">
        <v>41286.631064814814</v>
      </c>
      <c r="B52" s="195">
        <v>2011</v>
      </c>
      <c r="C52" s="194"/>
      <c r="D52" s="194"/>
      <c r="E52" s="198"/>
      <c r="G52" s="202"/>
      <c r="J52" s="195">
        <v>2</v>
      </c>
      <c r="K52" s="204" t="s">
        <v>32</v>
      </c>
      <c r="L52" s="199">
        <v>2</v>
      </c>
      <c r="M52" s="200">
        <v>0.8</v>
      </c>
      <c r="N52" s="201">
        <v>28</v>
      </c>
    </row>
    <row r="53" spans="1:14">
      <c r="A53" s="194">
        <v>41303.631874999999</v>
      </c>
      <c r="B53" s="195">
        <v>2011</v>
      </c>
      <c r="C53" s="194"/>
      <c r="D53" s="194"/>
      <c r="E53" s="198"/>
      <c r="G53" s="202"/>
      <c r="J53" s="195">
        <v>2</v>
      </c>
      <c r="K53" s="204" t="s">
        <v>32</v>
      </c>
      <c r="L53" s="199">
        <v>1</v>
      </c>
      <c r="M53" s="200">
        <v>0.3</v>
      </c>
      <c r="N53" s="201">
        <v>33</v>
      </c>
    </row>
    <row r="54" spans="1:14">
      <c r="A54" s="194">
        <v>41303.737222222226</v>
      </c>
      <c r="B54" s="195">
        <v>2011</v>
      </c>
      <c r="C54" s="194"/>
      <c r="D54" s="194"/>
      <c r="E54" s="198"/>
      <c r="G54" s="202"/>
      <c r="J54" s="195">
        <v>2</v>
      </c>
      <c r="K54" s="204" t="s">
        <v>32</v>
      </c>
      <c r="L54" s="199">
        <v>1</v>
      </c>
      <c r="M54" s="200">
        <v>0.4</v>
      </c>
      <c r="N54" s="201">
        <v>33</v>
      </c>
    </row>
    <row r="55" spans="1:14">
      <c r="A55" s="194">
        <v>41285.846967592595</v>
      </c>
      <c r="B55" s="195">
        <v>2011</v>
      </c>
      <c r="C55" s="194"/>
      <c r="D55" s="194"/>
      <c r="E55" s="198"/>
      <c r="G55" s="202"/>
      <c r="J55" s="195">
        <v>2</v>
      </c>
      <c r="K55" s="204" t="s">
        <v>32</v>
      </c>
      <c r="L55" s="199">
        <v>2</v>
      </c>
      <c r="M55" s="200">
        <v>0.4</v>
      </c>
      <c r="N55" s="201">
        <v>34</v>
      </c>
    </row>
    <row r="56" spans="1:14">
      <c r="A56" s="194">
        <v>41275.357777777775</v>
      </c>
      <c r="B56" s="195">
        <v>2011</v>
      </c>
      <c r="C56" s="194"/>
      <c r="D56" s="194"/>
      <c r="E56" s="198"/>
      <c r="G56" s="202"/>
      <c r="J56" s="195">
        <v>2</v>
      </c>
      <c r="K56" s="204" t="s">
        <v>32</v>
      </c>
      <c r="L56" s="199">
        <v>2</v>
      </c>
      <c r="M56" s="200">
        <v>0.3</v>
      </c>
      <c r="N56" s="201">
        <v>38</v>
      </c>
    </row>
    <row r="57" spans="1:14">
      <c r="A57" s="194">
        <v>41282.395335648151</v>
      </c>
      <c r="B57" s="195">
        <v>2011</v>
      </c>
      <c r="C57" s="194"/>
      <c r="D57" s="194"/>
      <c r="E57" s="198"/>
      <c r="G57" s="202"/>
      <c r="J57" s="195">
        <v>2</v>
      </c>
      <c r="K57" s="204" t="s">
        <v>32</v>
      </c>
      <c r="L57" s="199">
        <v>1</v>
      </c>
      <c r="M57" s="200">
        <v>0.4</v>
      </c>
      <c r="N57" s="201">
        <v>40</v>
      </c>
    </row>
    <row r="58" spans="1:14">
      <c r="A58" s="194">
        <v>41296.860949074071</v>
      </c>
      <c r="B58" s="195">
        <v>2011</v>
      </c>
      <c r="C58" s="194"/>
      <c r="D58" s="194"/>
      <c r="E58" s="198"/>
      <c r="G58" s="202"/>
      <c r="J58" s="195">
        <v>2</v>
      </c>
      <c r="K58" s="204" t="s">
        <v>32</v>
      </c>
      <c r="L58" s="199">
        <v>2</v>
      </c>
      <c r="M58" s="200">
        <v>0.3</v>
      </c>
      <c r="N58" s="201">
        <v>42</v>
      </c>
    </row>
    <row r="59" spans="1:14">
      <c r="A59" s="194">
        <v>41276.488182870373</v>
      </c>
      <c r="B59" s="195">
        <v>2011</v>
      </c>
      <c r="C59" s="194"/>
      <c r="D59" s="194"/>
      <c r="E59" s="198"/>
      <c r="G59" s="202"/>
      <c r="J59" s="195">
        <v>3</v>
      </c>
      <c r="K59" s="204" t="s">
        <v>1595</v>
      </c>
      <c r="L59" s="199">
        <v>2</v>
      </c>
      <c r="M59" s="200">
        <v>0.4</v>
      </c>
      <c r="N59" s="201">
        <v>35</v>
      </c>
    </row>
    <row r="60" spans="1:14">
      <c r="A60" s="194">
        <v>41302.994062500002</v>
      </c>
      <c r="B60" s="195">
        <v>2011</v>
      </c>
      <c r="C60" s="194"/>
      <c r="D60" s="194"/>
      <c r="E60" s="198"/>
      <c r="G60" s="202"/>
      <c r="J60" s="195">
        <v>3</v>
      </c>
      <c r="K60" s="204" t="s">
        <v>1595</v>
      </c>
      <c r="L60" s="199">
        <v>2</v>
      </c>
      <c r="M60" s="200">
        <v>0.3</v>
      </c>
      <c r="N60" s="201">
        <v>38</v>
      </c>
    </row>
    <row r="61" spans="1:14">
      <c r="A61" s="194">
        <v>41296.585497685184</v>
      </c>
      <c r="B61" s="195">
        <v>2011</v>
      </c>
      <c r="C61" s="194"/>
      <c r="D61" s="194"/>
      <c r="E61" s="198"/>
      <c r="G61" s="202"/>
      <c r="J61" s="195">
        <v>10</v>
      </c>
      <c r="K61" s="204" t="s">
        <v>31</v>
      </c>
      <c r="L61" s="199">
        <v>1</v>
      </c>
      <c r="M61" s="200">
        <v>0.3</v>
      </c>
      <c r="N61" s="201">
        <v>41</v>
      </c>
    </row>
    <row r="62" spans="1:14">
      <c r="A62" s="194">
        <v>41285.535624999997</v>
      </c>
      <c r="B62" s="195">
        <v>2011</v>
      </c>
      <c r="C62" s="194"/>
      <c r="D62" s="194"/>
      <c r="E62" s="198"/>
      <c r="G62" s="202"/>
      <c r="J62" s="195">
        <v>10</v>
      </c>
      <c r="K62" s="204" t="s">
        <v>31</v>
      </c>
      <c r="L62" s="199">
        <v>1</v>
      </c>
      <c r="M62" s="200">
        <v>0.8</v>
      </c>
      <c r="N62" s="201">
        <v>42</v>
      </c>
    </row>
    <row r="63" spans="1:14">
      <c r="A63" s="194">
        <v>41296.490590277775</v>
      </c>
      <c r="B63" s="195">
        <v>2011</v>
      </c>
      <c r="C63" s="194"/>
      <c r="D63" s="194"/>
      <c r="E63" s="196" t="s">
        <v>1800</v>
      </c>
      <c r="G63" s="202"/>
      <c r="J63" s="195">
        <v>12</v>
      </c>
      <c r="K63" s="204" t="s">
        <v>7</v>
      </c>
      <c r="L63" s="199">
        <v>2</v>
      </c>
      <c r="M63" s="200">
        <v>0.6</v>
      </c>
      <c r="N63" s="201">
        <v>29</v>
      </c>
    </row>
    <row r="64" spans="1:14">
      <c r="A64" s="194">
        <v>41296.283912037034</v>
      </c>
      <c r="B64" s="195">
        <v>2011</v>
      </c>
      <c r="C64" s="194"/>
      <c r="D64" s="194"/>
      <c r="E64" s="196" t="s">
        <v>2115</v>
      </c>
      <c r="G64" s="202"/>
      <c r="J64" s="195">
        <v>13</v>
      </c>
      <c r="K64" s="204" t="s">
        <v>3</v>
      </c>
      <c r="L64" s="199">
        <v>1</v>
      </c>
      <c r="M64" s="200">
        <v>0.4</v>
      </c>
      <c r="N64" s="201">
        <v>40</v>
      </c>
    </row>
    <row r="65" spans="1:14">
      <c r="A65" s="194">
        <v>41290.288055555553</v>
      </c>
      <c r="B65" s="195">
        <v>2011</v>
      </c>
      <c r="C65" s="194"/>
      <c r="D65" s="194"/>
      <c r="E65" s="198"/>
      <c r="G65" s="202"/>
      <c r="J65" s="195">
        <v>13</v>
      </c>
      <c r="K65" s="204" t="s">
        <v>3</v>
      </c>
      <c r="L65" s="199">
        <v>1</v>
      </c>
      <c r="M65" s="200">
        <v>0.4</v>
      </c>
      <c r="N65" s="201">
        <v>41</v>
      </c>
    </row>
    <row r="66" spans="1:14">
      <c r="A66" s="194">
        <v>41294.680798611109</v>
      </c>
      <c r="B66" s="195">
        <v>2011</v>
      </c>
      <c r="C66" s="194"/>
      <c r="D66" s="194"/>
      <c r="E66" s="198"/>
      <c r="G66" s="202"/>
      <c r="J66" s="195">
        <v>15</v>
      </c>
      <c r="K66" s="204" t="s">
        <v>4</v>
      </c>
      <c r="L66" s="199">
        <v>1</v>
      </c>
      <c r="M66" s="200">
        <v>0.4</v>
      </c>
      <c r="N66" s="201">
        <v>25</v>
      </c>
    </row>
    <row r="67" spans="1:14">
      <c r="A67" s="194">
        <v>41287.177731481483</v>
      </c>
      <c r="B67" s="195">
        <v>2011</v>
      </c>
      <c r="C67" s="194"/>
      <c r="D67" s="194"/>
      <c r="E67" s="198"/>
      <c r="G67" s="202"/>
      <c r="J67" s="195">
        <v>18</v>
      </c>
      <c r="K67" s="204" t="s">
        <v>5</v>
      </c>
      <c r="L67" s="199">
        <v>2</v>
      </c>
      <c r="M67" s="200">
        <v>27.8</v>
      </c>
      <c r="N67" s="201">
        <v>15</v>
      </c>
    </row>
    <row r="68" spans="1:14">
      <c r="A68" s="194">
        <v>41293.759652777779</v>
      </c>
      <c r="B68" s="195">
        <v>2011</v>
      </c>
      <c r="C68" s="194"/>
      <c r="D68" s="194"/>
      <c r="E68" s="196" t="s">
        <v>1692</v>
      </c>
      <c r="G68" s="202"/>
      <c r="J68" s="195">
        <v>24</v>
      </c>
      <c r="K68" s="204" t="s">
        <v>25</v>
      </c>
      <c r="L68" s="199">
        <v>1</v>
      </c>
      <c r="M68" s="200">
        <v>0.7</v>
      </c>
      <c r="N68" s="201">
        <v>20</v>
      </c>
    </row>
    <row r="69" spans="1:14">
      <c r="A69" s="194">
        <v>41286.537291666667</v>
      </c>
      <c r="B69" s="195">
        <v>2011</v>
      </c>
      <c r="C69" s="194"/>
      <c r="D69" s="194"/>
      <c r="E69" s="196" t="s">
        <v>1633</v>
      </c>
      <c r="G69" s="202"/>
      <c r="J69" s="195">
        <v>24</v>
      </c>
      <c r="K69" s="204" t="s">
        <v>25</v>
      </c>
      <c r="L69" s="199">
        <v>1</v>
      </c>
      <c r="M69" s="200">
        <v>0.6</v>
      </c>
      <c r="N69" s="201">
        <v>21</v>
      </c>
    </row>
    <row r="70" spans="1:14">
      <c r="A70" s="194">
        <v>41291.86209490741</v>
      </c>
      <c r="B70" s="195">
        <v>2011</v>
      </c>
      <c r="C70" s="194"/>
      <c r="D70" s="194"/>
      <c r="E70" s="196" t="s">
        <v>1897</v>
      </c>
      <c r="G70" s="202"/>
      <c r="J70" s="195">
        <v>24</v>
      </c>
      <c r="K70" s="204" t="s">
        <v>25</v>
      </c>
      <c r="L70" s="199">
        <v>2</v>
      </c>
      <c r="M70" s="200">
        <v>0.8</v>
      </c>
      <c r="N70" s="201">
        <v>22</v>
      </c>
    </row>
    <row r="71" spans="1:14">
      <c r="A71" s="194">
        <v>41299.524189814816</v>
      </c>
      <c r="B71" s="195">
        <v>2011</v>
      </c>
      <c r="C71" s="194"/>
      <c r="D71" s="194"/>
      <c r="E71" s="196" t="s">
        <v>1850</v>
      </c>
      <c r="G71" s="202"/>
      <c r="J71" s="195">
        <v>24</v>
      </c>
      <c r="K71" s="204" t="s">
        <v>25</v>
      </c>
      <c r="L71" s="199">
        <v>1</v>
      </c>
      <c r="M71" s="200">
        <v>0.8</v>
      </c>
      <c r="N71" s="201">
        <v>24</v>
      </c>
    </row>
    <row r="72" spans="1:14">
      <c r="A72" s="194">
        <v>41304.609861111108</v>
      </c>
      <c r="B72" s="195">
        <v>2011</v>
      </c>
      <c r="C72" s="194"/>
      <c r="D72" s="194"/>
      <c r="E72" s="196" t="s">
        <v>2105</v>
      </c>
      <c r="G72" s="202"/>
      <c r="J72" s="195">
        <v>24</v>
      </c>
      <c r="K72" s="204" t="s">
        <v>25</v>
      </c>
      <c r="L72" s="199">
        <v>2</v>
      </c>
      <c r="M72" s="200">
        <v>0.5</v>
      </c>
      <c r="N72" s="201">
        <v>32</v>
      </c>
    </row>
    <row r="73" spans="1:14">
      <c r="A73" s="194">
        <v>41302.369351851848</v>
      </c>
      <c r="B73" s="195">
        <v>2011</v>
      </c>
      <c r="C73" s="194"/>
      <c r="D73" s="194"/>
      <c r="E73" s="196" t="s">
        <v>1884</v>
      </c>
      <c r="G73" s="202"/>
      <c r="J73" s="195">
        <v>24</v>
      </c>
      <c r="K73" s="204" t="s">
        <v>25</v>
      </c>
      <c r="L73" s="199">
        <v>2</v>
      </c>
      <c r="M73" s="200">
        <v>0.5</v>
      </c>
      <c r="N73" s="201">
        <v>34</v>
      </c>
    </row>
    <row r="74" spans="1:14">
      <c r="A74" s="194">
        <v>41283.525243055556</v>
      </c>
      <c r="B74" s="195">
        <v>2011</v>
      </c>
      <c r="C74" s="194"/>
      <c r="D74" s="194"/>
      <c r="E74" s="196" t="s">
        <v>1735</v>
      </c>
      <c r="G74" s="202"/>
      <c r="J74" s="195">
        <v>24</v>
      </c>
      <c r="K74" s="204" t="s">
        <v>25</v>
      </c>
      <c r="L74" s="199">
        <v>1</v>
      </c>
      <c r="M74" s="200">
        <v>1.3</v>
      </c>
      <c r="N74" s="201">
        <v>35</v>
      </c>
    </row>
    <row r="75" spans="1:14">
      <c r="A75" s="194">
        <v>41290.909525462965</v>
      </c>
      <c r="B75" s="195">
        <v>2011</v>
      </c>
      <c r="C75" s="194"/>
      <c r="D75" s="194"/>
      <c r="E75" s="196" t="s">
        <v>1757</v>
      </c>
      <c r="G75" s="202"/>
      <c r="J75" s="195">
        <v>24</v>
      </c>
      <c r="K75" s="204" t="s">
        <v>25</v>
      </c>
      <c r="L75" s="199">
        <v>2</v>
      </c>
      <c r="M75" s="200">
        <v>0.3</v>
      </c>
      <c r="N75" s="201">
        <v>36</v>
      </c>
    </row>
    <row r="76" spans="1:14">
      <c r="A76" s="194">
        <v>41286.001400462963</v>
      </c>
      <c r="B76" s="195">
        <v>2011</v>
      </c>
      <c r="C76" s="194"/>
      <c r="D76" s="194"/>
      <c r="E76" s="196" t="s">
        <v>1952</v>
      </c>
      <c r="G76" s="202"/>
      <c r="J76" s="195">
        <v>24</v>
      </c>
      <c r="K76" s="204" t="s">
        <v>25</v>
      </c>
      <c r="L76" s="199">
        <v>1</v>
      </c>
      <c r="M76" s="200">
        <v>0.4</v>
      </c>
      <c r="N76" s="201">
        <v>45</v>
      </c>
    </row>
    <row r="77" spans="1:14">
      <c r="A77" s="194">
        <v>41292.577361111114</v>
      </c>
      <c r="B77" s="195">
        <v>2011</v>
      </c>
      <c r="C77" s="194"/>
      <c r="D77" s="194"/>
      <c r="E77" s="196" t="s">
        <v>2141</v>
      </c>
      <c r="G77" s="202"/>
      <c r="J77" s="195">
        <v>24</v>
      </c>
      <c r="K77" s="204" t="s">
        <v>25</v>
      </c>
      <c r="L77" s="199">
        <v>1</v>
      </c>
      <c r="M77" s="200">
        <v>0.4</v>
      </c>
      <c r="N77" s="201">
        <v>45</v>
      </c>
    </row>
    <row r="78" spans="1:14">
      <c r="A78" s="194">
        <v>41285.684942129628</v>
      </c>
      <c r="B78" s="195">
        <v>2011</v>
      </c>
      <c r="C78" s="194"/>
      <c r="D78" s="194"/>
      <c r="E78" s="196" t="s">
        <v>1775</v>
      </c>
      <c r="G78" s="202"/>
      <c r="J78" s="195">
        <v>29</v>
      </c>
      <c r="K78" s="204" t="s">
        <v>39</v>
      </c>
      <c r="L78" s="199">
        <v>1</v>
      </c>
      <c r="M78" s="200">
        <v>0.3</v>
      </c>
      <c r="N78" s="201">
        <v>21</v>
      </c>
    </row>
    <row r="79" spans="1:14">
      <c r="A79" s="194">
        <v>41305.869108796294</v>
      </c>
      <c r="B79" s="195">
        <v>2011</v>
      </c>
      <c r="C79" s="194"/>
      <c r="D79" s="194"/>
      <c r="E79" s="196" t="s">
        <v>1621</v>
      </c>
      <c r="G79" s="202"/>
      <c r="J79" s="195">
        <v>29</v>
      </c>
      <c r="K79" s="204" t="s">
        <v>39</v>
      </c>
      <c r="L79" s="199">
        <v>2</v>
      </c>
      <c r="M79" s="200">
        <v>0.7</v>
      </c>
      <c r="N79" s="201">
        <v>29</v>
      </c>
    </row>
    <row r="80" spans="1:14">
      <c r="A80" s="194">
        <v>41302.476689814815</v>
      </c>
      <c r="B80" s="195">
        <v>2011</v>
      </c>
      <c r="C80" s="194"/>
      <c r="D80" s="194"/>
      <c r="E80" s="196" t="s">
        <v>1992</v>
      </c>
      <c r="G80" s="202"/>
      <c r="J80" s="195">
        <v>29</v>
      </c>
      <c r="K80" s="204" t="s">
        <v>39</v>
      </c>
      <c r="L80" s="199">
        <v>1</v>
      </c>
      <c r="M80" s="200">
        <v>0.7</v>
      </c>
      <c r="N80" s="201">
        <v>32</v>
      </c>
    </row>
    <row r="81" spans="1:14">
      <c r="A81" s="194">
        <v>41281.589999999997</v>
      </c>
      <c r="B81" s="195">
        <v>2011</v>
      </c>
      <c r="C81" s="194"/>
      <c r="D81" s="194"/>
      <c r="E81" s="196" t="s">
        <v>1737</v>
      </c>
      <c r="G81" s="202"/>
      <c r="J81" s="195">
        <v>29</v>
      </c>
      <c r="K81" s="204" t="s">
        <v>39</v>
      </c>
      <c r="L81" s="199">
        <v>2</v>
      </c>
      <c r="M81" s="200">
        <v>0.3</v>
      </c>
      <c r="N81" s="201">
        <v>36</v>
      </c>
    </row>
    <row r="82" spans="1:14">
      <c r="A82" s="194">
        <v>41301.711087962962</v>
      </c>
      <c r="B82" s="195">
        <v>2011</v>
      </c>
      <c r="C82" s="194"/>
      <c r="D82" s="194"/>
      <c r="E82" s="196" t="s">
        <v>1828</v>
      </c>
      <c r="G82" s="202"/>
      <c r="J82" s="195">
        <v>29</v>
      </c>
      <c r="K82" s="204" t="s">
        <v>39</v>
      </c>
      <c r="L82" s="199">
        <v>1</v>
      </c>
      <c r="M82" s="200">
        <v>0.4</v>
      </c>
      <c r="N82" s="201">
        <v>36</v>
      </c>
    </row>
    <row r="83" spans="1:14">
      <c r="A83" s="194">
        <v>41275.566886574074</v>
      </c>
      <c r="B83" s="195">
        <v>2011</v>
      </c>
      <c r="C83" s="194"/>
      <c r="D83" s="194"/>
      <c r="E83" s="198"/>
      <c r="G83" s="202"/>
      <c r="J83" s="195">
        <v>43</v>
      </c>
      <c r="K83" s="204" t="s">
        <v>1596</v>
      </c>
      <c r="L83" s="199">
        <v>1</v>
      </c>
      <c r="M83" s="200">
        <v>0.5</v>
      </c>
      <c r="N83" s="201">
        <v>15</v>
      </c>
    </row>
    <row r="84" spans="1:14">
      <c r="A84" s="194">
        <v>41300.352523148147</v>
      </c>
      <c r="B84" s="195">
        <v>2011</v>
      </c>
      <c r="C84" s="194"/>
      <c r="D84" s="194"/>
      <c r="E84" s="198"/>
      <c r="G84" s="202"/>
      <c r="J84" s="195">
        <v>17</v>
      </c>
      <c r="K84" s="204" t="s">
        <v>11</v>
      </c>
      <c r="L84" s="199">
        <v>2</v>
      </c>
      <c r="M84" s="200">
        <v>0.3</v>
      </c>
      <c r="N84" s="201">
        <v>15</v>
      </c>
    </row>
    <row r="85" spans="1:14">
      <c r="A85" s="194">
        <v>41295.399571759262</v>
      </c>
      <c r="B85" s="195">
        <v>2011</v>
      </c>
      <c r="C85" s="194"/>
      <c r="D85" s="194"/>
      <c r="E85" s="198"/>
      <c r="G85" s="202"/>
      <c r="J85" s="195">
        <v>17</v>
      </c>
      <c r="K85" s="204" t="s">
        <v>11</v>
      </c>
      <c r="L85" s="199">
        <v>1</v>
      </c>
      <c r="M85" s="200">
        <v>0.4</v>
      </c>
      <c r="N85" s="201">
        <v>15</v>
      </c>
    </row>
    <row r="86" spans="1:14">
      <c r="A86" s="194">
        <v>41291.557708333334</v>
      </c>
      <c r="B86" s="195">
        <v>2011</v>
      </c>
      <c r="C86" s="194"/>
      <c r="D86" s="194"/>
      <c r="E86" s="198"/>
      <c r="G86" s="202"/>
      <c r="J86" s="195">
        <v>17</v>
      </c>
      <c r="K86" s="204" t="s">
        <v>11</v>
      </c>
      <c r="L86" s="199">
        <v>2</v>
      </c>
      <c r="M86" s="200">
        <v>0.5</v>
      </c>
      <c r="N86" s="201">
        <v>15</v>
      </c>
    </row>
    <row r="87" spans="1:14">
      <c r="A87" s="194">
        <v>41291.475532407407</v>
      </c>
      <c r="B87" s="195">
        <v>2011</v>
      </c>
      <c r="C87" s="194"/>
      <c r="D87" s="194"/>
      <c r="E87" s="198"/>
      <c r="G87" s="202"/>
      <c r="J87" s="195">
        <v>17</v>
      </c>
      <c r="K87" s="204" t="s">
        <v>11</v>
      </c>
      <c r="L87" s="199">
        <v>2</v>
      </c>
      <c r="M87" s="200">
        <v>0.5</v>
      </c>
      <c r="N87" s="201">
        <v>15</v>
      </c>
    </row>
    <row r="88" spans="1:14">
      <c r="A88" s="194">
        <v>41276.517106481479</v>
      </c>
      <c r="B88" s="195">
        <v>2011</v>
      </c>
      <c r="C88" s="194"/>
      <c r="D88" s="194"/>
      <c r="E88" s="198"/>
      <c r="G88" s="202"/>
      <c r="J88" s="195">
        <v>17</v>
      </c>
      <c r="K88" s="204" t="s">
        <v>11</v>
      </c>
      <c r="L88" s="199">
        <v>2</v>
      </c>
      <c r="M88" s="200">
        <v>0.6</v>
      </c>
      <c r="N88" s="201">
        <v>15</v>
      </c>
    </row>
    <row r="89" spans="1:14">
      <c r="A89" s="194">
        <v>41287.418124999997</v>
      </c>
      <c r="B89" s="195">
        <v>2011</v>
      </c>
      <c r="C89" s="194"/>
      <c r="D89" s="194"/>
      <c r="E89" s="198"/>
      <c r="G89" s="202"/>
      <c r="J89" s="195">
        <v>17</v>
      </c>
      <c r="K89" s="204" t="s">
        <v>11</v>
      </c>
      <c r="L89" s="199">
        <v>2</v>
      </c>
      <c r="M89" s="200">
        <v>0.7</v>
      </c>
      <c r="N89" s="201">
        <v>15</v>
      </c>
    </row>
    <row r="90" spans="1:14">
      <c r="A90" s="194">
        <v>41279.427372685182</v>
      </c>
      <c r="B90" s="195">
        <v>2011</v>
      </c>
      <c r="C90" s="194"/>
      <c r="D90" s="194"/>
      <c r="E90" s="198"/>
      <c r="G90" s="202"/>
      <c r="J90" s="195">
        <v>17</v>
      </c>
      <c r="K90" s="204" t="s">
        <v>11</v>
      </c>
      <c r="L90" s="199">
        <v>2</v>
      </c>
      <c r="M90" s="200">
        <v>0.7</v>
      </c>
      <c r="N90" s="201">
        <v>15</v>
      </c>
    </row>
    <row r="91" spans="1:14">
      <c r="A91" s="194">
        <v>41284.448923611111</v>
      </c>
      <c r="B91" s="195">
        <v>2011</v>
      </c>
      <c r="C91" s="194"/>
      <c r="D91" s="194"/>
      <c r="E91" s="198"/>
      <c r="G91" s="202"/>
      <c r="J91" s="195">
        <v>17</v>
      </c>
      <c r="K91" s="204" t="s">
        <v>11</v>
      </c>
      <c r="L91" s="199">
        <v>2</v>
      </c>
      <c r="M91" s="200">
        <v>0.9</v>
      </c>
      <c r="N91" s="201">
        <v>15</v>
      </c>
    </row>
    <row r="92" spans="1:14">
      <c r="A92" s="194">
        <v>41277.566863425927</v>
      </c>
      <c r="B92" s="195">
        <v>2011</v>
      </c>
      <c r="C92" s="194"/>
      <c r="D92" s="194"/>
      <c r="E92" s="198"/>
      <c r="G92" s="202"/>
      <c r="J92" s="195">
        <v>17</v>
      </c>
      <c r="K92" s="204" t="s">
        <v>11</v>
      </c>
      <c r="L92" s="199">
        <v>2</v>
      </c>
      <c r="M92" s="200">
        <v>0.9</v>
      </c>
      <c r="N92" s="201">
        <v>15</v>
      </c>
    </row>
    <row r="93" spans="1:14">
      <c r="A93" s="194">
        <v>41297.398506944446</v>
      </c>
      <c r="B93" s="195">
        <v>2011</v>
      </c>
      <c r="C93" s="194"/>
      <c r="D93" s="194"/>
      <c r="E93" s="198"/>
      <c r="G93" s="202"/>
      <c r="J93" s="195">
        <v>17</v>
      </c>
      <c r="K93" s="204" t="s">
        <v>11</v>
      </c>
      <c r="L93" s="199">
        <v>2</v>
      </c>
      <c r="M93" s="200">
        <v>1.1000000000000001</v>
      </c>
      <c r="N93" s="201">
        <v>15</v>
      </c>
    </row>
    <row r="94" spans="1:14">
      <c r="A94" s="194">
        <v>41298.509131944447</v>
      </c>
      <c r="B94" s="195">
        <v>2011</v>
      </c>
      <c r="C94" s="194"/>
      <c r="D94" s="194"/>
      <c r="E94" s="198"/>
      <c r="G94" s="202"/>
      <c r="J94" s="195">
        <v>17</v>
      </c>
      <c r="K94" s="204" t="s">
        <v>11</v>
      </c>
      <c r="L94" s="199">
        <v>1</v>
      </c>
      <c r="M94" s="200">
        <v>1.3</v>
      </c>
      <c r="N94" s="201">
        <v>15</v>
      </c>
    </row>
    <row r="95" spans="1:14">
      <c r="A95" s="194">
        <v>41281.986539351848</v>
      </c>
      <c r="B95" s="195">
        <v>2011</v>
      </c>
      <c r="C95" s="194"/>
      <c r="D95" s="194"/>
      <c r="E95" s="198"/>
      <c r="G95" s="202"/>
      <c r="J95" s="195">
        <v>17</v>
      </c>
      <c r="K95" s="204" t="s">
        <v>11</v>
      </c>
      <c r="L95" s="199">
        <v>1</v>
      </c>
      <c r="M95" s="200">
        <v>1.3</v>
      </c>
      <c r="N95" s="201">
        <v>15</v>
      </c>
    </row>
    <row r="96" spans="1:14">
      <c r="A96" s="194">
        <v>41278.374479166669</v>
      </c>
      <c r="B96" s="195">
        <v>2011</v>
      </c>
      <c r="C96" s="194"/>
      <c r="D96" s="194"/>
      <c r="E96" s="198"/>
      <c r="G96" s="202"/>
      <c r="J96" s="195">
        <v>17</v>
      </c>
      <c r="K96" s="204" t="s">
        <v>11</v>
      </c>
      <c r="L96" s="199">
        <v>2</v>
      </c>
      <c r="M96" s="200">
        <v>1.3</v>
      </c>
      <c r="N96" s="201">
        <v>15</v>
      </c>
    </row>
    <row r="97" spans="1:14">
      <c r="A97" s="194">
        <v>41277.446516203701</v>
      </c>
      <c r="B97" s="195">
        <v>2011</v>
      </c>
      <c r="C97" s="194"/>
      <c r="D97" s="194"/>
      <c r="E97" s="198"/>
      <c r="G97" s="202"/>
      <c r="J97" s="195">
        <v>17</v>
      </c>
      <c r="K97" s="204" t="s">
        <v>11</v>
      </c>
      <c r="L97" s="199">
        <v>2</v>
      </c>
      <c r="M97" s="200">
        <v>1.4</v>
      </c>
      <c r="N97" s="201">
        <v>15</v>
      </c>
    </row>
    <row r="98" spans="1:14">
      <c r="A98" s="194">
        <v>41292.095000000001</v>
      </c>
      <c r="B98" s="195">
        <v>2011</v>
      </c>
      <c r="C98" s="194"/>
      <c r="D98" s="194"/>
      <c r="E98" s="198"/>
      <c r="G98" s="202"/>
      <c r="J98" s="195">
        <v>17</v>
      </c>
      <c r="K98" s="204" t="s">
        <v>11</v>
      </c>
      <c r="L98" s="199">
        <v>2</v>
      </c>
      <c r="M98" s="200">
        <v>1.6</v>
      </c>
      <c r="N98" s="201">
        <v>15</v>
      </c>
    </row>
    <row r="99" spans="1:14">
      <c r="A99" s="194">
        <v>41284.484803240739</v>
      </c>
      <c r="B99" s="195">
        <v>2011</v>
      </c>
      <c r="C99" s="194"/>
      <c r="D99" s="194"/>
      <c r="E99" s="198"/>
      <c r="G99" s="202"/>
      <c r="J99" s="195">
        <v>17</v>
      </c>
      <c r="K99" s="204" t="s">
        <v>11</v>
      </c>
      <c r="L99" s="199">
        <v>2</v>
      </c>
      <c r="M99" s="200">
        <v>1.6</v>
      </c>
      <c r="N99" s="201">
        <v>15</v>
      </c>
    </row>
    <row r="100" spans="1:14">
      <c r="A100" s="194">
        <v>41285.101527777777</v>
      </c>
      <c r="B100" s="195">
        <v>2011</v>
      </c>
      <c r="C100" s="194"/>
      <c r="D100" s="194"/>
      <c r="E100" s="198"/>
      <c r="G100" s="202"/>
      <c r="J100" s="195">
        <v>17</v>
      </c>
      <c r="K100" s="204" t="s">
        <v>11</v>
      </c>
      <c r="L100" s="199">
        <v>2</v>
      </c>
      <c r="M100" s="200">
        <v>2</v>
      </c>
      <c r="N100" s="201">
        <v>15</v>
      </c>
    </row>
    <row r="101" spans="1:14">
      <c r="A101" s="194">
        <v>41278.386990740742</v>
      </c>
      <c r="B101" s="195">
        <v>2011</v>
      </c>
      <c r="C101" s="194"/>
      <c r="D101" s="194"/>
      <c r="E101" s="198"/>
      <c r="G101" s="202"/>
      <c r="J101" s="195">
        <v>17</v>
      </c>
      <c r="K101" s="204" t="s">
        <v>11</v>
      </c>
      <c r="L101" s="199">
        <v>2</v>
      </c>
      <c r="M101" s="200">
        <v>2</v>
      </c>
      <c r="N101" s="201">
        <v>15</v>
      </c>
    </row>
    <row r="102" spans="1:14">
      <c r="A102" s="194">
        <v>41279.342233796298</v>
      </c>
      <c r="B102" s="195">
        <v>2011</v>
      </c>
      <c r="C102" s="194"/>
      <c r="D102" s="194"/>
      <c r="E102" s="198"/>
      <c r="G102" s="202"/>
      <c r="J102" s="195">
        <v>17</v>
      </c>
      <c r="K102" s="204" t="s">
        <v>11</v>
      </c>
      <c r="L102" s="199">
        <v>2</v>
      </c>
      <c r="M102" s="200">
        <v>2.1</v>
      </c>
      <c r="N102" s="201">
        <v>15</v>
      </c>
    </row>
    <row r="103" spans="1:14">
      <c r="A103" s="194">
        <v>41278.794953703706</v>
      </c>
      <c r="B103" s="195">
        <v>2011</v>
      </c>
      <c r="C103" s="194"/>
      <c r="D103" s="194"/>
      <c r="E103" s="198"/>
      <c r="G103" s="202"/>
      <c r="J103" s="195">
        <v>17</v>
      </c>
      <c r="K103" s="204" t="s">
        <v>11</v>
      </c>
      <c r="L103" s="199">
        <v>1</v>
      </c>
      <c r="M103" s="200">
        <v>2.1</v>
      </c>
      <c r="N103" s="201">
        <v>15</v>
      </c>
    </row>
    <row r="104" spans="1:14">
      <c r="A104" s="194">
        <v>41295.52542824074</v>
      </c>
      <c r="B104" s="195">
        <v>2011</v>
      </c>
      <c r="C104" s="194"/>
      <c r="D104" s="194"/>
      <c r="E104" s="198"/>
      <c r="G104" s="202"/>
      <c r="J104" s="195">
        <v>17</v>
      </c>
      <c r="K104" s="204" t="s">
        <v>11</v>
      </c>
      <c r="L104" s="199">
        <v>1</v>
      </c>
      <c r="M104" s="200">
        <v>6.8</v>
      </c>
      <c r="N104" s="201">
        <v>15</v>
      </c>
    </row>
    <row r="105" spans="1:14">
      <c r="A105" s="194">
        <v>41305.074791666666</v>
      </c>
      <c r="B105" s="195">
        <v>2011</v>
      </c>
      <c r="C105" s="194"/>
      <c r="D105" s="194"/>
      <c r="E105" s="198"/>
      <c r="G105" s="202"/>
      <c r="J105" s="195">
        <v>17</v>
      </c>
      <c r="K105" s="204" t="s">
        <v>11</v>
      </c>
      <c r="L105" s="199">
        <v>2</v>
      </c>
      <c r="M105" s="200">
        <v>7.5</v>
      </c>
      <c r="N105" s="201">
        <v>15</v>
      </c>
    </row>
    <row r="106" spans="1:14">
      <c r="A106" s="194">
        <v>41302.635370370372</v>
      </c>
      <c r="B106" s="195">
        <v>2011</v>
      </c>
      <c r="C106" s="194"/>
      <c r="D106" s="194"/>
      <c r="E106" s="198"/>
      <c r="G106" s="202"/>
      <c r="J106" s="195">
        <v>17</v>
      </c>
      <c r="K106" s="204" t="s">
        <v>11</v>
      </c>
      <c r="L106" s="199">
        <v>1</v>
      </c>
      <c r="M106" s="200">
        <v>12.7</v>
      </c>
      <c r="N106" s="201">
        <v>15</v>
      </c>
    </row>
    <row r="107" spans="1:14">
      <c r="A107" s="194">
        <v>41302.45239583333</v>
      </c>
      <c r="B107" s="195">
        <v>2011</v>
      </c>
      <c r="C107" s="194"/>
      <c r="D107" s="194"/>
      <c r="E107" s="198"/>
      <c r="G107" s="202"/>
      <c r="J107" s="195">
        <v>17</v>
      </c>
      <c r="K107" s="204" t="s">
        <v>11</v>
      </c>
      <c r="L107" s="199">
        <v>2</v>
      </c>
      <c r="M107" s="200">
        <v>0.3</v>
      </c>
      <c r="N107" s="201">
        <v>16</v>
      </c>
    </row>
    <row r="108" spans="1:14">
      <c r="A108" s="194">
        <v>41302.455868055556</v>
      </c>
      <c r="B108" s="195">
        <v>2011</v>
      </c>
      <c r="C108" s="194"/>
      <c r="D108" s="194"/>
      <c r="E108" s="198"/>
      <c r="G108" s="202"/>
      <c r="J108" s="195">
        <v>17</v>
      </c>
      <c r="K108" s="204" t="s">
        <v>11</v>
      </c>
      <c r="L108" s="199">
        <v>1</v>
      </c>
      <c r="M108" s="200">
        <v>0.3</v>
      </c>
      <c r="N108" s="201">
        <v>16</v>
      </c>
    </row>
    <row r="109" spans="1:14">
      <c r="A109" s="194">
        <v>41294.438958333332</v>
      </c>
      <c r="B109" s="195">
        <v>2011</v>
      </c>
      <c r="C109" s="194"/>
      <c r="D109" s="194"/>
      <c r="E109" s="198"/>
      <c r="G109" s="202"/>
      <c r="J109" s="195">
        <v>17</v>
      </c>
      <c r="K109" s="204" t="s">
        <v>11</v>
      </c>
      <c r="L109" s="199">
        <v>1</v>
      </c>
      <c r="M109" s="200">
        <v>0.3</v>
      </c>
      <c r="N109" s="201">
        <v>16</v>
      </c>
    </row>
    <row r="110" spans="1:14">
      <c r="A110" s="194">
        <v>41286.41810185185</v>
      </c>
      <c r="B110" s="195">
        <v>2011</v>
      </c>
      <c r="C110" s="194"/>
      <c r="D110" s="194"/>
      <c r="E110" s="198"/>
      <c r="G110" s="202"/>
      <c r="J110" s="195">
        <v>17</v>
      </c>
      <c r="K110" s="204" t="s">
        <v>11</v>
      </c>
      <c r="L110" s="199">
        <v>1</v>
      </c>
      <c r="M110" s="200">
        <v>0.3</v>
      </c>
      <c r="N110" s="201">
        <v>16</v>
      </c>
    </row>
    <row r="111" spans="1:14">
      <c r="A111" s="194">
        <v>41282.856249999997</v>
      </c>
      <c r="B111" s="195">
        <v>2011</v>
      </c>
      <c r="C111" s="194"/>
      <c r="D111" s="194"/>
      <c r="E111" s="198"/>
      <c r="G111" s="202"/>
      <c r="J111" s="195">
        <v>17</v>
      </c>
      <c r="K111" s="204" t="s">
        <v>11</v>
      </c>
      <c r="L111" s="199">
        <v>2</v>
      </c>
      <c r="M111" s="200">
        <v>0.3</v>
      </c>
      <c r="N111" s="201">
        <v>16</v>
      </c>
    </row>
    <row r="112" spans="1:14">
      <c r="A112" s="194">
        <v>41279.599803240744</v>
      </c>
      <c r="B112" s="195">
        <v>2011</v>
      </c>
      <c r="C112" s="194"/>
      <c r="D112" s="194"/>
      <c r="E112" s="198"/>
      <c r="G112" s="202"/>
      <c r="J112" s="195">
        <v>17</v>
      </c>
      <c r="K112" s="204" t="s">
        <v>11</v>
      </c>
      <c r="L112" s="199">
        <v>2</v>
      </c>
      <c r="M112" s="200">
        <v>0.3</v>
      </c>
      <c r="N112" s="201">
        <v>16</v>
      </c>
    </row>
    <row r="113" spans="1:14">
      <c r="A113" s="194">
        <v>41304.371469907404</v>
      </c>
      <c r="B113" s="195">
        <v>2011</v>
      </c>
      <c r="C113" s="194"/>
      <c r="D113" s="194"/>
      <c r="E113" s="198"/>
      <c r="G113" s="202"/>
      <c r="J113" s="195">
        <v>17</v>
      </c>
      <c r="K113" s="204" t="s">
        <v>11</v>
      </c>
      <c r="L113" s="199">
        <v>2</v>
      </c>
      <c r="M113" s="200">
        <v>0.5</v>
      </c>
      <c r="N113" s="201">
        <v>16</v>
      </c>
    </row>
    <row r="114" spans="1:14">
      <c r="A114" s="194">
        <v>41302.361018518517</v>
      </c>
      <c r="B114" s="195">
        <v>2011</v>
      </c>
      <c r="C114" s="194"/>
      <c r="D114" s="194"/>
      <c r="E114" s="198"/>
      <c r="G114" s="202"/>
      <c r="J114" s="195">
        <v>17</v>
      </c>
      <c r="K114" s="204" t="s">
        <v>11</v>
      </c>
      <c r="L114" s="199">
        <v>2</v>
      </c>
      <c r="M114" s="200">
        <v>0.6</v>
      </c>
      <c r="N114" s="201">
        <v>16</v>
      </c>
    </row>
    <row r="115" spans="1:14">
      <c r="A115" s="194">
        <v>41288.379733796297</v>
      </c>
      <c r="B115" s="195">
        <v>2011</v>
      </c>
      <c r="C115" s="194"/>
      <c r="D115" s="194"/>
      <c r="E115" s="198"/>
      <c r="G115" s="202"/>
      <c r="J115" s="195">
        <v>17</v>
      </c>
      <c r="K115" s="204" t="s">
        <v>11</v>
      </c>
      <c r="L115" s="199">
        <v>1</v>
      </c>
      <c r="M115" s="200">
        <v>0.7</v>
      </c>
      <c r="N115" s="201">
        <v>16</v>
      </c>
    </row>
    <row r="116" spans="1:14">
      <c r="A116" s="194">
        <v>41295.331863425927</v>
      </c>
      <c r="B116" s="195">
        <v>2011</v>
      </c>
      <c r="C116" s="194"/>
      <c r="D116" s="194"/>
      <c r="E116" s="198"/>
      <c r="G116" s="202"/>
      <c r="J116" s="195">
        <v>17</v>
      </c>
      <c r="K116" s="204" t="s">
        <v>11</v>
      </c>
      <c r="L116" s="199">
        <v>1</v>
      </c>
      <c r="M116" s="200">
        <v>0.9</v>
      </c>
      <c r="N116" s="201">
        <v>16</v>
      </c>
    </row>
    <row r="117" spans="1:14">
      <c r="A117" s="194">
        <v>41300.429872685185</v>
      </c>
      <c r="B117" s="195">
        <v>2011</v>
      </c>
      <c r="C117" s="194"/>
      <c r="D117" s="194"/>
      <c r="E117" s="198"/>
      <c r="G117" s="202"/>
      <c r="J117" s="195">
        <v>17</v>
      </c>
      <c r="K117" s="204" t="s">
        <v>11</v>
      </c>
      <c r="L117" s="199">
        <v>1</v>
      </c>
      <c r="M117" s="200">
        <v>4.2</v>
      </c>
      <c r="N117" s="201">
        <v>16</v>
      </c>
    </row>
    <row r="118" spans="1:14">
      <c r="A118" s="194">
        <v>41282.105405092596</v>
      </c>
      <c r="B118" s="195">
        <v>2011</v>
      </c>
      <c r="C118" s="194"/>
      <c r="D118" s="194"/>
      <c r="E118" s="198"/>
      <c r="G118" s="202"/>
      <c r="J118" s="195">
        <v>17</v>
      </c>
      <c r="K118" s="204" t="s">
        <v>11</v>
      </c>
      <c r="L118" s="199">
        <v>1</v>
      </c>
      <c r="M118" s="200">
        <v>29.1</v>
      </c>
      <c r="N118" s="201">
        <v>16</v>
      </c>
    </row>
    <row r="119" spans="1:14">
      <c r="A119" s="194">
        <v>41279.473680555559</v>
      </c>
      <c r="B119" s="195">
        <v>2011</v>
      </c>
      <c r="C119" s="194"/>
      <c r="D119" s="194"/>
      <c r="E119" s="198"/>
      <c r="G119" s="202"/>
      <c r="J119" s="195">
        <v>17</v>
      </c>
      <c r="K119" s="204" t="s">
        <v>11</v>
      </c>
      <c r="L119" s="199">
        <v>1</v>
      </c>
      <c r="M119" s="200">
        <v>1.7</v>
      </c>
      <c r="N119" s="201">
        <v>17</v>
      </c>
    </row>
    <row r="120" spans="1:14">
      <c r="A120" s="194">
        <v>41302.34542824074</v>
      </c>
      <c r="B120" s="195">
        <v>2011</v>
      </c>
      <c r="C120" s="194"/>
      <c r="D120" s="194"/>
      <c r="E120" s="198"/>
      <c r="G120" s="202"/>
      <c r="J120" s="195">
        <v>17</v>
      </c>
      <c r="K120" s="204" t="s">
        <v>11</v>
      </c>
      <c r="L120" s="199">
        <v>1</v>
      </c>
      <c r="M120" s="200">
        <v>3.4</v>
      </c>
      <c r="N120" s="201">
        <v>17</v>
      </c>
    </row>
    <row r="121" spans="1:14">
      <c r="A121" s="194">
        <v>41304.48027777778</v>
      </c>
      <c r="B121" s="195">
        <v>2011</v>
      </c>
      <c r="C121" s="194"/>
      <c r="D121" s="194"/>
      <c r="E121" s="198"/>
      <c r="G121" s="202"/>
      <c r="J121" s="195">
        <v>17</v>
      </c>
      <c r="K121" s="204" t="s">
        <v>11</v>
      </c>
      <c r="L121" s="199">
        <v>1</v>
      </c>
      <c r="M121" s="200">
        <v>3.6</v>
      </c>
      <c r="N121" s="201">
        <v>17</v>
      </c>
    </row>
    <row r="122" spans="1:14">
      <c r="A122" s="194">
        <v>41294.341435185182</v>
      </c>
      <c r="B122" s="195">
        <v>2011</v>
      </c>
      <c r="C122" s="194"/>
      <c r="D122" s="194"/>
      <c r="E122" s="198"/>
      <c r="G122" s="202"/>
      <c r="J122" s="195">
        <v>17</v>
      </c>
      <c r="K122" s="204" t="s">
        <v>11</v>
      </c>
      <c r="L122" s="199">
        <v>1</v>
      </c>
      <c r="M122" s="200">
        <v>7.9</v>
      </c>
      <c r="N122" s="201">
        <v>18</v>
      </c>
    </row>
    <row r="123" spans="1:14">
      <c r="A123" s="194">
        <v>41288.578530092593</v>
      </c>
      <c r="B123" s="195">
        <v>2011</v>
      </c>
      <c r="C123" s="194"/>
      <c r="D123" s="194"/>
      <c r="E123" s="198"/>
      <c r="G123" s="202"/>
      <c r="J123" s="195">
        <v>17</v>
      </c>
      <c r="K123" s="204" t="s">
        <v>11</v>
      </c>
      <c r="L123" s="199">
        <v>1</v>
      </c>
      <c r="M123" s="200">
        <v>0.4</v>
      </c>
      <c r="N123" s="201">
        <v>19</v>
      </c>
    </row>
    <row r="124" spans="1:14">
      <c r="A124" s="194">
        <v>41298.457060185188</v>
      </c>
      <c r="B124" s="195">
        <v>2011</v>
      </c>
      <c r="C124" s="194"/>
      <c r="D124" s="194"/>
      <c r="E124" s="198"/>
      <c r="G124" s="202"/>
      <c r="J124" s="195">
        <v>17</v>
      </c>
      <c r="K124" s="204" t="s">
        <v>11</v>
      </c>
      <c r="L124" s="199">
        <v>2</v>
      </c>
      <c r="M124" s="200">
        <v>0.6</v>
      </c>
      <c r="N124" s="201">
        <v>19</v>
      </c>
    </row>
    <row r="125" spans="1:14">
      <c r="A125" s="194">
        <v>41285.481261574074</v>
      </c>
      <c r="B125" s="195">
        <v>2011</v>
      </c>
      <c r="C125" s="194"/>
      <c r="D125" s="194"/>
      <c r="E125" s="198"/>
      <c r="G125" s="202"/>
      <c r="J125" s="195">
        <v>17</v>
      </c>
      <c r="K125" s="204" t="s">
        <v>11</v>
      </c>
      <c r="L125" s="199">
        <v>1</v>
      </c>
      <c r="M125" s="200">
        <v>2.5</v>
      </c>
      <c r="N125" s="201">
        <v>19</v>
      </c>
    </row>
    <row r="126" spans="1:14">
      <c r="A126" s="194">
        <v>41296.362037037034</v>
      </c>
      <c r="B126" s="195">
        <v>2011</v>
      </c>
      <c r="C126" s="194"/>
      <c r="D126" s="194"/>
      <c r="E126" s="198"/>
      <c r="G126" s="202"/>
      <c r="J126" s="195">
        <v>17</v>
      </c>
      <c r="K126" s="204" t="s">
        <v>11</v>
      </c>
      <c r="L126" s="199">
        <v>1</v>
      </c>
      <c r="M126" s="200">
        <v>0.9</v>
      </c>
      <c r="N126" s="201">
        <v>20</v>
      </c>
    </row>
    <row r="127" spans="1:14">
      <c r="A127" s="194">
        <v>41300.424074074072</v>
      </c>
      <c r="B127" s="195">
        <v>2011</v>
      </c>
      <c r="C127" s="194"/>
      <c r="D127" s="194"/>
      <c r="E127" s="198"/>
      <c r="G127" s="202"/>
      <c r="J127" s="195">
        <v>17</v>
      </c>
      <c r="K127" s="204" t="s">
        <v>11</v>
      </c>
      <c r="L127" s="199">
        <v>1</v>
      </c>
      <c r="M127" s="200">
        <v>2.8</v>
      </c>
      <c r="N127" s="201">
        <v>20</v>
      </c>
    </row>
    <row r="128" spans="1:14">
      <c r="A128" s="194">
        <v>41303.915451388886</v>
      </c>
      <c r="B128" s="195">
        <v>2011</v>
      </c>
      <c r="C128" s="194"/>
      <c r="D128" s="194"/>
      <c r="E128" s="198"/>
      <c r="G128" s="202"/>
      <c r="J128" s="195">
        <v>17</v>
      </c>
      <c r="K128" s="204" t="s">
        <v>11</v>
      </c>
      <c r="L128" s="199">
        <v>1</v>
      </c>
      <c r="M128" s="200">
        <v>0.7</v>
      </c>
      <c r="N128" s="201">
        <v>21</v>
      </c>
    </row>
    <row r="129" spans="1:14">
      <c r="A129" s="194">
        <v>41296.700092592589</v>
      </c>
      <c r="B129" s="195">
        <v>2011</v>
      </c>
      <c r="C129" s="194"/>
      <c r="D129" s="194"/>
      <c r="E129" s="198"/>
      <c r="G129" s="202"/>
      <c r="J129" s="195">
        <v>17</v>
      </c>
      <c r="K129" s="204" t="s">
        <v>11</v>
      </c>
      <c r="L129" s="199">
        <v>1</v>
      </c>
      <c r="M129" s="200">
        <v>1.2</v>
      </c>
      <c r="N129" s="201">
        <v>21</v>
      </c>
    </row>
    <row r="130" spans="1:14">
      <c r="A130" s="194">
        <v>41297.711678240739</v>
      </c>
      <c r="B130" s="195">
        <v>2011</v>
      </c>
      <c r="C130" s="194"/>
      <c r="D130" s="194"/>
      <c r="E130" s="198"/>
      <c r="G130" s="202"/>
      <c r="J130" s="195">
        <v>17</v>
      </c>
      <c r="K130" s="204" t="s">
        <v>11</v>
      </c>
      <c r="L130" s="199">
        <v>1</v>
      </c>
      <c r="M130" s="200">
        <v>0.8</v>
      </c>
      <c r="N130" s="201">
        <v>24</v>
      </c>
    </row>
    <row r="131" spans="1:14">
      <c r="A131" s="194">
        <v>41302.675752314812</v>
      </c>
      <c r="B131" s="195">
        <v>2011</v>
      </c>
      <c r="C131" s="194"/>
      <c r="D131" s="194"/>
      <c r="E131" s="198"/>
      <c r="G131" s="202"/>
      <c r="J131" s="195">
        <v>17</v>
      </c>
      <c r="K131" s="204" t="s">
        <v>11</v>
      </c>
      <c r="L131" s="199">
        <v>1</v>
      </c>
      <c r="M131" s="200">
        <v>1.3</v>
      </c>
      <c r="N131" s="201">
        <v>30</v>
      </c>
    </row>
    <row r="132" spans="1:14">
      <c r="A132" s="194">
        <v>41299.626030092593</v>
      </c>
      <c r="B132" s="195">
        <v>2011</v>
      </c>
      <c r="C132" s="194"/>
      <c r="D132" s="194"/>
      <c r="E132" s="198"/>
      <c r="G132" s="202"/>
      <c r="J132" s="195">
        <v>4400</v>
      </c>
      <c r="K132" s="204" t="s">
        <v>37</v>
      </c>
      <c r="L132" s="199">
        <v>2</v>
      </c>
      <c r="M132" s="200">
        <v>0.3</v>
      </c>
      <c r="N132" s="201">
        <v>22</v>
      </c>
    </row>
    <row r="133" spans="1:14">
      <c r="A133" s="194">
        <v>41303.577476851853</v>
      </c>
      <c r="B133" s="195">
        <v>2011</v>
      </c>
      <c r="C133" s="194"/>
      <c r="D133" s="194"/>
      <c r="E133" s="198"/>
      <c r="G133" s="202"/>
      <c r="J133" s="195">
        <v>4400</v>
      </c>
      <c r="K133" s="204" t="s">
        <v>37</v>
      </c>
      <c r="L133" s="199">
        <v>2</v>
      </c>
      <c r="M133" s="200">
        <v>1.1000000000000001</v>
      </c>
      <c r="N133" s="201">
        <v>27</v>
      </c>
    </row>
    <row r="134" spans="1:14">
      <c r="A134" s="194">
        <v>41302.42559027778</v>
      </c>
      <c r="B134" s="195">
        <v>2011</v>
      </c>
      <c r="C134" s="194"/>
      <c r="D134" s="194"/>
      <c r="E134" s="198"/>
      <c r="G134" s="202"/>
      <c r="J134" s="195">
        <v>4400</v>
      </c>
      <c r="K134" s="204" t="s">
        <v>37</v>
      </c>
      <c r="L134" s="199">
        <v>2</v>
      </c>
      <c r="M134" s="200">
        <v>0.5</v>
      </c>
      <c r="N134" s="201">
        <v>32</v>
      </c>
    </row>
    <row r="135" spans="1:14">
      <c r="A135" s="194">
        <v>41284.382847222223</v>
      </c>
      <c r="B135" s="195">
        <v>2011</v>
      </c>
      <c r="C135" s="194"/>
      <c r="D135" s="194"/>
      <c r="E135" s="198"/>
      <c r="G135" s="202"/>
      <c r="J135" s="195">
        <v>4400</v>
      </c>
      <c r="K135" s="204" t="s">
        <v>37</v>
      </c>
      <c r="L135" s="199">
        <v>2</v>
      </c>
      <c r="M135" s="200">
        <v>0.5</v>
      </c>
      <c r="N135" s="201">
        <v>36</v>
      </c>
    </row>
    <row r="136" spans="1:14">
      <c r="A136" s="194">
        <v>41302.826203703706</v>
      </c>
      <c r="B136" s="195">
        <v>2011</v>
      </c>
      <c r="C136" s="194"/>
      <c r="D136" s="194"/>
      <c r="E136" s="198"/>
      <c r="G136" s="202"/>
      <c r="J136" s="195">
        <v>4400</v>
      </c>
      <c r="K136" s="204" t="s">
        <v>37</v>
      </c>
      <c r="L136" s="199">
        <v>2</v>
      </c>
      <c r="M136" s="200">
        <v>0.8</v>
      </c>
      <c r="N136" s="201">
        <v>38</v>
      </c>
    </row>
    <row r="137" spans="1:14">
      <c r="A137" s="194">
        <v>41282.388553240744</v>
      </c>
      <c r="B137" s="195">
        <v>2012</v>
      </c>
      <c r="C137" s="194"/>
      <c r="D137" s="194"/>
      <c r="E137" s="196" t="s">
        <v>278</v>
      </c>
      <c r="F137" s="195">
        <v>456</v>
      </c>
      <c r="G137" s="197" t="s">
        <v>141</v>
      </c>
      <c r="H137" s="197" t="s">
        <v>223</v>
      </c>
      <c r="I137" s="196" t="s">
        <v>226</v>
      </c>
      <c r="J137" s="195">
        <v>1</v>
      </c>
      <c r="K137" s="204" t="s">
        <v>224</v>
      </c>
      <c r="L137" s="199">
        <v>1</v>
      </c>
      <c r="M137" s="200">
        <v>0.3</v>
      </c>
      <c r="N137" s="201">
        <v>33</v>
      </c>
    </row>
    <row r="138" spans="1:14">
      <c r="A138" s="194">
        <v>41303.341863425929</v>
      </c>
      <c r="B138" s="195">
        <v>2012</v>
      </c>
      <c r="C138" s="194"/>
      <c r="D138" s="194"/>
      <c r="E138" s="196" t="s">
        <v>1481</v>
      </c>
      <c r="F138" s="195">
        <v>800</v>
      </c>
      <c r="G138" s="197" t="s">
        <v>470</v>
      </c>
      <c r="H138" s="197" t="s">
        <v>471</v>
      </c>
      <c r="J138" s="195">
        <v>1</v>
      </c>
      <c r="K138" s="204" t="s">
        <v>224</v>
      </c>
      <c r="L138" s="199">
        <v>2</v>
      </c>
      <c r="M138" s="200">
        <v>1.2</v>
      </c>
      <c r="N138" s="201">
        <v>18</v>
      </c>
    </row>
    <row r="139" spans="1:14">
      <c r="A139" s="194">
        <v>41304.751631944448</v>
      </c>
      <c r="B139" s="195">
        <v>2012</v>
      </c>
      <c r="C139" s="194"/>
      <c r="D139" s="194"/>
      <c r="E139" s="196" t="s">
        <v>1529</v>
      </c>
      <c r="F139" s="195">
        <v>800</v>
      </c>
      <c r="G139" s="197" t="s">
        <v>470</v>
      </c>
      <c r="H139" s="197" t="s">
        <v>471</v>
      </c>
      <c r="J139" s="195">
        <v>1</v>
      </c>
      <c r="K139" s="204" t="s">
        <v>224</v>
      </c>
      <c r="L139" s="199">
        <v>2</v>
      </c>
      <c r="M139" s="200">
        <v>0.3</v>
      </c>
      <c r="N139" s="201">
        <v>22</v>
      </c>
    </row>
    <row r="140" spans="1:14">
      <c r="A140" s="194">
        <v>41289.788576388892</v>
      </c>
      <c r="B140" s="195">
        <v>2012</v>
      </c>
      <c r="C140" s="194"/>
      <c r="D140" s="194"/>
      <c r="E140" s="196" t="s">
        <v>957</v>
      </c>
      <c r="F140" s="195">
        <v>800</v>
      </c>
      <c r="G140" s="197" t="s">
        <v>470</v>
      </c>
      <c r="H140" s="197" t="s">
        <v>471</v>
      </c>
      <c r="J140" s="195">
        <v>1</v>
      </c>
      <c r="K140" s="204" t="s">
        <v>224</v>
      </c>
      <c r="L140" s="199">
        <v>2</v>
      </c>
      <c r="M140" s="200">
        <v>1</v>
      </c>
      <c r="N140" s="201">
        <v>25</v>
      </c>
    </row>
    <row r="141" spans="1:14">
      <c r="A141" s="194">
        <v>41290.407337962963</v>
      </c>
      <c r="B141" s="195">
        <v>2012</v>
      </c>
      <c r="C141" s="194"/>
      <c r="D141" s="194"/>
      <c r="E141" s="196" t="s">
        <v>1012</v>
      </c>
      <c r="F141" s="195">
        <v>800</v>
      </c>
      <c r="G141" s="197" t="s">
        <v>470</v>
      </c>
      <c r="H141" s="197" t="s">
        <v>471</v>
      </c>
      <c r="J141" s="195">
        <v>1</v>
      </c>
      <c r="K141" s="204" t="s">
        <v>224</v>
      </c>
      <c r="L141" s="199">
        <v>2</v>
      </c>
      <c r="M141" s="200">
        <v>1.2</v>
      </c>
      <c r="N141" s="201">
        <v>28</v>
      </c>
    </row>
    <row r="142" spans="1:14">
      <c r="A142" s="194">
        <v>41281.474826388891</v>
      </c>
      <c r="B142" s="195">
        <v>2012</v>
      </c>
      <c r="C142" s="194"/>
      <c r="D142" s="194"/>
      <c r="E142" s="196" t="s">
        <v>701</v>
      </c>
      <c r="F142" s="195">
        <v>800</v>
      </c>
      <c r="G142" s="197" t="s">
        <v>470</v>
      </c>
      <c r="H142" s="197" t="s">
        <v>471</v>
      </c>
      <c r="J142" s="195">
        <v>1</v>
      </c>
      <c r="K142" s="204" t="s">
        <v>224</v>
      </c>
      <c r="L142" s="199">
        <v>2</v>
      </c>
      <c r="M142" s="200">
        <v>0.9</v>
      </c>
      <c r="N142" s="201">
        <v>31</v>
      </c>
    </row>
    <row r="143" spans="1:14">
      <c r="A143" s="194">
        <v>41277.390567129631</v>
      </c>
      <c r="B143" s="195">
        <v>2012</v>
      </c>
      <c r="C143" s="194"/>
      <c r="D143" s="194"/>
      <c r="E143" s="196" t="s">
        <v>583</v>
      </c>
      <c r="F143" s="195">
        <v>800</v>
      </c>
      <c r="G143" s="197" t="s">
        <v>470</v>
      </c>
      <c r="H143" s="197" t="s">
        <v>471</v>
      </c>
      <c r="J143" s="195">
        <v>1</v>
      </c>
      <c r="K143" s="204" t="s">
        <v>224</v>
      </c>
      <c r="L143" s="199">
        <v>2</v>
      </c>
      <c r="M143" s="200">
        <v>1</v>
      </c>
      <c r="N143" s="201">
        <v>31</v>
      </c>
    </row>
    <row r="144" spans="1:14">
      <c r="A144" s="194">
        <v>41285.275011574071</v>
      </c>
      <c r="B144" s="195">
        <v>2012</v>
      </c>
      <c r="C144" s="194"/>
      <c r="D144" s="194"/>
      <c r="E144" s="196" t="s">
        <v>879</v>
      </c>
      <c r="F144" s="195">
        <v>800</v>
      </c>
      <c r="G144" s="197" t="s">
        <v>470</v>
      </c>
      <c r="H144" s="197" t="s">
        <v>471</v>
      </c>
      <c r="J144" s="195">
        <v>1</v>
      </c>
      <c r="K144" s="204" t="s">
        <v>224</v>
      </c>
      <c r="L144" s="199">
        <v>2</v>
      </c>
      <c r="M144" s="200">
        <v>0.3</v>
      </c>
      <c r="N144" s="201">
        <v>33</v>
      </c>
    </row>
    <row r="145" spans="1:14">
      <c r="A145" s="194">
        <v>41288.585995370369</v>
      </c>
      <c r="B145" s="195">
        <v>2012</v>
      </c>
      <c r="C145" s="194"/>
      <c r="D145" s="194"/>
      <c r="E145" s="196" t="s">
        <v>944</v>
      </c>
      <c r="F145" s="195">
        <v>800</v>
      </c>
      <c r="G145" s="197" t="s">
        <v>470</v>
      </c>
      <c r="H145" s="197" t="s">
        <v>471</v>
      </c>
      <c r="J145" s="195">
        <v>1</v>
      </c>
      <c r="K145" s="204" t="s">
        <v>224</v>
      </c>
      <c r="L145" s="199">
        <v>1</v>
      </c>
      <c r="M145" s="200">
        <v>0.4</v>
      </c>
      <c r="N145" s="201">
        <v>34</v>
      </c>
    </row>
    <row r="146" spans="1:14">
      <c r="A146" s="194">
        <v>41285.039965277778</v>
      </c>
      <c r="B146" s="195">
        <v>2012</v>
      </c>
      <c r="C146" s="194"/>
      <c r="D146" s="194"/>
      <c r="E146" s="196" t="s">
        <v>876</v>
      </c>
      <c r="F146" s="195">
        <v>800</v>
      </c>
      <c r="G146" s="197" t="s">
        <v>470</v>
      </c>
      <c r="H146" s="197" t="s">
        <v>471</v>
      </c>
      <c r="J146" s="195">
        <v>1</v>
      </c>
      <c r="K146" s="204" t="s">
        <v>224</v>
      </c>
      <c r="L146" s="199">
        <v>2</v>
      </c>
      <c r="M146" s="200">
        <v>0.5</v>
      </c>
      <c r="N146" s="201">
        <v>36</v>
      </c>
    </row>
    <row r="147" spans="1:14">
      <c r="A147" s="194">
        <v>41284.482997685183</v>
      </c>
      <c r="B147" s="195">
        <v>2012</v>
      </c>
      <c r="C147" s="194"/>
      <c r="D147" s="194"/>
      <c r="E147" s="196" t="s">
        <v>820</v>
      </c>
      <c r="F147" s="195">
        <v>800</v>
      </c>
      <c r="G147" s="197" t="s">
        <v>470</v>
      </c>
      <c r="H147" s="197" t="s">
        <v>471</v>
      </c>
      <c r="J147" s="195">
        <v>1</v>
      </c>
      <c r="K147" s="204" t="s">
        <v>224</v>
      </c>
      <c r="L147" s="199">
        <v>2</v>
      </c>
      <c r="M147" s="200">
        <v>0.8</v>
      </c>
      <c r="N147" s="201">
        <v>44</v>
      </c>
    </row>
    <row r="148" spans="1:14">
      <c r="A148" s="194">
        <v>41296.904317129629</v>
      </c>
      <c r="B148" s="195">
        <v>2012</v>
      </c>
      <c r="C148" s="194"/>
      <c r="D148" s="194"/>
      <c r="E148" s="196" t="s">
        <v>1269</v>
      </c>
      <c r="F148" s="195">
        <v>800</v>
      </c>
      <c r="G148" s="197" t="s">
        <v>470</v>
      </c>
      <c r="H148" s="197" t="s">
        <v>471</v>
      </c>
      <c r="J148" s="195">
        <v>1</v>
      </c>
      <c r="K148" s="204" t="s">
        <v>224</v>
      </c>
      <c r="L148" s="199">
        <v>2</v>
      </c>
      <c r="M148" s="200">
        <v>1.6</v>
      </c>
      <c r="N148" s="201">
        <v>45</v>
      </c>
    </row>
    <row r="149" spans="1:14">
      <c r="A149" s="194">
        <v>41278.251956018517</v>
      </c>
      <c r="B149" s="195">
        <v>2012</v>
      </c>
      <c r="C149" s="194"/>
      <c r="D149" s="194"/>
      <c r="E149" s="196" t="s">
        <v>578</v>
      </c>
      <c r="F149" s="195">
        <v>800</v>
      </c>
      <c r="G149" s="197" t="s">
        <v>470</v>
      </c>
      <c r="H149" s="197" t="s">
        <v>471</v>
      </c>
      <c r="J149" s="195">
        <v>1</v>
      </c>
      <c r="K149" s="204" t="s">
        <v>224</v>
      </c>
      <c r="L149" s="199">
        <v>2</v>
      </c>
      <c r="M149" s="200">
        <v>0.4</v>
      </c>
      <c r="N149" s="201">
        <v>57</v>
      </c>
    </row>
    <row r="150" spans="1:14">
      <c r="A150" s="194">
        <v>41297.266886574071</v>
      </c>
      <c r="B150" s="195">
        <v>2012</v>
      </c>
      <c r="C150" s="194"/>
      <c r="D150" s="194"/>
      <c r="E150" s="198"/>
      <c r="G150" s="202"/>
      <c r="J150" s="195">
        <v>2</v>
      </c>
      <c r="K150" s="204" t="s">
        <v>32</v>
      </c>
      <c r="L150" s="199">
        <v>2</v>
      </c>
      <c r="M150" s="200">
        <v>0.3</v>
      </c>
      <c r="N150" s="201">
        <v>31</v>
      </c>
    </row>
    <row r="151" spans="1:14">
      <c r="A151" s="194">
        <v>41279.709120370368</v>
      </c>
      <c r="B151" s="195">
        <v>2012</v>
      </c>
      <c r="C151" s="194"/>
      <c r="D151" s="194"/>
      <c r="E151" s="198"/>
      <c r="G151" s="202"/>
      <c r="J151" s="195">
        <v>2</v>
      </c>
      <c r="K151" s="204" t="s">
        <v>32</v>
      </c>
      <c r="L151" s="199">
        <v>2</v>
      </c>
      <c r="M151" s="200">
        <v>0.5</v>
      </c>
      <c r="N151" s="201">
        <v>37</v>
      </c>
    </row>
    <row r="152" spans="1:14">
      <c r="A152" s="194">
        <v>41286.514675925922</v>
      </c>
      <c r="B152" s="195">
        <v>2012</v>
      </c>
      <c r="C152" s="194"/>
      <c r="D152" s="194"/>
      <c r="E152" s="198"/>
      <c r="G152" s="202"/>
      <c r="J152" s="195">
        <v>2</v>
      </c>
      <c r="K152" s="204" t="s">
        <v>32</v>
      </c>
      <c r="L152" s="199">
        <v>1</v>
      </c>
      <c r="M152" s="200">
        <v>0.7</v>
      </c>
      <c r="N152" s="201">
        <v>41</v>
      </c>
    </row>
    <row r="153" spans="1:14">
      <c r="A153" s="194">
        <v>41303.637071759258</v>
      </c>
      <c r="B153" s="195">
        <v>2012</v>
      </c>
      <c r="C153" s="194"/>
      <c r="D153" s="194"/>
      <c r="E153" s="198"/>
      <c r="G153" s="202"/>
      <c r="J153" s="195">
        <v>2</v>
      </c>
      <c r="K153" s="204" t="s">
        <v>32</v>
      </c>
      <c r="L153" s="199">
        <v>2</v>
      </c>
      <c r="M153" s="200">
        <v>0.3</v>
      </c>
      <c r="N153" s="201">
        <v>44</v>
      </c>
    </row>
    <row r="154" spans="1:14">
      <c r="A154" s="194">
        <v>41280.867685185185</v>
      </c>
      <c r="B154" s="195">
        <v>2012</v>
      </c>
      <c r="C154" s="194"/>
      <c r="D154" s="194"/>
      <c r="E154" s="198"/>
      <c r="G154" s="202"/>
      <c r="J154" s="195">
        <v>2</v>
      </c>
      <c r="K154" s="204" t="s">
        <v>32</v>
      </c>
      <c r="L154" s="199">
        <v>2</v>
      </c>
      <c r="M154" s="200">
        <v>0.3</v>
      </c>
      <c r="N154" s="201">
        <v>44</v>
      </c>
    </row>
    <row r="155" spans="1:14">
      <c r="A155" s="194">
        <v>41296.675162037034</v>
      </c>
      <c r="B155" s="195">
        <v>2012</v>
      </c>
      <c r="C155" s="194"/>
      <c r="D155" s="194"/>
      <c r="E155" s="198"/>
      <c r="G155" s="202"/>
      <c r="J155" s="195">
        <v>6</v>
      </c>
      <c r="K155" s="204" t="s">
        <v>9</v>
      </c>
      <c r="L155" s="199">
        <v>2</v>
      </c>
      <c r="M155" s="200">
        <v>0.8</v>
      </c>
      <c r="N155" s="201">
        <v>18</v>
      </c>
    </row>
    <row r="156" spans="1:14">
      <c r="A156" s="194">
        <v>41281.31145833333</v>
      </c>
      <c r="B156" s="195">
        <v>2012</v>
      </c>
      <c r="C156" s="194"/>
      <c r="D156" s="194"/>
      <c r="E156" s="198"/>
      <c r="G156" s="202"/>
      <c r="J156" s="195">
        <v>7</v>
      </c>
      <c r="K156" s="204" t="s">
        <v>30</v>
      </c>
      <c r="L156" s="199">
        <v>1</v>
      </c>
      <c r="M156" s="200">
        <v>0.6</v>
      </c>
      <c r="N156" s="201">
        <v>34</v>
      </c>
    </row>
    <row r="157" spans="1:14">
      <c r="A157" s="194">
        <v>41303.845706018517</v>
      </c>
      <c r="B157" s="195">
        <v>2012</v>
      </c>
      <c r="C157" s="194"/>
      <c r="D157" s="194"/>
      <c r="E157" s="198"/>
      <c r="G157" s="202"/>
      <c r="J157" s="195">
        <v>11</v>
      </c>
      <c r="K157" s="204" t="s">
        <v>1</v>
      </c>
      <c r="L157" s="199">
        <v>1</v>
      </c>
      <c r="M157" s="200">
        <v>23.8</v>
      </c>
      <c r="N157" s="201">
        <v>15</v>
      </c>
    </row>
    <row r="158" spans="1:14">
      <c r="A158" s="194">
        <v>41277.430127314816</v>
      </c>
      <c r="B158" s="195">
        <v>2012</v>
      </c>
      <c r="C158" s="194"/>
      <c r="D158" s="194"/>
      <c r="E158" s="198"/>
      <c r="G158" s="202"/>
      <c r="J158" s="195">
        <v>11</v>
      </c>
      <c r="K158" s="204" t="s">
        <v>1</v>
      </c>
      <c r="L158" s="199">
        <v>1</v>
      </c>
      <c r="M158" s="200">
        <v>0.4</v>
      </c>
      <c r="N158" s="201">
        <v>29</v>
      </c>
    </row>
    <row r="159" spans="1:14">
      <c r="A159" s="194">
        <v>41289.43236111111</v>
      </c>
      <c r="B159" s="195">
        <v>2012</v>
      </c>
      <c r="C159" s="194"/>
      <c r="D159" s="194"/>
      <c r="E159" s="198"/>
      <c r="G159" s="202"/>
      <c r="J159" s="195">
        <v>11</v>
      </c>
      <c r="K159" s="204" t="s">
        <v>1</v>
      </c>
      <c r="L159" s="199">
        <v>1</v>
      </c>
      <c r="M159" s="200">
        <v>0.5</v>
      </c>
      <c r="N159" s="201">
        <v>37</v>
      </c>
    </row>
    <row r="160" spans="1:14">
      <c r="A160" s="194">
        <v>41304.39912037037</v>
      </c>
      <c r="B160" s="195">
        <v>2012</v>
      </c>
      <c r="C160" s="194"/>
      <c r="D160" s="194"/>
      <c r="E160" s="198"/>
      <c r="G160" s="202"/>
      <c r="J160" s="195">
        <v>11</v>
      </c>
      <c r="K160" s="204" t="s">
        <v>1</v>
      </c>
      <c r="L160" s="199">
        <v>1</v>
      </c>
      <c r="M160" s="200">
        <v>0.6</v>
      </c>
      <c r="N160" s="201">
        <v>39</v>
      </c>
    </row>
    <row r="161" spans="1:14">
      <c r="A161" s="194">
        <v>41279.2503125</v>
      </c>
      <c r="B161" s="195">
        <v>2012</v>
      </c>
      <c r="C161" s="194"/>
      <c r="D161" s="194"/>
      <c r="E161" s="198"/>
      <c r="G161" s="202"/>
      <c r="J161" s="195">
        <v>12</v>
      </c>
      <c r="K161" s="204" t="s">
        <v>7</v>
      </c>
      <c r="L161" s="199">
        <v>2</v>
      </c>
      <c r="M161" s="200">
        <v>18.2</v>
      </c>
      <c r="N161" s="201">
        <v>15</v>
      </c>
    </row>
    <row r="162" spans="1:14">
      <c r="A162" s="194">
        <v>41299.938356481478</v>
      </c>
      <c r="B162" s="195">
        <v>2012</v>
      </c>
      <c r="C162" s="194"/>
      <c r="D162" s="194"/>
      <c r="E162" s="198"/>
      <c r="G162" s="202"/>
      <c r="J162" s="195">
        <v>12</v>
      </c>
      <c r="K162" s="204" t="s">
        <v>7</v>
      </c>
      <c r="L162" s="199">
        <v>2</v>
      </c>
      <c r="M162" s="200">
        <v>11.9</v>
      </c>
      <c r="N162" s="201">
        <v>18</v>
      </c>
    </row>
    <row r="163" spans="1:14">
      <c r="A163" s="194">
        <v>41280.204039351855</v>
      </c>
      <c r="B163" s="195">
        <v>2012</v>
      </c>
      <c r="C163" s="194"/>
      <c r="D163" s="194"/>
      <c r="E163" s="198"/>
      <c r="G163" s="202"/>
      <c r="J163" s="195">
        <v>12</v>
      </c>
      <c r="K163" s="204" t="s">
        <v>7</v>
      </c>
      <c r="L163" s="199">
        <v>2</v>
      </c>
      <c r="M163" s="200">
        <v>19.899999999999999</v>
      </c>
      <c r="N163" s="201">
        <v>26</v>
      </c>
    </row>
    <row r="164" spans="1:14">
      <c r="A164" s="194">
        <v>41276.329143518517</v>
      </c>
      <c r="B164" s="195">
        <v>2012</v>
      </c>
      <c r="C164" s="194"/>
      <c r="D164" s="194"/>
      <c r="E164" s="198"/>
      <c r="G164" s="202"/>
      <c r="J164" s="195">
        <v>14</v>
      </c>
      <c r="K164" s="204" t="s">
        <v>2</v>
      </c>
      <c r="L164" s="199">
        <v>1</v>
      </c>
      <c r="M164" s="200">
        <v>0.5</v>
      </c>
      <c r="N164" s="201">
        <v>30</v>
      </c>
    </row>
    <row r="165" spans="1:14">
      <c r="A165" s="194">
        <v>41303.430393518516</v>
      </c>
      <c r="B165" s="195">
        <v>2012</v>
      </c>
      <c r="C165" s="194"/>
      <c r="D165" s="194"/>
      <c r="E165" s="198"/>
      <c r="G165" s="202"/>
      <c r="J165" s="195">
        <v>14</v>
      </c>
      <c r="K165" s="204" t="s">
        <v>2</v>
      </c>
      <c r="L165" s="199">
        <v>1</v>
      </c>
      <c r="M165" s="200">
        <v>0.3</v>
      </c>
      <c r="N165" s="201">
        <v>39</v>
      </c>
    </row>
    <row r="166" spans="1:14">
      <c r="A166" s="194">
        <v>41282.6878125</v>
      </c>
      <c r="B166" s="195">
        <v>2012</v>
      </c>
      <c r="C166" s="194"/>
      <c r="D166" s="194"/>
      <c r="E166" s="198"/>
      <c r="G166" s="202"/>
      <c r="J166" s="195">
        <v>15</v>
      </c>
      <c r="K166" s="204" t="s">
        <v>4</v>
      </c>
      <c r="L166" s="199">
        <v>2</v>
      </c>
      <c r="M166" s="200">
        <v>2.6</v>
      </c>
      <c r="N166" s="201">
        <v>17</v>
      </c>
    </row>
    <row r="167" spans="1:14">
      <c r="A167" s="194">
        <v>41297.427175925928</v>
      </c>
      <c r="B167" s="195">
        <v>2012</v>
      </c>
      <c r="C167" s="194"/>
      <c r="D167" s="194"/>
      <c r="E167" s="198"/>
      <c r="G167" s="202"/>
      <c r="J167" s="195">
        <v>17</v>
      </c>
      <c r="K167" s="204" t="s">
        <v>11</v>
      </c>
      <c r="L167" s="199">
        <v>2</v>
      </c>
      <c r="M167" s="200">
        <v>1</v>
      </c>
      <c r="N167" s="201">
        <v>15</v>
      </c>
    </row>
    <row r="168" spans="1:14">
      <c r="A168" s="194">
        <v>41279.174178240741</v>
      </c>
      <c r="B168" s="195">
        <v>2012</v>
      </c>
      <c r="C168" s="194"/>
      <c r="D168" s="194"/>
      <c r="E168" s="198"/>
      <c r="G168" s="202"/>
      <c r="J168" s="195">
        <v>17</v>
      </c>
      <c r="K168" s="204" t="s">
        <v>11</v>
      </c>
      <c r="L168" s="199">
        <v>2</v>
      </c>
      <c r="M168" s="200">
        <v>1</v>
      </c>
      <c r="N168" s="201">
        <v>15</v>
      </c>
    </row>
    <row r="169" spans="1:14">
      <c r="A169" s="194">
        <v>41304.850219907406</v>
      </c>
      <c r="B169" s="195">
        <v>2012</v>
      </c>
      <c r="C169" s="194"/>
      <c r="D169" s="194"/>
      <c r="E169" s="198"/>
      <c r="G169" s="202"/>
      <c r="J169" s="195">
        <v>17</v>
      </c>
      <c r="K169" s="204" t="s">
        <v>11</v>
      </c>
      <c r="L169" s="199">
        <v>2</v>
      </c>
      <c r="M169" s="200">
        <v>18.3</v>
      </c>
      <c r="N169" s="201">
        <v>15</v>
      </c>
    </row>
    <row r="170" spans="1:14">
      <c r="A170" s="194">
        <v>41289.958738425928</v>
      </c>
      <c r="B170" s="195">
        <v>2012</v>
      </c>
      <c r="C170" s="194"/>
      <c r="D170" s="194"/>
      <c r="E170" s="198"/>
      <c r="G170" s="202"/>
      <c r="J170" s="195">
        <v>17</v>
      </c>
      <c r="K170" s="204" t="s">
        <v>11</v>
      </c>
      <c r="L170" s="199">
        <v>1</v>
      </c>
      <c r="M170" s="200">
        <v>19.600000000000001</v>
      </c>
      <c r="N170" s="201">
        <v>15</v>
      </c>
    </row>
    <row r="171" spans="1:14">
      <c r="A171" s="194">
        <v>41285.977847222224</v>
      </c>
      <c r="B171" s="195">
        <v>2012</v>
      </c>
      <c r="C171" s="194"/>
      <c r="D171" s="194"/>
      <c r="E171" s="198"/>
      <c r="G171" s="202"/>
      <c r="J171" s="195">
        <v>17</v>
      </c>
      <c r="K171" s="204" t="s">
        <v>11</v>
      </c>
      <c r="L171" s="199">
        <v>2</v>
      </c>
      <c r="M171" s="200">
        <v>0.5</v>
      </c>
      <c r="N171" s="201">
        <v>16</v>
      </c>
    </row>
    <row r="172" spans="1:14">
      <c r="A172" s="194">
        <v>41285.377071759256</v>
      </c>
      <c r="B172" s="195">
        <v>2012</v>
      </c>
      <c r="C172" s="194"/>
      <c r="D172" s="194"/>
      <c r="E172" s="198"/>
      <c r="G172" s="202"/>
      <c r="J172" s="195">
        <v>17</v>
      </c>
      <c r="K172" s="204" t="s">
        <v>11</v>
      </c>
      <c r="L172" s="199">
        <v>2</v>
      </c>
      <c r="M172" s="200">
        <v>0.5</v>
      </c>
      <c r="N172" s="201">
        <v>16</v>
      </c>
    </row>
    <row r="173" spans="1:14">
      <c r="A173" s="194">
        <v>41282.472546296296</v>
      </c>
      <c r="B173" s="195">
        <v>2012</v>
      </c>
      <c r="C173" s="194"/>
      <c r="D173" s="194"/>
      <c r="E173" s="198"/>
      <c r="G173" s="202"/>
      <c r="J173" s="195">
        <v>17</v>
      </c>
      <c r="K173" s="204" t="s">
        <v>11</v>
      </c>
      <c r="L173" s="199">
        <v>2</v>
      </c>
      <c r="M173" s="200">
        <v>0.9</v>
      </c>
      <c r="N173" s="201">
        <v>16</v>
      </c>
    </row>
    <row r="174" spans="1:14">
      <c r="A174" s="194">
        <v>41283.897245370368</v>
      </c>
      <c r="B174" s="195">
        <v>2012</v>
      </c>
      <c r="C174" s="194"/>
      <c r="D174" s="194"/>
      <c r="E174" s="198"/>
      <c r="G174" s="202"/>
      <c r="J174" s="195">
        <v>17</v>
      </c>
      <c r="K174" s="204" t="s">
        <v>11</v>
      </c>
      <c r="L174" s="199">
        <v>1</v>
      </c>
      <c r="M174" s="200">
        <v>1.3</v>
      </c>
      <c r="N174" s="201">
        <v>16</v>
      </c>
    </row>
    <row r="175" spans="1:14">
      <c r="A175" s="194">
        <v>41286.057673611111</v>
      </c>
      <c r="B175" s="195">
        <v>2012</v>
      </c>
      <c r="C175" s="194"/>
      <c r="D175" s="194"/>
      <c r="E175" s="198"/>
      <c r="G175" s="202"/>
      <c r="J175" s="195">
        <v>17</v>
      </c>
      <c r="K175" s="204" t="s">
        <v>11</v>
      </c>
      <c r="L175" s="199">
        <v>2</v>
      </c>
      <c r="M175" s="200">
        <v>17.5</v>
      </c>
      <c r="N175" s="201">
        <v>16</v>
      </c>
    </row>
    <row r="176" spans="1:14">
      <c r="A176" s="194">
        <v>41284.248518518521</v>
      </c>
      <c r="B176" s="195">
        <v>2012</v>
      </c>
      <c r="C176" s="194"/>
      <c r="D176" s="194"/>
      <c r="E176" s="198"/>
      <c r="G176" s="202"/>
      <c r="J176" s="195">
        <v>17</v>
      </c>
      <c r="K176" s="204" t="s">
        <v>11</v>
      </c>
      <c r="L176" s="199">
        <v>1</v>
      </c>
      <c r="M176" s="200">
        <v>19.7</v>
      </c>
      <c r="N176" s="201">
        <v>16</v>
      </c>
    </row>
    <row r="177" spans="1:14">
      <c r="A177" s="194">
        <v>41284.298981481479</v>
      </c>
      <c r="B177" s="195">
        <v>2012</v>
      </c>
      <c r="C177" s="194"/>
      <c r="D177" s="194"/>
      <c r="E177" s="198"/>
      <c r="G177" s="202"/>
      <c r="J177" s="195">
        <v>17</v>
      </c>
      <c r="K177" s="204" t="s">
        <v>11</v>
      </c>
      <c r="L177" s="199">
        <v>1</v>
      </c>
      <c r="M177" s="200">
        <v>0.5</v>
      </c>
      <c r="N177" s="201">
        <v>19</v>
      </c>
    </row>
    <row r="178" spans="1:14">
      <c r="A178" s="194">
        <v>41288.291712962964</v>
      </c>
      <c r="B178" s="195">
        <v>2012</v>
      </c>
      <c r="C178" s="194"/>
      <c r="D178" s="194"/>
      <c r="E178" s="198"/>
      <c r="G178" s="202"/>
      <c r="J178" s="195">
        <v>17</v>
      </c>
      <c r="K178" s="204" t="s">
        <v>11</v>
      </c>
      <c r="L178" s="199">
        <v>2</v>
      </c>
      <c r="M178" s="200">
        <v>0.4</v>
      </c>
      <c r="N178" s="201">
        <v>20</v>
      </c>
    </row>
    <row r="179" spans="1:14">
      <c r="A179" s="194">
        <v>41284.405243055553</v>
      </c>
      <c r="B179" s="195">
        <v>2012</v>
      </c>
      <c r="C179" s="194"/>
      <c r="D179" s="194"/>
      <c r="E179" s="198"/>
      <c r="G179" s="202"/>
      <c r="J179" s="195">
        <v>17</v>
      </c>
      <c r="K179" s="204" t="s">
        <v>11</v>
      </c>
      <c r="L179" s="199">
        <v>1</v>
      </c>
      <c r="M179" s="200">
        <v>0.6</v>
      </c>
      <c r="N179" s="201">
        <v>22</v>
      </c>
    </row>
    <row r="180" spans="1:14">
      <c r="A180" s="194">
        <v>41285.257754629631</v>
      </c>
      <c r="B180" s="195">
        <v>2012</v>
      </c>
      <c r="C180" s="194"/>
      <c r="D180" s="194"/>
      <c r="E180" s="198"/>
      <c r="G180" s="202"/>
      <c r="J180" s="195">
        <v>17</v>
      </c>
      <c r="K180" s="204" t="s">
        <v>11</v>
      </c>
      <c r="L180" s="199">
        <v>2</v>
      </c>
      <c r="M180" s="200">
        <v>16.5</v>
      </c>
      <c r="N180" s="201">
        <v>23</v>
      </c>
    </row>
    <row r="181" spans="1:14">
      <c r="A181" s="194">
        <v>41280.314918981479</v>
      </c>
      <c r="B181" s="195">
        <v>2012</v>
      </c>
      <c r="C181" s="194"/>
      <c r="D181" s="194"/>
      <c r="E181" s="198"/>
      <c r="G181" s="202"/>
      <c r="J181" s="195">
        <v>18</v>
      </c>
      <c r="K181" s="204" t="s">
        <v>5</v>
      </c>
      <c r="L181" s="199">
        <v>2</v>
      </c>
      <c r="M181" s="200">
        <v>0.6</v>
      </c>
      <c r="N181" s="201">
        <v>15</v>
      </c>
    </row>
    <row r="182" spans="1:14">
      <c r="A182" s="194">
        <v>41298.437905092593</v>
      </c>
      <c r="B182" s="195">
        <v>2012</v>
      </c>
      <c r="C182" s="194"/>
      <c r="D182" s="194"/>
      <c r="E182" s="198"/>
      <c r="G182" s="202"/>
      <c r="J182" s="195">
        <v>18</v>
      </c>
      <c r="K182" s="204" t="s">
        <v>5</v>
      </c>
      <c r="L182" s="199">
        <v>1</v>
      </c>
      <c r="M182" s="200">
        <v>25.7</v>
      </c>
      <c r="N182" s="201">
        <v>15</v>
      </c>
    </row>
    <row r="183" spans="1:14">
      <c r="A183" s="194">
        <v>41299.124328703707</v>
      </c>
      <c r="B183" s="195">
        <v>2012</v>
      </c>
      <c r="C183" s="194"/>
      <c r="D183" s="194"/>
      <c r="E183" s="198"/>
      <c r="G183" s="202"/>
      <c r="J183" s="195">
        <v>18</v>
      </c>
      <c r="K183" s="204" t="s">
        <v>5</v>
      </c>
      <c r="L183" s="199">
        <v>2</v>
      </c>
      <c r="M183" s="200">
        <v>1.9</v>
      </c>
      <c r="N183" s="201">
        <v>16</v>
      </c>
    </row>
    <row r="184" spans="1:14">
      <c r="A184" s="194">
        <v>41279.139236111114</v>
      </c>
      <c r="B184" s="195">
        <v>2012</v>
      </c>
      <c r="C184" s="194"/>
      <c r="D184" s="194"/>
      <c r="E184" s="198"/>
      <c r="G184" s="202"/>
      <c r="J184" s="195">
        <v>18</v>
      </c>
      <c r="K184" s="204" t="s">
        <v>5</v>
      </c>
      <c r="L184" s="199">
        <v>2</v>
      </c>
      <c r="M184" s="200">
        <v>21.9</v>
      </c>
      <c r="N184" s="201">
        <v>16</v>
      </c>
    </row>
    <row r="185" spans="1:14">
      <c r="A185" s="194">
        <v>41290.999282407407</v>
      </c>
      <c r="B185" s="195">
        <v>2012</v>
      </c>
      <c r="C185" s="194"/>
      <c r="D185" s="194"/>
      <c r="E185" s="198"/>
      <c r="G185" s="202"/>
      <c r="J185" s="195">
        <v>18</v>
      </c>
      <c r="K185" s="204" t="s">
        <v>5</v>
      </c>
      <c r="L185" s="199">
        <v>1</v>
      </c>
      <c r="M185" s="200">
        <v>5.0999999999999996</v>
      </c>
      <c r="N185" s="201">
        <v>17</v>
      </c>
    </row>
    <row r="186" spans="1:14">
      <c r="A186" s="194">
        <v>41279.139050925929</v>
      </c>
      <c r="B186" s="195">
        <v>2012</v>
      </c>
      <c r="C186" s="194"/>
      <c r="D186" s="194"/>
      <c r="E186" s="198"/>
      <c r="G186" s="202"/>
      <c r="J186" s="195">
        <v>18</v>
      </c>
      <c r="K186" s="204" t="s">
        <v>5</v>
      </c>
      <c r="L186" s="199">
        <v>2</v>
      </c>
      <c r="M186" s="200">
        <v>5.0999999999999996</v>
      </c>
      <c r="N186" s="201">
        <v>17</v>
      </c>
    </row>
    <row r="187" spans="1:14">
      <c r="A187" s="194">
        <v>41275.789699074077</v>
      </c>
      <c r="B187" s="195">
        <v>2012</v>
      </c>
      <c r="C187" s="194"/>
      <c r="D187" s="194"/>
      <c r="E187" s="198"/>
      <c r="G187" s="202"/>
      <c r="J187" s="195">
        <v>18</v>
      </c>
      <c r="K187" s="204" t="s">
        <v>5</v>
      </c>
      <c r="L187" s="199">
        <v>2</v>
      </c>
      <c r="M187" s="200">
        <v>7.1</v>
      </c>
      <c r="N187" s="201">
        <v>17</v>
      </c>
    </row>
    <row r="188" spans="1:14">
      <c r="A188" s="194">
        <v>41285.070740740739</v>
      </c>
      <c r="B188" s="195">
        <v>2012</v>
      </c>
      <c r="C188" s="194"/>
      <c r="D188" s="194"/>
      <c r="E188" s="198"/>
      <c r="G188" s="202"/>
      <c r="J188" s="195">
        <v>18</v>
      </c>
      <c r="K188" s="204" t="s">
        <v>5</v>
      </c>
      <c r="L188" s="199">
        <v>1</v>
      </c>
      <c r="M188" s="200">
        <v>18.100000000000001</v>
      </c>
      <c r="N188" s="201">
        <v>17</v>
      </c>
    </row>
    <row r="189" spans="1:14">
      <c r="A189" s="194">
        <v>41302.446319444447</v>
      </c>
      <c r="B189" s="195">
        <v>2012</v>
      </c>
      <c r="C189" s="194"/>
      <c r="D189" s="194"/>
      <c r="E189" s="198"/>
      <c r="G189" s="202"/>
      <c r="J189" s="195">
        <v>18</v>
      </c>
      <c r="K189" s="204" t="s">
        <v>5</v>
      </c>
      <c r="L189" s="199">
        <v>2</v>
      </c>
      <c r="M189" s="200">
        <v>26.7</v>
      </c>
      <c r="N189" s="201">
        <v>19</v>
      </c>
    </row>
    <row r="190" spans="1:14">
      <c r="A190" s="194">
        <v>41284.833715277775</v>
      </c>
      <c r="B190" s="195">
        <v>2012</v>
      </c>
      <c r="C190" s="194"/>
      <c r="D190" s="194"/>
      <c r="E190" s="198"/>
      <c r="G190" s="202"/>
      <c r="J190" s="195">
        <v>18</v>
      </c>
      <c r="K190" s="204" t="s">
        <v>5</v>
      </c>
      <c r="L190" s="199">
        <v>1</v>
      </c>
      <c r="M190" s="200">
        <v>2.2000000000000002</v>
      </c>
      <c r="N190" s="201">
        <v>20</v>
      </c>
    </row>
    <row r="191" spans="1:14">
      <c r="A191" s="194">
        <v>41303.032638888886</v>
      </c>
      <c r="B191" s="195">
        <v>2012</v>
      </c>
      <c r="C191" s="194"/>
      <c r="D191" s="194"/>
      <c r="E191" s="198"/>
      <c r="G191" s="202"/>
      <c r="J191" s="195">
        <v>18</v>
      </c>
      <c r="K191" s="204" t="s">
        <v>5</v>
      </c>
      <c r="L191" s="199">
        <v>2</v>
      </c>
      <c r="M191" s="200">
        <v>4.7</v>
      </c>
      <c r="N191" s="201">
        <v>20</v>
      </c>
    </row>
    <row r="192" spans="1:14">
      <c r="A192" s="194">
        <v>41286.106736111113</v>
      </c>
      <c r="B192" s="195">
        <v>2012</v>
      </c>
      <c r="C192" s="194"/>
      <c r="D192" s="194"/>
      <c r="E192" s="198"/>
      <c r="G192" s="202"/>
      <c r="J192" s="195">
        <v>18</v>
      </c>
      <c r="K192" s="204" t="s">
        <v>5</v>
      </c>
      <c r="L192" s="199">
        <v>1</v>
      </c>
      <c r="M192" s="200">
        <v>15.7</v>
      </c>
      <c r="N192" s="201">
        <v>20</v>
      </c>
    </row>
    <row r="193" spans="1:14">
      <c r="A193" s="194">
        <v>41299.586111111108</v>
      </c>
      <c r="B193" s="195">
        <v>2012</v>
      </c>
      <c r="C193" s="194"/>
      <c r="D193" s="194"/>
      <c r="E193" s="196" t="s">
        <v>1724</v>
      </c>
      <c r="G193" s="202"/>
      <c r="J193" s="195">
        <v>24</v>
      </c>
      <c r="K193" s="204" t="s">
        <v>25</v>
      </c>
      <c r="L193" s="199">
        <v>2</v>
      </c>
      <c r="M193" s="200">
        <v>3.5</v>
      </c>
      <c r="N193" s="201">
        <v>15</v>
      </c>
    </row>
    <row r="194" spans="1:14">
      <c r="A194" s="194">
        <v>41290.381284722222</v>
      </c>
      <c r="B194" s="195">
        <v>2012</v>
      </c>
      <c r="C194" s="194"/>
      <c r="D194" s="194"/>
      <c r="E194" s="196" t="s">
        <v>2138</v>
      </c>
      <c r="G194" s="202"/>
      <c r="J194" s="195">
        <v>24</v>
      </c>
      <c r="K194" s="204" t="s">
        <v>25</v>
      </c>
      <c r="L194" s="199">
        <v>1</v>
      </c>
      <c r="M194" s="200">
        <v>0.4</v>
      </c>
      <c r="N194" s="201">
        <v>35</v>
      </c>
    </row>
    <row r="195" spans="1:14">
      <c r="A195" s="194">
        <v>41288.574421296296</v>
      </c>
      <c r="B195" s="195">
        <v>2012</v>
      </c>
      <c r="C195" s="194"/>
      <c r="D195" s="194"/>
      <c r="E195" s="196" t="s">
        <v>1929</v>
      </c>
      <c r="G195" s="202"/>
      <c r="J195" s="195">
        <v>24</v>
      </c>
      <c r="K195" s="204" t="s">
        <v>25</v>
      </c>
      <c r="L195" s="199">
        <v>2</v>
      </c>
      <c r="M195" s="200">
        <v>0.4</v>
      </c>
      <c r="N195" s="201">
        <v>43</v>
      </c>
    </row>
    <row r="196" spans="1:14">
      <c r="A196" s="194">
        <v>41286.936041666668</v>
      </c>
      <c r="B196" s="195">
        <v>2012</v>
      </c>
      <c r="C196" s="194"/>
      <c r="D196" s="194"/>
      <c r="E196" s="196" t="s">
        <v>2030</v>
      </c>
      <c r="G196" s="202"/>
      <c r="J196" s="195">
        <v>24</v>
      </c>
      <c r="K196" s="204" t="s">
        <v>25</v>
      </c>
      <c r="L196" s="199">
        <v>1</v>
      </c>
      <c r="M196" s="200">
        <v>0.5</v>
      </c>
      <c r="N196" s="201">
        <v>44</v>
      </c>
    </row>
    <row r="197" spans="1:14">
      <c r="A197" s="194">
        <v>41297.413634259261</v>
      </c>
      <c r="B197" s="195">
        <v>2012</v>
      </c>
      <c r="C197" s="194"/>
      <c r="D197" s="194"/>
      <c r="E197" s="196" t="s">
        <v>1729</v>
      </c>
      <c r="G197" s="202"/>
      <c r="J197" s="195">
        <v>29</v>
      </c>
      <c r="K197" s="204" t="s">
        <v>39</v>
      </c>
      <c r="L197" s="199">
        <v>2</v>
      </c>
      <c r="M197" s="200">
        <v>0.4</v>
      </c>
      <c r="N197" s="201">
        <v>34</v>
      </c>
    </row>
    <row r="198" spans="1:14">
      <c r="A198" s="194">
        <v>41284.803622685184</v>
      </c>
      <c r="B198" s="195">
        <v>2012</v>
      </c>
      <c r="C198" s="194"/>
      <c r="D198" s="194"/>
      <c r="E198" s="196" t="s">
        <v>1665</v>
      </c>
      <c r="G198" s="202"/>
      <c r="J198" s="195">
        <v>29</v>
      </c>
      <c r="K198" s="204" t="s">
        <v>39</v>
      </c>
      <c r="L198" s="199">
        <v>2</v>
      </c>
      <c r="M198" s="200">
        <v>0.8</v>
      </c>
      <c r="N198" s="201">
        <v>44</v>
      </c>
    </row>
    <row r="199" spans="1:14">
      <c r="A199" s="194">
        <v>41302.760798611111</v>
      </c>
      <c r="B199" s="195">
        <v>2012</v>
      </c>
      <c r="C199" s="194"/>
      <c r="D199" s="194"/>
      <c r="E199" s="198"/>
      <c r="G199" s="202"/>
      <c r="J199" s="195">
        <v>43</v>
      </c>
      <c r="K199" s="204" t="s">
        <v>1596</v>
      </c>
      <c r="L199" s="199">
        <v>2</v>
      </c>
      <c r="M199" s="200">
        <v>0.3</v>
      </c>
      <c r="N199" s="201">
        <v>15</v>
      </c>
    </row>
    <row r="200" spans="1:14">
      <c r="A200" s="194">
        <v>41302.417824074073</v>
      </c>
      <c r="B200" s="195">
        <v>2012</v>
      </c>
      <c r="C200" s="194"/>
      <c r="D200" s="194"/>
      <c r="E200" s="198"/>
      <c r="G200" s="202"/>
      <c r="J200" s="195">
        <v>43</v>
      </c>
      <c r="K200" s="204" t="s">
        <v>1596</v>
      </c>
      <c r="L200" s="199">
        <v>2</v>
      </c>
      <c r="M200" s="200">
        <v>0.3</v>
      </c>
      <c r="N200" s="201">
        <v>15</v>
      </c>
    </row>
    <row r="201" spans="1:14">
      <c r="A201" s="194">
        <v>41302.388657407406</v>
      </c>
      <c r="B201" s="195">
        <v>2012</v>
      </c>
      <c r="C201" s="194"/>
      <c r="D201" s="194"/>
      <c r="E201" s="198"/>
      <c r="G201" s="202"/>
      <c r="J201" s="195">
        <v>43</v>
      </c>
      <c r="K201" s="204" t="s">
        <v>1596</v>
      </c>
      <c r="L201" s="199">
        <v>2</v>
      </c>
      <c r="M201" s="200">
        <v>0.3</v>
      </c>
      <c r="N201" s="201">
        <v>15</v>
      </c>
    </row>
    <row r="202" spans="1:14">
      <c r="A202" s="194">
        <v>41299.65552083333</v>
      </c>
      <c r="B202" s="195">
        <v>2012</v>
      </c>
      <c r="C202" s="194"/>
      <c r="D202" s="194"/>
      <c r="E202" s="198"/>
      <c r="G202" s="202"/>
      <c r="J202" s="195">
        <v>43</v>
      </c>
      <c r="K202" s="204" t="s">
        <v>1596</v>
      </c>
      <c r="L202" s="199">
        <v>2</v>
      </c>
      <c r="M202" s="200">
        <v>0.3</v>
      </c>
      <c r="N202" s="201">
        <v>15</v>
      </c>
    </row>
    <row r="203" spans="1:14">
      <c r="A203" s="194">
        <v>41298.670532407406</v>
      </c>
      <c r="B203" s="195">
        <v>2012</v>
      </c>
      <c r="C203" s="194"/>
      <c r="D203" s="194"/>
      <c r="E203" s="198"/>
      <c r="G203" s="202"/>
      <c r="J203" s="195">
        <v>43</v>
      </c>
      <c r="K203" s="204" t="s">
        <v>1596</v>
      </c>
      <c r="L203" s="199">
        <v>2</v>
      </c>
      <c r="M203" s="200">
        <v>0.3</v>
      </c>
      <c r="N203" s="201">
        <v>15</v>
      </c>
    </row>
    <row r="204" spans="1:14">
      <c r="A204" s="194">
        <v>41296.467974537038</v>
      </c>
      <c r="B204" s="195">
        <v>2012</v>
      </c>
      <c r="C204" s="194"/>
      <c r="D204" s="194"/>
      <c r="E204" s="198"/>
      <c r="G204" s="202"/>
      <c r="J204" s="195">
        <v>43</v>
      </c>
      <c r="K204" s="204" t="s">
        <v>1596</v>
      </c>
      <c r="L204" s="199">
        <v>2</v>
      </c>
      <c r="M204" s="200">
        <v>0.3</v>
      </c>
      <c r="N204" s="201">
        <v>15</v>
      </c>
    </row>
    <row r="205" spans="1:14">
      <c r="A205" s="194">
        <v>41289.575601851851</v>
      </c>
      <c r="B205" s="195">
        <v>2012</v>
      </c>
      <c r="C205" s="194"/>
      <c r="D205" s="194"/>
      <c r="E205" s="198"/>
      <c r="G205" s="202"/>
      <c r="J205" s="195">
        <v>43</v>
      </c>
      <c r="K205" s="204" t="s">
        <v>1596</v>
      </c>
      <c r="L205" s="199">
        <v>1</v>
      </c>
      <c r="M205" s="200">
        <v>0.3</v>
      </c>
      <c r="N205" s="201">
        <v>15</v>
      </c>
    </row>
    <row r="206" spans="1:14">
      <c r="A206" s="194">
        <v>41289.312569444446</v>
      </c>
      <c r="B206" s="195">
        <v>2012</v>
      </c>
      <c r="C206" s="194"/>
      <c r="D206" s="194"/>
      <c r="E206" s="198"/>
      <c r="G206" s="202"/>
      <c r="J206" s="195">
        <v>43</v>
      </c>
      <c r="K206" s="204" t="s">
        <v>1596</v>
      </c>
      <c r="L206" s="199">
        <v>2</v>
      </c>
      <c r="M206" s="200">
        <v>0.3</v>
      </c>
      <c r="N206" s="201">
        <v>15</v>
      </c>
    </row>
    <row r="207" spans="1:14">
      <c r="A207" s="194">
        <v>41286.432500000003</v>
      </c>
      <c r="B207" s="195">
        <v>2012</v>
      </c>
      <c r="C207" s="194"/>
      <c r="D207" s="194"/>
      <c r="E207" s="198"/>
      <c r="G207" s="202"/>
      <c r="J207" s="195">
        <v>43</v>
      </c>
      <c r="K207" s="204" t="s">
        <v>1596</v>
      </c>
      <c r="L207" s="199">
        <v>2</v>
      </c>
      <c r="M207" s="200">
        <v>0.3</v>
      </c>
      <c r="N207" s="201">
        <v>15</v>
      </c>
    </row>
    <row r="208" spans="1:14">
      <c r="A208" s="194">
        <v>41299.639317129629</v>
      </c>
      <c r="B208" s="195">
        <v>2012</v>
      </c>
      <c r="C208" s="194"/>
      <c r="D208" s="194"/>
      <c r="E208" s="198"/>
      <c r="G208" s="202"/>
      <c r="J208" s="195">
        <v>43</v>
      </c>
      <c r="K208" s="204" t="s">
        <v>1596</v>
      </c>
      <c r="L208" s="199">
        <v>2</v>
      </c>
      <c r="M208" s="200">
        <v>0.4</v>
      </c>
      <c r="N208" s="201">
        <v>15</v>
      </c>
    </row>
    <row r="209" spans="1:14">
      <c r="A209" s="194">
        <v>41283.306238425925</v>
      </c>
      <c r="B209" s="195">
        <v>2012</v>
      </c>
      <c r="C209" s="194"/>
      <c r="D209" s="194"/>
      <c r="E209" s="198"/>
      <c r="G209" s="202"/>
      <c r="J209" s="195">
        <v>43</v>
      </c>
      <c r="K209" s="204" t="s">
        <v>1596</v>
      </c>
      <c r="L209" s="199">
        <v>2</v>
      </c>
      <c r="M209" s="200">
        <v>0.4</v>
      </c>
      <c r="N209" s="201">
        <v>15</v>
      </c>
    </row>
    <row r="210" spans="1:14">
      <c r="A210" s="194">
        <v>41290.334421296298</v>
      </c>
      <c r="B210" s="195">
        <v>2012</v>
      </c>
      <c r="C210" s="194"/>
      <c r="D210" s="194"/>
      <c r="E210" s="198"/>
      <c r="G210" s="202"/>
      <c r="J210" s="195">
        <v>43</v>
      </c>
      <c r="K210" s="204" t="s">
        <v>1596</v>
      </c>
      <c r="L210" s="199">
        <v>2</v>
      </c>
      <c r="M210" s="200">
        <v>0.5</v>
      </c>
      <c r="N210" s="201">
        <v>15</v>
      </c>
    </row>
    <row r="211" spans="1:14">
      <c r="A211" s="194">
        <v>41305.310567129629</v>
      </c>
      <c r="B211" s="195">
        <v>2012</v>
      </c>
      <c r="C211" s="194"/>
      <c r="D211" s="194"/>
      <c r="E211" s="198"/>
      <c r="G211" s="202"/>
      <c r="J211" s="195">
        <v>43</v>
      </c>
      <c r="K211" s="204" t="s">
        <v>1596</v>
      </c>
      <c r="L211" s="199">
        <v>2</v>
      </c>
      <c r="M211" s="200">
        <v>0.6</v>
      </c>
      <c r="N211" s="201">
        <v>15</v>
      </c>
    </row>
    <row r="212" spans="1:14">
      <c r="A212" s="194">
        <v>41290.405243055553</v>
      </c>
      <c r="B212" s="195">
        <v>2012</v>
      </c>
      <c r="C212" s="194"/>
      <c r="D212" s="194"/>
      <c r="E212" s="198"/>
      <c r="G212" s="202"/>
      <c r="J212" s="195">
        <v>43</v>
      </c>
      <c r="K212" s="204" t="s">
        <v>1596</v>
      </c>
      <c r="L212" s="199">
        <v>2</v>
      </c>
      <c r="M212" s="200">
        <v>0.7</v>
      </c>
      <c r="N212" s="201">
        <v>15</v>
      </c>
    </row>
    <row r="213" spans="1:14">
      <c r="A213" s="194">
        <v>41305.307442129626</v>
      </c>
      <c r="B213" s="195">
        <v>2012</v>
      </c>
      <c r="C213" s="194"/>
      <c r="D213" s="194"/>
      <c r="E213" s="198"/>
      <c r="G213" s="202"/>
      <c r="J213" s="195">
        <v>43</v>
      </c>
      <c r="K213" s="204" t="s">
        <v>1596</v>
      </c>
      <c r="L213" s="199">
        <v>2</v>
      </c>
      <c r="M213" s="200">
        <v>0.8</v>
      </c>
      <c r="N213" s="201">
        <v>15</v>
      </c>
    </row>
    <row r="214" spans="1:14">
      <c r="A214" s="194">
        <v>41296.366747685184</v>
      </c>
      <c r="B214" s="195">
        <v>2012</v>
      </c>
      <c r="C214" s="194"/>
      <c r="D214" s="194"/>
      <c r="E214" s="198"/>
      <c r="G214" s="202"/>
      <c r="J214" s="195">
        <v>43</v>
      </c>
      <c r="K214" s="204" t="s">
        <v>1596</v>
      </c>
      <c r="L214" s="199">
        <v>2</v>
      </c>
      <c r="M214" s="200">
        <v>0.8</v>
      </c>
      <c r="N214" s="201">
        <v>15</v>
      </c>
    </row>
    <row r="215" spans="1:14">
      <c r="A215" s="194">
        <v>41302.603391203702</v>
      </c>
      <c r="B215" s="195">
        <v>2012</v>
      </c>
      <c r="C215" s="194"/>
      <c r="D215" s="194"/>
      <c r="E215" s="198"/>
      <c r="G215" s="202"/>
      <c r="J215" s="195">
        <v>43</v>
      </c>
      <c r="K215" s="204" t="s">
        <v>1596</v>
      </c>
      <c r="L215" s="199">
        <v>2</v>
      </c>
      <c r="M215" s="200">
        <v>1.1000000000000001</v>
      </c>
      <c r="N215" s="201">
        <v>15</v>
      </c>
    </row>
    <row r="216" spans="1:14">
      <c r="A216" s="194">
        <v>41283.393726851849</v>
      </c>
      <c r="B216" s="195">
        <v>2012</v>
      </c>
      <c r="C216" s="194"/>
      <c r="D216" s="194"/>
      <c r="E216" s="198"/>
      <c r="G216" s="202"/>
      <c r="J216" s="195">
        <v>43</v>
      </c>
      <c r="K216" s="204" t="s">
        <v>1596</v>
      </c>
      <c r="L216" s="199">
        <v>2</v>
      </c>
      <c r="M216" s="200">
        <v>1.1000000000000001</v>
      </c>
      <c r="N216" s="201">
        <v>15</v>
      </c>
    </row>
    <row r="217" spans="1:14">
      <c r="A217" s="194">
        <v>41280.680173611108</v>
      </c>
      <c r="B217" s="195">
        <v>2012</v>
      </c>
      <c r="C217" s="194"/>
      <c r="D217" s="194"/>
      <c r="E217" s="198"/>
      <c r="G217" s="202"/>
      <c r="J217" s="195">
        <v>43</v>
      </c>
      <c r="K217" s="204" t="s">
        <v>1596</v>
      </c>
      <c r="L217" s="199">
        <v>2</v>
      </c>
      <c r="M217" s="200">
        <v>1.1000000000000001</v>
      </c>
      <c r="N217" s="201">
        <v>15</v>
      </c>
    </row>
    <row r="218" spans="1:14">
      <c r="A218" s="194">
        <v>41285.786168981482</v>
      </c>
      <c r="B218" s="195">
        <v>2012</v>
      </c>
      <c r="C218" s="194"/>
      <c r="D218" s="194"/>
      <c r="E218" s="198"/>
      <c r="G218" s="202"/>
      <c r="J218" s="195">
        <v>43</v>
      </c>
      <c r="K218" s="204" t="s">
        <v>1596</v>
      </c>
      <c r="L218" s="199">
        <v>2</v>
      </c>
      <c r="M218" s="200">
        <v>1.2</v>
      </c>
      <c r="N218" s="201">
        <v>15</v>
      </c>
    </row>
    <row r="219" spans="1:14">
      <c r="A219" s="194">
        <v>41297.361550925925</v>
      </c>
      <c r="B219" s="195">
        <v>2012</v>
      </c>
      <c r="C219" s="194"/>
      <c r="D219" s="194"/>
      <c r="E219" s="198"/>
      <c r="G219" s="202"/>
      <c r="J219" s="195">
        <v>43</v>
      </c>
      <c r="K219" s="204" t="s">
        <v>1596</v>
      </c>
      <c r="L219" s="199">
        <v>2</v>
      </c>
      <c r="M219" s="200">
        <v>1.3</v>
      </c>
      <c r="N219" s="201">
        <v>15</v>
      </c>
    </row>
    <row r="220" spans="1:14">
      <c r="A220" s="194">
        <v>41285.653055555558</v>
      </c>
      <c r="B220" s="195">
        <v>2012</v>
      </c>
      <c r="C220" s="194"/>
      <c r="D220" s="194"/>
      <c r="E220" s="198"/>
      <c r="G220" s="202"/>
      <c r="J220" s="195">
        <v>43</v>
      </c>
      <c r="K220" s="204" t="s">
        <v>1596</v>
      </c>
      <c r="L220" s="199">
        <v>2</v>
      </c>
      <c r="M220" s="200">
        <v>1.4</v>
      </c>
      <c r="N220" s="201">
        <v>15</v>
      </c>
    </row>
    <row r="221" spans="1:14">
      <c r="A221" s="194">
        <v>41282.330243055556</v>
      </c>
      <c r="B221" s="195">
        <v>2012</v>
      </c>
      <c r="C221" s="194"/>
      <c r="D221" s="194"/>
      <c r="E221" s="198"/>
      <c r="G221" s="202"/>
      <c r="J221" s="195">
        <v>43</v>
      </c>
      <c r="K221" s="204" t="s">
        <v>1596</v>
      </c>
      <c r="L221" s="199">
        <v>2</v>
      </c>
      <c r="M221" s="200">
        <v>1.4</v>
      </c>
      <c r="N221" s="201">
        <v>15</v>
      </c>
    </row>
    <row r="222" spans="1:14">
      <c r="A222" s="194">
        <v>41304.679884259262</v>
      </c>
      <c r="B222" s="195">
        <v>2012</v>
      </c>
      <c r="C222" s="194"/>
      <c r="D222" s="194"/>
      <c r="E222" s="198"/>
      <c r="G222" s="202"/>
      <c r="J222" s="195">
        <v>43</v>
      </c>
      <c r="K222" s="204" t="s">
        <v>1596</v>
      </c>
      <c r="L222" s="199">
        <v>2</v>
      </c>
      <c r="M222" s="200">
        <v>1.5</v>
      </c>
      <c r="N222" s="201">
        <v>15</v>
      </c>
    </row>
    <row r="223" spans="1:14">
      <c r="A223" s="194">
        <v>41285.366666666669</v>
      </c>
      <c r="B223" s="195">
        <v>2012</v>
      </c>
      <c r="C223" s="194"/>
      <c r="D223" s="194"/>
      <c r="E223" s="198"/>
      <c r="G223" s="202"/>
      <c r="J223" s="195">
        <v>43</v>
      </c>
      <c r="K223" s="204" t="s">
        <v>1596</v>
      </c>
      <c r="L223" s="199">
        <v>2</v>
      </c>
      <c r="M223" s="200">
        <v>1.5</v>
      </c>
      <c r="N223" s="201">
        <v>15</v>
      </c>
    </row>
    <row r="224" spans="1:14">
      <c r="A224" s="194">
        <v>41289.40216435185</v>
      </c>
      <c r="B224" s="195">
        <v>2012</v>
      </c>
      <c r="C224" s="194"/>
      <c r="D224" s="194"/>
      <c r="E224" s="198"/>
      <c r="G224" s="202"/>
      <c r="J224" s="195">
        <v>43</v>
      </c>
      <c r="K224" s="204" t="s">
        <v>1596</v>
      </c>
      <c r="L224" s="199">
        <v>2</v>
      </c>
      <c r="M224" s="200">
        <v>1.6</v>
      </c>
      <c r="N224" s="201">
        <v>15</v>
      </c>
    </row>
    <row r="225" spans="1:14">
      <c r="A225" s="194">
        <v>41282.503796296296</v>
      </c>
      <c r="B225" s="195">
        <v>2012</v>
      </c>
      <c r="C225" s="194"/>
      <c r="D225" s="194"/>
      <c r="E225" s="198"/>
      <c r="G225" s="202"/>
      <c r="J225" s="195">
        <v>43</v>
      </c>
      <c r="K225" s="204" t="s">
        <v>1596</v>
      </c>
      <c r="L225" s="199">
        <v>2</v>
      </c>
      <c r="M225" s="200">
        <v>2.1</v>
      </c>
      <c r="N225" s="201">
        <v>15</v>
      </c>
    </row>
    <row r="226" spans="1:14">
      <c r="A226" s="194">
        <v>41286.114155092589</v>
      </c>
      <c r="B226" s="195">
        <v>2012</v>
      </c>
      <c r="C226" s="194"/>
      <c r="D226" s="194"/>
      <c r="E226" s="198"/>
      <c r="G226" s="202"/>
      <c r="J226" s="195">
        <v>43</v>
      </c>
      <c r="K226" s="204" t="s">
        <v>1596</v>
      </c>
      <c r="L226" s="199">
        <v>2</v>
      </c>
      <c r="M226" s="200">
        <v>16.600000000000001</v>
      </c>
      <c r="N226" s="201">
        <v>15</v>
      </c>
    </row>
    <row r="227" spans="1:14">
      <c r="A227" s="194">
        <v>41282.579340277778</v>
      </c>
      <c r="B227" s="195">
        <v>2012</v>
      </c>
      <c r="C227" s="194"/>
      <c r="D227" s="194"/>
      <c r="E227" s="198"/>
      <c r="G227" s="202"/>
      <c r="J227" s="195">
        <v>43</v>
      </c>
      <c r="K227" s="204" t="s">
        <v>1596</v>
      </c>
      <c r="L227" s="199">
        <v>2</v>
      </c>
      <c r="M227" s="200">
        <v>29.9</v>
      </c>
      <c r="N227" s="201">
        <v>15</v>
      </c>
    </row>
    <row r="228" spans="1:14">
      <c r="A228" s="194">
        <v>41303.752835648149</v>
      </c>
      <c r="B228" s="195">
        <v>2012</v>
      </c>
      <c r="C228" s="194"/>
      <c r="D228" s="194"/>
      <c r="E228" s="198"/>
      <c r="G228" s="202"/>
      <c r="J228" s="195">
        <v>43</v>
      </c>
      <c r="K228" s="204" t="s">
        <v>1596</v>
      </c>
      <c r="L228" s="199">
        <v>2</v>
      </c>
      <c r="M228" s="200">
        <v>0.3</v>
      </c>
      <c r="N228" s="201">
        <v>16</v>
      </c>
    </row>
    <row r="229" spans="1:14">
      <c r="A229" s="194">
        <v>41281.621759259258</v>
      </c>
      <c r="B229" s="195">
        <v>2012</v>
      </c>
      <c r="C229" s="194"/>
      <c r="D229" s="194"/>
      <c r="E229" s="198"/>
      <c r="G229" s="202"/>
      <c r="J229" s="195">
        <v>43</v>
      </c>
      <c r="K229" s="204" t="s">
        <v>1596</v>
      </c>
      <c r="L229" s="199">
        <v>2</v>
      </c>
      <c r="M229" s="200">
        <v>0.3</v>
      </c>
      <c r="N229" s="201">
        <v>16</v>
      </c>
    </row>
    <row r="230" spans="1:14">
      <c r="A230" s="194">
        <v>41289.755011574074</v>
      </c>
      <c r="B230" s="195">
        <v>2012</v>
      </c>
      <c r="C230" s="194"/>
      <c r="D230" s="194"/>
      <c r="E230" s="198"/>
      <c r="G230" s="202"/>
      <c r="J230" s="195">
        <v>43</v>
      </c>
      <c r="K230" s="204" t="s">
        <v>1596</v>
      </c>
      <c r="L230" s="199">
        <v>2</v>
      </c>
      <c r="M230" s="200">
        <v>0.4</v>
      </c>
      <c r="N230" s="201">
        <v>16</v>
      </c>
    </row>
    <row r="231" spans="1:14">
      <c r="A231" s="194">
        <v>41284.344814814816</v>
      </c>
      <c r="B231" s="195">
        <v>2012</v>
      </c>
      <c r="C231" s="194"/>
      <c r="D231" s="194"/>
      <c r="E231" s="198"/>
      <c r="G231" s="202"/>
      <c r="J231" s="195">
        <v>43</v>
      </c>
      <c r="K231" s="204" t="s">
        <v>1596</v>
      </c>
      <c r="L231" s="199">
        <v>2</v>
      </c>
      <c r="M231" s="200">
        <v>0.4</v>
      </c>
      <c r="N231" s="201">
        <v>16</v>
      </c>
    </row>
    <row r="232" spans="1:14">
      <c r="A232" s="194">
        <v>41278.514201388891</v>
      </c>
      <c r="B232" s="195">
        <v>2012</v>
      </c>
      <c r="C232" s="194"/>
      <c r="D232" s="194"/>
      <c r="E232" s="198"/>
      <c r="G232" s="202"/>
      <c r="J232" s="195">
        <v>43</v>
      </c>
      <c r="K232" s="204" t="s">
        <v>1596</v>
      </c>
      <c r="L232" s="199">
        <v>2</v>
      </c>
      <c r="M232" s="200">
        <v>0.5</v>
      </c>
      <c r="N232" s="201">
        <v>16</v>
      </c>
    </row>
    <row r="233" spans="1:14">
      <c r="A233" s="194">
        <v>41285.37394675926</v>
      </c>
      <c r="B233" s="195">
        <v>2012</v>
      </c>
      <c r="C233" s="194"/>
      <c r="D233" s="194"/>
      <c r="E233" s="198"/>
      <c r="G233" s="202"/>
      <c r="J233" s="195">
        <v>43</v>
      </c>
      <c r="K233" s="204" t="s">
        <v>1596</v>
      </c>
      <c r="L233" s="199">
        <v>2</v>
      </c>
      <c r="M233" s="200">
        <v>0.7</v>
      </c>
      <c r="N233" s="201">
        <v>16</v>
      </c>
    </row>
    <row r="234" spans="1:14">
      <c r="A234" s="194">
        <v>41280.740381944444</v>
      </c>
      <c r="B234" s="195">
        <v>2012</v>
      </c>
      <c r="C234" s="194"/>
      <c r="D234" s="194"/>
      <c r="E234" s="198"/>
      <c r="G234" s="202"/>
      <c r="J234" s="195">
        <v>43</v>
      </c>
      <c r="K234" s="204" t="s">
        <v>1596</v>
      </c>
      <c r="L234" s="199">
        <v>2</v>
      </c>
      <c r="M234" s="200">
        <v>0.7</v>
      </c>
      <c r="N234" s="201">
        <v>16</v>
      </c>
    </row>
    <row r="235" spans="1:14">
      <c r="A235" s="194">
        <v>41275.559282407405</v>
      </c>
      <c r="B235" s="195">
        <v>2012</v>
      </c>
      <c r="C235" s="194"/>
      <c r="D235" s="194"/>
      <c r="E235" s="198"/>
      <c r="G235" s="202"/>
      <c r="J235" s="195">
        <v>43</v>
      </c>
      <c r="K235" s="204" t="s">
        <v>1596</v>
      </c>
      <c r="L235" s="199">
        <v>2</v>
      </c>
      <c r="M235" s="200">
        <v>0.7</v>
      </c>
      <c r="N235" s="201">
        <v>16</v>
      </c>
    </row>
    <row r="236" spans="1:14">
      <c r="A236" s="194">
        <v>41303.519016203703</v>
      </c>
      <c r="B236" s="195">
        <v>2012</v>
      </c>
      <c r="C236" s="194"/>
      <c r="D236" s="194"/>
      <c r="E236" s="198"/>
      <c r="G236" s="202"/>
      <c r="J236" s="195">
        <v>43</v>
      </c>
      <c r="K236" s="204" t="s">
        <v>1596</v>
      </c>
      <c r="L236" s="199">
        <v>2</v>
      </c>
      <c r="M236" s="200">
        <v>0.8</v>
      </c>
      <c r="N236" s="201">
        <v>16</v>
      </c>
    </row>
    <row r="237" spans="1:14">
      <c r="A237" s="194">
        <v>41302.407407407409</v>
      </c>
      <c r="B237" s="195">
        <v>2012</v>
      </c>
      <c r="C237" s="194"/>
      <c r="D237" s="194"/>
      <c r="E237" s="198"/>
      <c r="G237" s="202"/>
      <c r="J237" s="195">
        <v>43</v>
      </c>
      <c r="K237" s="204" t="s">
        <v>1596</v>
      </c>
      <c r="L237" s="199">
        <v>2</v>
      </c>
      <c r="M237" s="200">
        <v>0.8</v>
      </c>
      <c r="N237" s="201">
        <v>16</v>
      </c>
    </row>
    <row r="238" spans="1:14">
      <c r="A238" s="194">
        <v>41283.262175925927</v>
      </c>
      <c r="B238" s="195">
        <v>2012</v>
      </c>
      <c r="C238" s="194"/>
      <c r="D238" s="194"/>
      <c r="E238" s="198"/>
      <c r="G238" s="202"/>
      <c r="J238" s="195">
        <v>43</v>
      </c>
      <c r="K238" s="204" t="s">
        <v>1596</v>
      </c>
      <c r="L238" s="199">
        <v>2</v>
      </c>
      <c r="M238" s="200">
        <v>0.8</v>
      </c>
      <c r="N238" s="201">
        <v>16</v>
      </c>
    </row>
    <row r="239" spans="1:14">
      <c r="A239" s="194">
        <v>41281.392708333333</v>
      </c>
      <c r="B239" s="195">
        <v>2012</v>
      </c>
      <c r="C239" s="194"/>
      <c r="D239" s="194"/>
      <c r="E239" s="198"/>
      <c r="G239" s="202"/>
      <c r="J239" s="195">
        <v>43</v>
      </c>
      <c r="K239" s="204" t="s">
        <v>1596</v>
      </c>
      <c r="L239" s="199">
        <v>2</v>
      </c>
      <c r="M239" s="200">
        <v>0.8</v>
      </c>
      <c r="N239" s="201">
        <v>16</v>
      </c>
    </row>
    <row r="240" spans="1:14">
      <c r="A240" s="194">
        <v>41303.415810185186</v>
      </c>
      <c r="B240" s="195">
        <v>2012</v>
      </c>
      <c r="C240" s="194"/>
      <c r="D240" s="194"/>
      <c r="E240" s="198"/>
      <c r="G240" s="202"/>
      <c r="J240" s="195">
        <v>43</v>
      </c>
      <c r="K240" s="204" t="s">
        <v>1596</v>
      </c>
      <c r="L240" s="199">
        <v>2</v>
      </c>
      <c r="M240" s="200">
        <v>0.9</v>
      </c>
      <c r="N240" s="201">
        <v>16</v>
      </c>
    </row>
    <row r="241" spans="1:14">
      <c r="A241" s="194">
        <v>41289.717974537038</v>
      </c>
      <c r="B241" s="195">
        <v>2012</v>
      </c>
      <c r="C241" s="194"/>
      <c r="D241" s="194"/>
      <c r="E241" s="198"/>
      <c r="G241" s="202"/>
      <c r="J241" s="195">
        <v>43</v>
      </c>
      <c r="K241" s="204" t="s">
        <v>1596</v>
      </c>
      <c r="L241" s="199">
        <v>2</v>
      </c>
      <c r="M241" s="200">
        <v>0.9</v>
      </c>
      <c r="N241" s="201">
        <v>16</v>
      </c>
    </row>
    <row r="242" spans="1:14">
      <c r="A242" s="194">
        <v>41282.467916666668</v>
      </c>
      <c r="B242" s="195">
        <v>2012</v>
      </c>
      <c r="C242" s="194"/>
      <c r="D242" s="194"/>
      <c r="E242" s="198"/>
      <c r="G242" s="202"/>
      <c r="J242" s="195">
        <v>43</v>
      </c>
      <c r="K242" s="204" t="s">
        <v>1596</v>
      </c>
      <c r="L242" s="199">
        <v>2</v>
      </c>
      <c r="M242" s="200">
        <v>0.9</v>
      </c>
      <c r="N242" s="201">
        <v>16</v>
      </c>
    </row>
    <row r="243" spans="1:14">
      <c r="A243" s="194">
        <v>41278.421851851854</v>
      </c>
      <c r="B243" s="195">
        <v>2012</v>
      </c>
      <c r="C243" s="194"/>
      <c r="D243" s="194"/>
      <c r="E243" s="198"/>
      <c r="G243" s="202"/>
      <c r="J243" s="195">
        <v>43</v>
      </c>
      <c r="K243" s="204" t="s">
        <v>1596</v>
      </c>
      <c r="L243" s="199">
        <v>2</v>
      </c>
      <c r="M243" s="200">
        <v>1</v>
      </c>
      <c r="N243" s="201">
        <v>16</v>
      </c>
    </row>
    <row r="244" spans="1:14">
      <c r="A244" s="194">
        <v>41286.901331018518</v>
      </c>
      <c r="B244" s="195">
        <v>2012</v>
      </c>
      <c r="C244" s="194"/>
      <c r="D244" s="194"/>
      <c r="E244" s="198"/>
      <c r="G244" s="202"/>
      <c r="J244" s="195">
        <v>43</v>
      </c>
      <c r="K244" s="204" t="s">
        <v>1596</v>
      </c>
      <c r="L244" s="199">
        <v>2</v>
      </c>
      <c r="M244" s="200">
        <v>1.1000000000000001</v>
      </c>
      <c r="N244" s="201">
        <v>16</v>
      </c>
    </row>
    <row r="245" spans="1:14">
      <c r="A245" s="194">
        <v>41282.507256944446</v>
      </c>
      <c r="B245" s="195">
        <v>2012</v>
      </c>
      <c r="C245" s="194"/>
      <c r="D245" s="194"/>
      <c r="E245" s="198"/>
      <c r="G245" s="202"/>
      <c r="J245" s="195">
        <v>43</v>
      </c>
      <c r="K245" s="204" t="s">
        <v>1596</v>
      </c>
      <c r="L245" s="199">
        <v>2</v>
      </c>
      <c r="M245" s="200">
        <v>1.1000000000000001</v>
      </c>
      <c r="N245" s="201">
        <v>16</v>
      </c>
    </row>
    <row r="246" spans="1:14">
      <c r="A246" s="194">
        <v>41297.517789351848</v>
      </c>
      <c r="B246" s="195">
        <v>2012</v>
      </c>
      <c r="C246" s="194"/>
      <c r="D246" s="194"/>
      <c r="E246" s="198"/>
      <c r="G246" s="202"/>
      <c r="J246" s="195">
        <v>43</v>
      </c>
      <c r="K246" s="204" t="s">
        <v>1596</v>
      </c>
      <c r="L246" s="199">
        <v>2</v>
      </c>
      <c r="M246" s="200">
        <v>1.6</v>
      </c>
      <c r="N246" s="201">
        <v>16</v>
      </c>
    </row>
    <row r="247" spans="1:14">
      <c r="A247" s="194">
        <v>41305.75513888889</v>
      </c>
      <c r="B247" s="195">
        <v>2012</v>
      </c>
      <c r="C247" s="194"/>
      <c r="D247" s="194"/>
      <c r="E247" s="198"/>
      <c r="G247" s="202"/>
      <c r="J247" s="195">
        <v>43</v>
      </c>
      <c r="K247" s="204" t="s">
        <v>1596</v>
      </c>
      <c r="L247" s="199">
        <v>2</v>
      </c>
      <c r="M247" s="200">
        <v>1.7</v>
      </c>
      <c r="N247" s="201">
        <v>16</v>
      </c>
    </row>
    <row r="248" spans="1:14">
      <c r="A248" s="194">
        <v>41283.22792824074</v>
      </c>
      <c r="B248" s="195">
        <v>2012</v>
      </c>
      <c r="C248" s="194"/>
      <c r="D248" s="194"/>
      <c r="E248" s="198"/>
      <c r="G248" s="202"/>
      <c r="J248" s="195">
        <v>43</v>
      </c>
      <c r="K248" s="204" t="s">
        <v>1596</v>
      </c>
      <c r="L248" s="199">
        <v>2</v>
      </c>
      <c r="M248" s="200">
        <v>1.7</v>
      </c>
      <c r="N248" s="201">
        <v>16</v>
      </c>
    </row>
    <row r="249" spans="1:14">
      <c r="A249" s="194">
        <v>41276.24827546296</v>
      </c>
      <c r="B249" s="195">
        <v>2012</v>
      </c>
      <c r="C249" s="194"/>
      <c r="D249" s="194"/>
      <c r="E249" s="198"/>
      <c r="G249" s="202"/>
      <c r="J249" s="195">
        <v>43</v>
      </c>
      <c r="K249" s="204" t="s">
        <v>1596</v>
      </c>
      <c r="L249" s="199">
        <v>2</v>
      </c>
      <c r="M249" s="200">
        <v>2.4</v>
      </c>
      <c r="N249" s="201">
        <v>16</v>
      </c>
    </row>
    <row r="250" spans="1:14">
      <c r="A250" s="194">
        <v>41302.575624999998</v>
      </c>
      <c r="B250" s="195">
        <v>2012</v>
      </c>
      <c r="C250" s="194"/>
      <c r="D250" s="194"/>
      <c r="E250" s="198"/>
      <c r="G250" s="202"/>
      <c r="J250" s="195">
        <v>43</v>
      </c>
      <c r="K250" s="204" t="s">
        <v>1596</v>
      </c>
      <c r="L250" s="199">
        <v>2</v>
      </c>
      <c r="M250" s="200">
        <v>2.5</v>
      </c>
      <c r="N250" s="201">
        <v>16</v>
      </c>
    </row>
    <row r="251" spans="1:14">
      <c r="A251" s="194">
        <v>41304.582685185182</v>
      </c>
      <c r="B251" s="195">
        <v>2012</v>
      </c>
      <c r="C251" s="194"/>
      <c r="D251" s="194"/>
      <c r="E251" s="198"/>
      <c r="G251" s="202"/>
      <c r="J251" s="195">
        <v>43</v>
      </c>
      <c r="K251" s="204" t="s">
        <v>1596</v>
      </c>
      <c r="L251" s="199">
        <v>2</v>
      </c>
      <c r="M251" s="200">
        <v>2.6</v>
      </c>
      <c r="N251" s="201">
        <v>16</v>
      </c>
    </row>
    <row r="252" spans="1:14">
      <c r="A252" s="194">
        <v>41285.122511574074</v>
      </c>
      <c r="B252" s="195">
        <v>2012</v>
      </c>
      <c r="C252" s="194"/>
      <c r="D252" s="194"/>
      <c r="E252" s="198"/>
      <c r="G252" s="202"/>
      <c r="J252" s="195">
        <v>43</v>
      </c>
      <c r="K252" s="204" t="s">
        <v>1596</v>
      </c>
      <c r="L252" s="199">
        <v>2</v>
      </c>
      <c r="M252" s="200">
        <v>10.6</v>
      </c>
      <c r="N252" s="201">
        <v>16</v>
      </c>
    </row>
    <row r="253" spans="1:14">
      <c r="A253" s="194">
        <v>41277.987361111111</v>
      </c>
      <c r="B253" s="195">
        <v>2012</v>
      </c>
      <c r="C253" s="194"/>
      <c r="D253" s="194"/>
      <c r="E253" s="198"/>
      <c r="G253" s="202"/>
      <c r="J253" s="195">
        <v>43</v>
      </c>
      <c r="K253" s="204" t="s">
        <v>1596</v>
      </c>
      <c r="L253" s="199">
        <v>2</v>
      </c>
      <c r="M253" s="200">
        <v>18.7</v>
      </c>
      <c r="N253" s="201">
        <v>16</v>
      </c>
    </row>
    <row r="254" spans="1:14">
      <c r="A254" s="194">
        <v>41284.985543981478</v>
      </c>
      <c r="B254" s="195">
        <v>2012</v>
      </c>
      <c r="C254" s="194"/>
      <c r="D254" s="194"/>
      <c r="E254" s="198"/>
      <c r="G254" s="202"/>
      <c r="J254" s="195">
        <v>43</v>
      </c>
      <c r="K254" s="204" t="s">
        <v>1596</v>
      </c>
      <c r="L254" s="199">
        <v>2</v>
      </c>
      <c r="M254" s="200">
        <v>20</v>
      </c>
      <c r="N254" s="201">
        <v>16</v>
      </c>
    </row>
    <row r="255" spans="1:14">
      <c r="A255" s="194">
        <v>41303.246932870374</v>
      </c>
      <c r="B255" s="195">
        <v>2012</v>
      </c>
      <c r="C255" s="194"/>
      <c r="D255" s="194"/>
      <c r="E255" s="198"/>
      <c r="G255" s="202"/>
      <c r="J255" s="195">
        <v>43</v>
      </c>
      <c r="K255" s="204" t="s">
        <v>1596</v>
      </c>
      <c r="L255" s="199">
        <v>2</v>
      </c>
      <c r="M255" s="200">
        <v>29.4</v>
      </c>
      <c r="N255" s="201">
        <v>16</v>
      </c>
    </row>
    <row r="256" spans="1:14">
      <c r="A256" s="194">
        <v>41283.298946759256</v>
      </c>
      <c r="B256" s="195">
        <v>2012</v>
      </c>
      <c r="C256" s="194"/>
      <c r="D256" s="194"/>
      <c r="E256" s="198"/>
      <c r="G256" s="202"/>
      <c r="J256" s="195">
        <v>43</v>
      </c>
      <c r="K256" s="204" t="s">
        <v>1596</v>
      </c>
      <c r="L256" s="199">
        <v>2</v>
      </c>
      <c r="M256" s="200">
        <v>0.3</v>
      </c>
      <c r="N256" s="201">
        <v>17</v>
      </c>
    </row>
    <row r="257" spans="1:14">
      <c r="A257" s="194">
        <v>41285.649571759262</v>
      </c>
      <c r="B257" s="195">
        <v>2012</v>
      </c>
      <c r="C257" s="194"/>
      <c r="D257" s="194"/>
      <c r="E257" s="198"/>
      <c r="G257" s="202"/>
      <c r="J257" s="195">
        <v>43</v>
      </c>
      <c r="K257" s="204" t="s">
        <v>1596</v>
      </c>
      <c r="L257" s="199">
        <v>2</v>
      </c>
      <c r="M257" s="200">
        <v>0.4</v>
      </c>
      <c r="N257" s="201">
        <v>17</v>
      </c>
    </row>
    <row r="258" spans="1:14">
      <c r="A258" s="194">
        <v>41305.69494212963</v>
      </c>
      <c r="B258" s="195">
        <v>2012</v>
      </c>
      <c r="C258" s="194"/>
      <c r="D258" s="194"/>
      <c r="E258" s="198"/>
      <c r="G258" s="202"/>
      <c r="J258" s="195">
        <v>43</v>
      </c>
      <c r="K258" s="204" t="s">
        <v>1596</v>
      </c>
      <c r="L258" s="199">
        <v>2</v>
      </c>
      <c r="M258" s="200">
        <v>0.7</v>
      </c>
      <c r="N258" s="201">
        <v>17</v>
      </c>
    </row>
    <row r="259" spans="1:14">
      <c r="A259" s="194">
        <v>41302.357418981483</v>
      </c>
      <c r="B259" s="195">
        <v>2012</v>
      </c>
      <c r="C259" s="194"/>
      <c r="D259" s="194"/>
      <c r="E259" s="198"/>
      <c r="G259" s="202"/>
      <c r="J259" s="195">
        <v>43</v>
      </c>
      <c r="K259" s="204" t="s">
        <v>1596</v>
      </c>
      <c r="L259" s="199">
        <v>2</v>
      </c>
      <c r="M259" s="200">
        <v>0.8</v>
      </c>
      <c r="N259" s="201">
        <v>17</v>
      </c>
    </row>
    <row r="260" spans="1:14">
      <c r="A260" s="194">
        <v>41281.131620370368</v>
      </c>
      <c r="B260" s="195">
        <v>2012</v>
      </c>
      <c r="C260" s="194"/>
      <c r="D260" s="194"/>
      <c r="E260" s="198"/>
      <c r="G260" s="202"/>
      <c r="J260" s="195">
        <v>43</v>
      </c>
      <c r="K260" s="204" t="s">
        <v>1596</v>
      </c>
      <c r="L260" s="199">
        <v>2</v>
      </c>
      <c r="M260" s="200">
        <v>0.8</v>
      </c>
      <c r="N260" s="201">
        <v>17</v>
      </c>
    </row>
    <row r="261" spans="1:14">
      <c r="A261" s="194">
        <v>41290.668182870373</v>
      </c>
      <c r="B261" s="195">
        <v>2012</v>
      </c>
      <c r="C261" s="194"/>
      <c r="D261" s="194"/>
      <c r="E261" s="198"/>
      <c r="G261" s="202"/>
      <c r="J261" s="195">
        <v>43</v>
      </c>
      <c r="K261" s="204" t="s">
        <v>1596</v>
      </c>
      <c r="L261" s="199">
        <v>2</v>
      </c>
      <c r="M261" s="200">
        <v>0.9</v>
      </c>
      <c r="N261" s="201">
        <v>17</v>
      </c>
    </row>
    <row r="262" spans="1:14">
      <c r="A262" s="194">
        <v>41284.34170138889</v>
      </c>
      <c r="B262" s="195">
        <v>2012</v>
      </c>
      <c r="C262" s="194"/>
      <c r="D262" s="194"/>
      <c r="E262" s="198"/>
      <c r="G262" s="202"/>
      <c r="J262" s="195">
        <v>43</v>
      </c>
      <c r="K262" s="204" t="s">
        <v>1596</v>
      </c>
      <c r="L262" s="199">
        <v>2</v>
      </c>
      <c r="M262" s="200">
        <v>1</v>
      </c>
      <c r="N262" s="201">
        <v>17</v>
      </c>
    </row>
    <row r="263" spans="1:14">
      <c r="A263" s="194">
        <v>41278.716736111113</v>
      </c>
      <c r="B263" s="195">
        <v>2012</v>
      </c>
      <c r="C263" s="194"/>
      <c r="D263" s="194"/>
      <c r="E263" s="198"/>
      <c r="G263" s="202"/>
      <c r="J263" s="195">
        <v>43</v>
      </c>
      <c r="K263" s="204" t="s">
        <v>1596</v>
      </c>
      <c r="L263" s="199">
        <v>2</v>
      </c>
      <c r="M263" s="200">
        <v>0.3</v>
      </c>
      <c r="N263" s="201">
        <v>18</v>
      </c>
    </row>
    <row r="264" spans="1:14">
      <c r="A264" s="194">
        <v>41276.706238425926</v>
      </c>
      <c r="B264" s="195">
        <v>2012</v>
      </c>
      <c r="C264" s="194"/>
      <c r="D264" s="194"/>
      <c r="E264" s="198"/>
      <c r="G264" s="202"/>
      <c r="J264" s="195">
        <v>43</v>
      </c>
      <c r="K264" s="204" t="s">
        <v>1596</v>
      </c>
      <c r="L264" s="199">
        <v>2</v>
      </c>
      <c r="M264" s="200">
        <v>0.3</v>
      </c>
      <c r="N264" s="201">
        <v>18</v>
      </c>
    </row>
    <row r="265" spans="1:14">
      <c r="A265" s="194">
        <v>41284.359398148146</v>
      </c>
      <c r="B265" s="195">
        <v>2012</v>
      </c>
      <c r="C265" s="194"/>
      <c r="D265" s="194"/>
      <c r="E265" s="198"/>
      <c r="G265" s="202"/>
      <c r="J265" s="195">
        <v>43</v>
      </c>
      <c r="K265" s="204" t="s">
        <v>1596</v>
      </c>
      <c r="L265" s="199">
        <v>2</v>
      </c>
      <c r="M265" s="200">
        <v>0.4</v>
      </c>
      <c r="N265" s="201">
        <v>18</v>
      </c>
    </row>
    <row r="266" spans="1:14">
      <c r="A266" s="194">
        <v>41279.702175925922</v>
      </c>
      <c r="B266" s="195">
        <v>2012</v>
      </c>
      <c r="C266" s="194"/>
      <c r="D266" s="194"/>
      <c r="E266" s="198"/>
      <c r="G266" s="202"/>
      <c r="J266" s="195">
        <v>43</v>
      </c>
      <c r="K266" s="204" t="s">
        <v>1596</v>
      </c>
      <c r="L266" s="199">
        <v>2</v>
      </c>
      <c r="M266" s="200">
        <v>0.5</v>
      </c>
      <c r="N266" s="201">
        <v>18</v>
      </c>
    </row>
    <row r="267" spans="1:14">
      <c r="A267" s="194">
        <v>41276.404143518521</v>
      </c>
      <c r="B267" s="195">
        <v>2012</v>
      </c>
      <c r="C267" s="194"/>
      <c r="D267" s="194"/>
      <c r="E267" s="198"/>
      <c r="G267" s="202"/>
      <c r="J267" s="195">
        <v>43</v>
      </c>
      <c r="K267" s="204" t="s">
        <v>1596</v>
      </c>
      <c r="L267" s="199">
        <v>2</v>
      </c>
      <c r="M267" s="200">
        <v>0.5</v>
      </c>
      <c r="N267" s="201">
        <v>18</v>
      </c>
    </row>
    <row r="268" spans="1:14">
      <c r="A268" s="194">
        <v>41289.358402777776</v>
      </c>
      <c r="B268" s="195">
        <v>2012</v>
      </c>
      <c r="C268" s="194"/>
      <c r="D268" s="194"/>
      <c r="E268" s="198"/>
      <c r="G268" s="202"/>
      <c r="J268" s="195">
        <v>43</v>
      </c>
      <c r="K268" s="204" t="s">
        <v>1596</v>
      </c>
      <c r="L268" s="199">
        <v>2</v>
      </c>
      <c r="M268" s="200">
        <v>0.6</v>
      </c>
      <c r="N268" s="201">
        <v>18</v>
      </c>
    </row>
    <row r="269" spans="1:14">
      <c r="A269" s="194">
        <v>41285.543078703704</v>
      </c>
      <c r="B269" s="195">
        <v>2012</v>
      </c>
      <c r="C269" s="194"/>
      <c r="D269" s="194"/>
      <c r="E269" s="198"/>
      <c r="G269" s="202"/>
      <c r="J269" s="195">
        <v>43</v>
      </c>
      <c r="K269" s="204" t="s">
        <v>1596</v>
      </c>
      <c r="L269" s="199">
        <v>2</v>
      </c>
      <c r="M269" s="200">
        <v>0.8</v>
      </c>
      <c r="N269" s="201">
        <v>18</v>
      </c>
    </row>
    <row r="270" spans="1:14">
      <c r="A270" s="194">
        <v>41296.609201388892</v>
      </c>
      <c r="B270" s="195">
        <v>2012</v>
      </c>
      <c r="C270" s="194"/>
      <c r="D270" s="194"/>
      <c r="E270" s="198"/>
      <c r="G270" s="202"/>
      <c r="J270" s="195">
        <v>43</v>
      </c>
      <c r="K270" s="204" t="s">
        <v>1596</v>
      </c>
      <c r="L270" s="199">
        <v>2</v>
      </c>
      <c r="M270" s="200">
        <v>1.1000000000000001</v>
      </c>
      <c r="N270" s="201">
        <v>18</v>
      </c>
    </row>
    <row r="271" spans="1:14">
      <c r="A271" s="194">
        <v>41285.587071759262</v>
      </c>
      <c r="B271" s="195">
        <v>2012</v>
      </c>
      <c r="C271" s="194"/>
      <c r="D271" s="194"/>
      <c r="E271" s="198"/>
      <c r="G271" s="202"/>
      <c r="J271" s="195">
        <v>43</v>
      </c>
      <c r="K271" s="204" t="s">
        <v>1596</v>
      </c>
      <c r="L271" s="199">
        <v>2</v>
      </c>
      <c r="M271" s="200">
        <v>0.4</v>
      </c>
      <c r="N271" s="201">
        <v>19</v>
      </c>
    </row>
    <row r="272" spans="1:14">
      <c r="A272" s="194">
        <v>41286.333495370367</v>
      </c>
      <c r="B272" s="195">
        <v>2012</v>
      </c>
      <c r="C272" s="194"/>
      <c r="D272" s="194"/>
      <c r="E272" s="198"/>
      <c r="G272" s="202"/>
      <c r="J272" s="195">
        <v>43</v>
      </c>
      <c r="K272" s="204" t="s">
        <v>1596</v>
      </c>
      <c r="L272" s="199">
        <v>2</v>
      </c>
      <c r="M272" s="200">
        <v>0.8</v>
      </c>
      <c r="N272" s="201">
        <v>19</v>
      </c>
    </row>
    <row r="273" spans="1:14">
      <c r="A273" s="194">
        <v>41299.466886574075</v>
      </c>
      <c r="B273" s="195">
        <v>2012</v>
      </c>
      <c r="C273" s="194"/>
      <c r="D273" s="194"/>
      <c r="E273" s="198"/>
      <c r="G273" s="202"/>
      <c r="J273" s="195">
        <v>43</v>
      </c>
      <c r="K273" s="204" t="s">
        <v>1596</v>
      </c>
      <c r="L273" s="199">
        <v>2</v>
      </c>
      <c r="M273" s="200">
        <v>1</v>
      </c>
      <c r="N273" s="201">
        <v>19</v>
      </c>
    </row>
    <row r="274" spans="1:14">
      <c r="A274" s="194">
        <v>41304.054270833331</v>
      </c>
      <c r="B274" s="195">
        <v>2012</v>
      </c>
      <c r="C274" s="194"/>
      <c r="D274" s="194"/>
      <c r="E274" s="198"/>
      <c r="G274" s="202"/>
      <c r="J274" s="195">
        <v>43</v>
      </c>
      <c r="K274" s="204" t="s">
        <v>1596</v>
      </c>
      <c r="L274" s="199">
        <v>2</v>
      </c>
      <c r="M274" s="200">
        <v>22.2</v>
      </c>
      <c r="N274" s="201">
        <v>19</v>
      </c>
    </row>
    <row r="275" spans="1:14">
      <c r="A275" s="194">
        <v>41290.576736111114</v>
      </c>
      <c r="B275" s="195">
        <v>2012</v>
      </c>
      <c r="C275" s="194"/>
      <c r="D275" s="194"/>
      <c r="E275" s="198"/>
      <c r="G275" s="202"/>
      <c r="J275" s="195">
        <v>43</v>
      </c>
      <c r="K275" s="204" t="s">
        <v>1596</v>
      </c>
      <c r="L275" s="199">
        <v>2</v>
      </c>
      <c r="M275" s="200">
        <v>0.4</v>
      </c>
      <c r="N275" s="201">
        <v>20</v>
      </c>
    </row>
    <row r="276" spans="1:14">
      <c r="A276" s="194">
        <v>41286.566759259258</v>
      </c>
      <c r="B276" s="195">
        <v>2012</v>
      </c>
      <c r="C276" s="194"/>
      <c r="D276" s="194"/>
      <c r="E276" s="198"/>
      <c r="G276" s="202"/>
      <c r="J276" s="195">
        <v>43</v>
      </c>
      <c r="K276" s="204" t="s">
        <v>1596</v>
      </c>
      <c r="L276" s="199">
        <v>2</v>
      </c>
      <c r="M276" s="200">
        <v>0.8</v>
      </c>
      <c r="N276" s="201">
        <v>20</v>
      </c>
    </row>
    <row r="277" spans="1:14">
      <c r="A277" s="194">
        <v>41278.201249999998</v>
      </c>
      <c r="B277" s="195">
        <v>2012</v>
      </c>
      <c r="C277" s="194"/>
      <c r="D277" s="194"/>
      <c r="E277" s="198"/>
      <c r="G277" s="202"/>
      <c r="J277" s="195">
        <v>43</v>
      </c>
      <c r="K277" s="204" t="s">
        <v>1596</v>
      </c>
      <c r="L277" s="199">
        <v>2</v>
      </c>
      <c r="M277" s="200">
        <v>19.5</v>
      </c>
      <c r="N277" s="201">
        <v>20</v>
      </c>
    </row>
    <row r="278" spans="1:14">
      <c r="A278" s="194">
        <v>41305.719247685185</v>
      </c>
      <c r="B278" s="195">
        <v>2012</v>
      </c>
      <c r="C278" s="194"/>
      <c r="D278" s="194"/>
      <c r="E278" s="198"/>
      <c r="G278" s="202"/>
      <c r="J278" s="195">
        <v>43</v>
      </c>
      <c r="K278" s="204" t="s">
        <v>1596</v>
      </c>
      <c r="L278" s="199">
        <v>2</v>
      </c>
      <c r="M278" s="200">
        <v>0.3</v>
      </c>
      <c r="N278" s="201">
        <v>21</v>
      </c>
    </row>
    <row r="279" spans="1:14">
      <c r="A279" s="194">
        <v>41285.363530092596</v>
      </c>
      <c r="B279" s="195">
        <v>2012</v>
      </c>
      <c r="C279" s="194"/>
      <c r="D279" s="194"/>
      <c r="E279" s="198"/>
      <c r="G279" s="202"/>
      <c r="J279" s="195">
        <v>43</v>
      </c>
      <c r="K279" s="204" t="s">
        <v>1596</v>
      </c>
      <c r="L279" s="199">
        <v>2</v>
      </c>
      <c r="M279" s="200">
        <v>0.3</v>
      </c>
      <c r="N279" s="201">
        <v>21</v>
      </c>
    </row>
    <row r="280" spans="1:14">
      <c r="A280" s="194">
        <v>41290.598749999997</v>
      </c>
      <c r="B280" s="195">
        <v>2012</v>
      </c>
      <c r="C280" s="194"/>
      <c r="D280" s="194"/>
      <c r="E280" s="198"/>
      <c r="G280" s="202"/>
      <c r="J280" s="195">
        <v>43</v>
      </c>
      <c r="K280" s="204" t="s">
        <v>1596</v>
      </c>
      <c r="L280" s="199">
        <v>2</v>
      </c>
      <c r="M280" s="200">
        <v>2.2000000000000002</v>
      </c>
      <c r="N280" s="201">
        <v>21</v>
      </c>
    </row>
    <row r="281" spans="1:14">
      <c r="A281" s="194">
        <v>41275.81046296296</v>
      </c>
      <c r="B281" s="195">
        <v>2012</v>
      </c>
      <c r="C281" s="194"/>
      <c r="D281" s="194"/>
      <c r="E281" s="198"/>
      <c r="G281" s="202"/>
      <c r="J281" s="195">
        <v>43</v>
      </c>
      <c r="K281" s="204" t="s">
        <v>1596</v>
      </c>
      <c r="L281" s="199">
        <v>2</v>
      </c>
      <c r="M281" s="200">
        <v>0.6</v>
      </c>
      <c r="N281" s="201">
        <v>24</v>
      </c>
    </row>
    <row r="282" spans="1:14">
      <c r="A282" s="194">
        <v>41281.604398148149</v>
      </c>
      <c r="B282" s="195">
        <v>2012</v>
      </c>
      <c r="C282" s="194"/>
      <c r="D282" s="194"/>
      <c r="E282" s="198"/>
      <c r="G282" s="202"/>
      <c r="J282" s="195">
        <v>43</v>
      </c>
      <c r="K282" s="204" t="s">
        <v>1596</v>
      </c>
      <c r="L282" s="199">
        <v>2</v>
      </c>
      <c r="M282" s="200">
        <v>0.7</v>
      </c>
      <c r="N282" s="201">
        <v>24</v>
      </c>
    </row>
    <row r="283" spans="1:14">
      <c r="A283" s="194">
        <v>41296.517754629633</v>
      </c>
      <c r="B283" s="195">
        <v>2012</v>
      </c>
      <c r="C283" s="194"/>
      <c r="D283" s="194"/>
      <c r="E283" s="198"/>
      <c r="G283" s="202"/>
      <c r="J283" s="195">
        <v>43</v>
      </c>
      <c r="K283" s="204" t="s">
        <v>1596</v>
      </c>
      <c r="L283" s="199">
        <v>2</v>
      </c>
      <c r="M283" s="200">
        <v>0.4</v>
      </c>
      <c r="N283" s="201">
        <v>42</v>
      </c>
    </row>
    <row r="284" spans="1:14">
      <c r="A284" s="194">
        <v>41280.78087962963</v>
      </c>
      <c r="B284" s="195">
        <v>2012</v>
      </c>
      <c r="C284" s="194"/>
      <c r="D284" s="194"/>
      <c r="E284" s="198"/>
      <c r="G284" s="202"/>
      <c r="J284" s="195">
        <v>43</v>
      </c>
      <c r="K284" s="204" t="s">
        <v>1596</v>
      </c>
      <c r="L284" s="199">
        <v>2</v>
      </c>
      <c r="M284" s="200">
        <v>0.4</v>
      </c>
      <c r="N284" s="201">
        <v>44</v>
      </c>
    </row>
    <row r="285" spans="1:14">
      <c r="A285" s="194">
        <v>41304.381412037037</v>
      </c>
      <c r="B285" s="195">
        <v>2012</v>
      </c>
      <c r="C285" s="194"/>
      <c r="D285" s="194"/>
      <c r="E285" s="198"/>
      <c r="G285" s="202"/>
      <c r="J285" s="195">
        <v>4400</v>
      </c>
      <c r="K285" s="204" t="s">
        <v>37</v>
      </c>
      <c r="L285" s="199">
        <v>2</v>
      </c>
      <c r="M285" s="200">
        <v>0.5</v>
      </c>
      <c r="N285" s="201">
        <v>32</v>
      </c>
    </row>
    <row r="286" spans="1:14">
      <c r="A286" s="194">
        <v>41290.662395833337</v>
      </c>
      <c r="B286" s="195">
        <v>2012</v>
      </c>
      <c r="C286" s="194"/>
      <c r="D286" s="194"/>
      <c r="E286" s="198"/>
      <c r="G286" s="202"/>
      <c r="J286" s="195">
        <v>7400</v>
      </c>
      <c r="K286" s="204" t="s">
        <v>35</v>
      </c>
      <c r="L286" s="199">
        <v>1</v>
      </c>
      <c r="M286" s="200">
        <v>0.3</v>
      </c>
      <c r="N286" s="201">
        <v>29</v>
      </c>
    </row>
    <row r="287" spans="1:14">
      <c r="A287" s="194">
        <v>41297.120682870373</v>
      </c>
      <c r="B287" s="195">
        <v>2021</v>
      </c>
      <c r="C287" s="194"/>
      <c r="D287" s="194"/>
      <c r="E287" s="196" t="s">
        <v>345</v>
      </c>
      <c r="F287" s="195">
        <v>456</v>
      </c>
      <c r="G287" s="197" t="s">
        <v>141</v>
      </c>
      <c r="H287" s="197" t="s">
        <v>223</v>
      </c>
      <c r="I287" s="196" t="s">
        <v>226</v>
      </c>
      <c r="J287" s="195">
        <v>1</v>
      </c>
      <c r="K287" s="204" t="s">
        <v>224</v>
      </c>
      <c r="L287" s="199">
        <v>3</v>
      </c>
      <c r="M287" s="200">
        <v>31.3</v>
      </c>
      <c r="N287" s="201">
        <v>16</v>
      </c>
    </row>
    <row r="288" spans="1:14">
      <c r="A288" s="194">
        <v>41280.734016203707</v>
      </c>
      <c r="B288" s="195">
        <v>2021</v>
      </c>
      <c r="C288" s="194"/>
      <c r="D288" s="194"/>
      <c r="E288" s="196" t="s">
        <v>248</v>
      </c>
      <c r="F288" s="195">
        <v>456</v>
      </c>
      <c r="G288" s="197" t="s">
        <v>141</v>
      </c>
      <c r="H288" s="197" t="s">
        <v>223</v>
      </c>
      <c r="I288" s="196" t="s">
        <v>226</v>
      </c>
      <c r="J288" s="195">
        <v>1</v>
      </c>
      <c r="K288" s="204" t="s">
        <v>224</v>
      </c>
      <c r="L288" s="199">
        <v>2</v>
      </c>
      <c r="M288" s="200">
        <v>35</v>
      </c>
      <c r="N288" s="201">
        <v>18</v>
      </c>
    </row>
    <row r="289" spans="1:14">
      <c r="A289" s="194">
        <v>41287.236087962963</v>
      </c>
      <c r="B289" s="195">
        <v>2021</v>
      </c>
      <c r="C289" s="194"/>
      <c r="D289" s="194"/>
      <c r="E289" s="196" t="s">
        <v>290</v>
      </c>
      <c r="F289" s="195">
        <v>456</v>
      </c>
      <c r="G289" s="197" t="s">
        <v>141</v>
      </c>
      <c r="H289" s="197" t="s">
        <v>223</v>
      </c>
      <c r="I289" s="196" t="s">
        <v>226</v>
      </c>
      <c r="J289" s="195">
        <v>1</v>
      </c>
      <c r="K289" s="204" t="s">
        <v>224</v>
      </c>
      <c r="L289" s="199">
        <v>2</v>
      </c>
      <c r="M289" s="200">
        <v>35.200000000000003</v>
      </c>
      <c r="N289" s="201">
        <v>19</v>
      </c>
    </row>
    <row r="290" spans="1:14">
      <c r="A290" s="194">
        <v>41285.995405092595</v>
      </c>
      <c r="B290" s="195">
        <v>2021</v>
      </c>
      <c r="C290" s="194"/>
      <c r="D290" s="194"/>
      <c r="E290" s="196" t="s">
        <v>302</v>
      </c>
      <c r="F290" s="195">
        <v>456</v>
      </c>
      <c r="G290" s="197" t="s">
        <v>141</v>
      </c>
      <c r="H290" s="197" t="s">
        <v>223</v>
      </c>
      <c r="I290" s="196" t="s">
        <v>226</v>
      </c>
      <c r="J290" s="195">
        <v>1</v>
      </c>
      <c r="K290" s="204" t="s">
        <v>224</v>
      </c>
      <c r="L290" s="199">
        <v>2</v>
      </c>
      <c r="M290" s="200">
        <v>0.4</v>
      </c>
      <c r="N290" s="201">
        <v>27</v>
      </c>
    </row>
    <row r="291" spans="1:14">
      <c r="A291" s="194">
        <v>41279.578055555554</v>
      </c>
      <c r="B291" s="195">
        <v>2021</v>
      </c>
      <c r="C291" s="194"/>
      <c r="D291" s="194"/>
      <c r="E291" s="196" t="s">
        <v>269</v>
      </c>
      <c r="F291" s="195">
        <v>456</v>
      </c>
      <c r="G291" s="197" t="s">
        <v>141</v>
      </c>
      <c r="H291" s="197" t="s">
        <v>223</v>
      </c>
      <c r="I291" s="196" t="s">
        <v>226</v>
      </c>
      <c r="J291" s="195">
        <v>1</v>
      </c>
      <c r="K291" s="204" t="s">
        <v>224</v>
      </c>
      <c r="L291" s="199">
        <v>2</v>
      </c>
      <c r="M291" s="200">
        <v>0.9</v>
      </c>
      <c r="N291" s="201">
        <v>28</v>
      </c>
    </row>
    <row r="292" spans="1:14">
      <c r="A292" s="194">
        <v>41287.612766203703</v>
      </c>
      <c r="B292" s="195">
        <v>2021</v>
      </c>
      <c r="C292" s="194"/>
      <c r="D292" s="194"/>
      <c r="E292" s="196" t="s">
        <v>291</v>
      </c>
      <c r="F292" s="195">
        <v>456</v>
      </c>
      <c r="G292" s="197" t="s">
        <v>141</v>
      </c>
      <c r="H292" s="197" t="s">
        <v>223</v>
      </c>
      <c r="I292" s="196" t="s">
        <v>226</v>
      </c>
      <c r="J292" s="195">
        <v>1</v>
      </c>
      <c r="K292" s="204" t="s">
        <v>224</v>
      </c>
      <c r="L292" s="199">
        <v>2</v>
      </c>
      <c r="M292" s="200">
        <v>0.6</v>
      </c>
      <c r="N292" s="201">
        <v>31</v>
      </c>
    </row>
    <row r="293" spans="1:14">
      <c r="A293" s="194">
        <v>41301.778634259259</v>
      </c>
      <c r="B293" s="195">
        <v>2021</v>
      </c>
      <c r="C293" s="194"/>
      <c r="D293" s="194"/>
      <c r="E293" s="196" t="s">
        <v>357</v>
      </c>
      <c r="F293" s="195">
        <v>456</v>
      </c>
      <c r="G293" s="197" t="s">
        <v>141</v>
      </c>
      <c r="H293" s="197" t="s">
        <v>223</v>
      </c>
      <c r="I293" s="196" t="s">
        <v>226</v>
      </c>
      <c r="J293" s="195">
        <v>1</v>
      </c>
      <c r="K293" s="204" t="s">
        <v>224</v>
      </c>
      <c r="L293" s="199">
        <v>2</v>
      </c>
      <c r="M293" s="200">
        <v>0.8</v>
      </c>
      <c r="N293" s="201">
        <v>32</v>
      </c>
    </row>
    <row r="294" spans="1:14">
      <c r="A294" s="194">
        <v>41281.307789351849</v>
      </c>
      <c r="B294" s="195">
        <v>2021</v>
      </c>
      <c r="C294" s="194"/>
      <c r="D294" s="194"/>
      <c r="E294" s="196" t="s">
        <v>415</v>
      </c>
      <c r="F294" s="195">
        <v>466</v>
      </c>
      <c r="G294" s="197" t="s">
        <v>142</v>
      </c>
      <c r="H294" s="197" t="s">
        <v>223</v>
      </c>
      <c r="I294" s="196" t="s">
        <v>402</v>
      </c>
      <c r="J294" s="195">
        <v>1</v>
      </c>
      <c r="K294" s="204" t="s">
        <v>224</v>
      </c>
      <c r="L294" s="199">
        <v>3</v>
      </c>
      <c r="M294" s="200">
        <v>0.4</v>
      </c>
      <c r="N294" s="201">
        <v>30</v>
      </c>
    </row>
    <row r="295" spans="1:14">
      <c r="A295" s="194">
        <v>41286.548182870371</v>
      </c>
      <c r="B295" s="195">
        <v>2021</v>
      </c>
      <c r="C295" s="194"/>
      <c r="D295" s="194"/>
      <c r="E295" s="196" t="s">
        <v>889</v>
      </c>
      <c r="F295" s="195">
        <v>800</v>
      </c>
      <c r="G295" s="197" t="s">
        <v>470</v>
      </c>
      <c r="H295" s="197" t="s">
        <v>471</v>
      </c>
      <c r="J295" s="195">
        <v>1</v>
      </c>
      <c r="K295" s="204" t="s">
        <v>224</v>
      </c>
      <c r="L295" s="199">
        <v>2</v>
      </c>
      <c r="M295" s="200">
        <v>0.7</v>
      </c>
      <c r="N295" s="201">
        <v>18</v>
      </c>
    </row>
    <row r="296" spans="1:14">
      <c r="A296" s="194">
        <v>41305.324999999997</v>
      </c>
      <c r="B296" s="195">
        <v>2021</v>
      </c>
      <c r="C296" s="194"/>
      <c r="D296" s="194"/>
      <c r="E296" s="196" t="s">
        <v>1559</v>
      </c>
      <c r="F296" s="195">
        <v>800</v>
      </c>
      <c r="G296" s="197" t="s">
        <v>470</v>
      </c>
      <c r="H296" s="197" t="s">
        <v>471</v>
      </c>
      <c r="J296" s="195">
        <v>1</v>
      </c>
      <c r="K296" s="204" t="s">
        <v>224</v>
      </c>
      <c r="L296" s="199">
        <v>3</v>
      </c>
      <c r="M296" s="200">
        <v>0.3</v>
      </c>
      <c r="N296" s="201">
        <v>19</v>
      </c>
    </row>
    <row r="297" spans="1:14">
      <c r="A297" s="194">
        <v>41284.179120370369</v>
      </c>
      <c r="B297" s="195">
        <v>2021</v>
      </c>
      <c r="C297" s="194"/>
      <c r="D297" s="194"/>
      <c r="E297" s="196" t="s">
        <v>777</v>
      </c>
      <c r="F297" s="195">
        <v>800</v>
      </c>
      <c r="G297" s="197" t="s">
        <v>470</v>
      </c>
      <c r="H297" s="197" t="s">
        <v>471</v>
      </c>
      <c r="J297" s="195">
        <v>1</v>
      </c>
      <c r="K297" s="204" t="s">
        <v>224</v>
      </c>
      <c r="L297" s="199">
        <v>1</v>
      </c>
      <c r="M297" s="200">
        <v>34.200000000000003</v>
      </c>
      <c r="N297" s="201">
        <v>19</v>
      </c>
    </row>
    <row r="298" spans="1:14">
      <c r="A298" s="194">
        <v>41275.005555555559</v>
      </c>
      <c r="B298" s="195">
        <v>2021</v>
      </c>
      <c r="C298" s="194"/>
      <c r="D298" s="194"/>
      <c r="E298" s="196" t="s">
        <v>476</v>
      </c>
      <c r="F298" s="195">
        <v>800</v>
      </c>
      <c r="G298" s="197" t="s">
        <v>470</v>
      </c>
      <c r="H298" s="197" t="s">
        <v>471</v>
      </c>
      <c r="J298" s="195">
        <v>1</v>
      </c>
      <c r="K298" s="204" t="s">
        <v>224</v>
      </c>
      <c r="L298" s="199">
        <v>3</v>
      </c>
      <c r="M298" s="200">
        <v>34.5</v>
      </c>
      <c r="N298" s="201">
        <v>20</v>
      </c>
    </row>
    <row r="299" spans="1:14">
      <c r="A299" s="194">
        <v>41287.795787037037</v>
      </c>
      <c r="B299" s="195">
        <v>2021</v>
      </c>
      <c r="C299" s="194"/>
      <c r="D299" s="194"/>
      <c r="E299" s="196" t="s">
        <v>828</v>
      </c>
      <c r="F299" s="195">
        <v>800</v>
      </c>
      <c r="G299" s="197" t="s">
        <v>470</v>
      </c>
      <c r="H299" s="197" t="s">
        <v>471</v>
      </c>
      <c r="J299" s="195">
        <v>1</v>
      </c>
      <c r="K299" s="204" t="s">
        <v>224</v>
      </c>
      <c r="L299" s="199">
        <v>3</v>
      </c>
      <c r="M299" s="200">
        <v>33.200000000000003</v>
      </c>
      <c r="N299" s="201">
        <v>21</v>
      </c>
    </row>
    <row r="300" spans="1:14">
      <c r="A300" s="194">
        <v>41281.31890046296</v>
      </c>
      <c r="B300" s="195">
        <v>2021</v>
      </c>
      <c r="C300" s="194"/>
      <c r="D300" s="194"/>
      <c r="E300" s="196" t="s">
        <v>556</v>
      </c>
      <c r="F300" s="195">
        <v>800</v>
      </c>
      <c r="G300" s="197" t="s">
        <v>470</v>
      </c>
      <c r="H300" s="197" t="s">
        <v>471</v>
      </c>
      <c r="J300" s="195">
        <v>1</v>
      </c>
      <c r="K300" s="204" t="s">
        <v>224</v>
      </c>
      <c r="L300" s="199">
        <v>2</v>
      </c>
      <c r="M300" s="200">
        <v>0.4</v>
      </c>
      <c r="N300" s="201">
        <v>22</v>
      </c>
    </row>
    <row r="301" spans="1:14">
      <c r="A301" s="194">
        <v>41305.584849537037</v>
      </c>
      <c r="B301" s="195">
        <v>2021</v>
      </c>
      <c r="C301" s="194"/>
      <c r="D301" s="194"/>
      <c r="E301" s="196" t="s">
        <v>1561</v>
      </c>
      <c r="F301" s="195">
        <v>800</v>
      </c>
      <c r="G301" s="197" t="s">
        <v>470</v>
      </c>
      <c r="H301" s="197" t="s">
        <v>471</v>
      </c>
      <c r="J301" s="195">
        <v>1</v>
      </c>
      <c r="K301" s="204" t="s">
        <v>224</v>
      </c>
      <c r="L301" s="199">
        <v>2</v>
      </c>
      <c r="M301" s="200">
        <v>0.6</v>
      </c>
      <c r="N301" s="201">
        <v>22</v>
      </c>
    </row>
    <row r="302" spans="1:14">
      <c r="A302" s="194">
        <v>41286.50582175926</v>
      </c>
      <c r="B302" s="195">
        <v>2021</v>
      </c>
      <c r="C302" s="194"/>
      <c r="D302" s="194"/>
      <c r="E302" s="196" t="s">
        <v>888</v>
      </c>
      <c r="F302" s="195">
        <v>800</v>
      </c>
      <c r="G302" s="197" t="s">
        <v>470</v>
      </c>
      <c r="H302" s="197" t="s">
        <v>471</v>
      </c>
      <c r="J302" s="195">
        <v>1</v>
      </c>
      <c r="K302" s="204" t="s">
        <v>224</v>
      </c>
      <c r="L302" s="199">
        <v>1</v>
      </c>
      <c r="M302" s="200">
        <v>1</v>
      </c>
      <c r="N302" s="201">
        <v>22</v>
      </c>
    </row>
    <row r="303" spans="1:14">
      <c r="A303" s="194">
        <v>41285.698750000003</v>
      </c>
      <c r="B303" s="195">
        <v>2021</v>
      </c>
      <c r="C303" s="194"/>
      <c r="D303" s="194"/>
      <c r="E303" s="196" t="s">
        <v>881</v>
      </c>
      <c r="F303" s="195">
        <v>800</v>
      </c>
      <c r="G303" s="197" t="s">
        <v>470</v>
      </c>
      <c r="H303" s="197" t="s">
        <v>471</v>
      </c>
      <c r="J303" s="195">
        <v>1</v>
      </c>
      <c r="K303" s="204" t="s">
        <v>224</v>
      </c>
      <c r="L303" s="199">
        <v>3</v>
      </c>
      <c r="M303" s="200">
        <v>0.3</v>
      </c>
      <c r="N303" s="201">
        <v>23</v>
      </c>
    </row>
    <row r="304" spans="1:14">
      <c r="A304" s="194">
        <v>41285.889837962961</v>
      </c>
      <c r="B304" s="195">
        <v>2021</v>
      </c>
      <c r="C304" s="194"/>
      <c r="D304" s="194"/>
      <c r="E304" s="196" t="s">
        <v>882</v>
      </c>
      <c r="F304" s="195">
        <v>800</v>
      </c>
      <c r="G304" s="197" t="s">
        <v>470</v>
      </c>
      <c r="H304" s="197" t="s">
        <v>471</v>
      </c>
      <c r="J304" s="195">
        <v>1</v>
      </c>
      <c r="K304" s="204" t="s">
        <v>224</v>
      </c>
      <c r="L304" s="199">
        <v>3</v>
      </c>
      <c r="M304" s="200">
        <v>0.3</v>
      </c>
      <c r="N304" s="201">
        <v>23</v>
      </c>
    </row>
    <row r="305" spans="1:14">
      <c r="A305" s="194">
        <v>41287.758298611108</v>
      </c>
      <c r="B305" s="195">
        <v>2021</v>
      </c>
      <c r="C305" s="194"/>
      <c r="D305" s="194"/>
      <c r="E305" s="196" t="s">
        <v>826</v>
      </c>
      <c r="F305" s="195">
        <v>800</v>
      </c>
      <c r="G305" s="197" t="s">
        <v>470</v>
      </c>
      <c r="H305" s="197" t="s">
        <v>471</v>
      </c>
      <c r="J305" s="195">
        <v>1</v>
      </c>
      <c r="K305" s="204" t="s">
        <v>224</v>
      </c>
      <c r="L305" s="199">
        <v>3</v>
      </c>
      <c r="M305" s="200">
        <v>34.1</v>
      </c>
      <c r="N305" s="201">
        <v>23</v>
      </c>
    </row>
    <row r="306" spans="1:14">
      <c r="A306" s="194">
        <v>41305.513310185182</v>
      </c>
      <c r="B306" s="195">
        <v>2021</v>
      </c>
      <c r="C306" s="194"/>
      <c r="D306" s="194"/>
      <c r="E306" s="196" t="s">
        <v>1560</v>
      </c>
      <c r="F306" s="195">
        <v>800</v>
      </c>
      <c r="G306" s="197" t="s">
        <v>470</v>
      </c>
      <c r="H306" s="197" t="s">
        <v>471</v>
      </c>
      <c r="J306" s="195">
        <v>1</v>
      </c>
      <c r="K306" s="204" t="s">
        <v>224</v>
      </c>
      <c r="L306" s="199">
        <v>2</v>
      </c>
      <c r="M306" s="200">
        <v>0.3</v>
      </c>
      <c r="N306" s="201">
        <v>24</v>
      </c>
    </row>
    <row r="307" spans="1:14">
      <c r="A307" s="194">
        <v>41291.015902777777</v>
      </c>
      <c r="B307" s="195">
        <v>2021</v>
      </c>
      <c r="C307" s="194"/>
      <c r="D307" s="194"/>
      <c r="E307" s="196" t="s">
        <v>953</v>
      </c>
      <c r="F307" s="195">
        <v>800</v>
      </c>
      <c r="G307" s="197" t="s">
        <v>470</v>
      </c>
      <c r="H307" s="197" t="s">
        <v>471</v>
      </c>
      <c r="J307" s="195">
        <v>1</v>
      </c>
      <c r="K307" s="204" t="s">
        <v>224</v>
      </c>
      <c r="L307" s="199">
        <v>2</v>
      </c>
      <c r="M307" s="200">
        <v>32.9</v>
      </c>
      <c r="N307" s="201">
        <v>24</v>
      </c>
    </row>
    <row r="308" spans="1:14">
      <c r="A308" s="194">
        <v>41285.938460648147</v>
      </c>
      <c r="B308" s="195">
        <v>2021</v>
      </c>
      <c r="C308" s="194"/>
      <c r="D308" s="194"/>
      <c r="E308" s="196" t="s">
        <v>883</v>
      </c>
      <c r="F308" s="195">
        <v>800</v>
      </c>
      <c r="G308" s="197" t="s">
        <v>470</v>
      </c>
      <c r="H308" s="197" t="s">
        <v>471</v>
      </c>
      <c r="J308" s="195">
        <v>1</v>
      </c>
      <c r="K308" s="204" t="s">
        <v>224</v>
      </c>
      <c r="L308" s="199">
        <v>3</v>
      </c>
      <c r="M308" s="200">
        <v>0.9</v>
      </c>
      <c r="N308" s="201">
        <v>26</v>
      </c>
    </row>
    <row r="309" spans="1:14">
      <c r="A309" s="194">
        <v>41291.277905092589</v>
      </c>
      <c r="B309" s="195">
        <v>2021</v>
      </c>
      <c r="C309" s="194"/>
      <c r="D309" s="194"/>
      <c r="E309" s="196" t="s">
        <v>955</v>
      </c>
      <c r="F309" s="195">
        <v>800</v>
      </c>
      <c r="G309" s="197" t="s">
        <v>470</v>
      </c>
      <c r="H309" s="197" t="s">
        <v>471</v>
      </c>
      <c r="J309" s="195">
        <v>1</v>
      </c>
      <c r="K309" s="204" t="s">
        <v>224</v>
      </c>
      <c r="L309" s="199">
        <v>3</v>
      </c>
      <c r="M309" s="200">
        <v>0.4</v>
      </c>
      <c r="N309" s="201">
        <v>27</v>
      </c>
    </row>
    <row r="310" spans="1:14">
      <c r="A310" s="194">
        <v>41295.094340277778</v>
      </c>
      <c r="B310" s="195">
        <v>2021</v>
      </c>
      <c r="C310" s="194"/>
      <c r="D310" s="194"/>
      <c r="E310" s="196" t="s">
        <v>1103</v>
      </c>
      <c r="F310" s="195">
        <v>800</v>
      </c>
      <c r="G310" s="197" t="s">
        <v>470</v>
      </c>
      <c r="H310" s="197" t="s">
        <v>471</v>
      </c>
      <c r="J310" s="195">
        <v>1</v>
      </c>
      <c r="K310" s="204" t="s">
        <v>224</v>
      </c>
      <c r="L310" s="199">
        <v>1</v>
      </c>
      <c r="M310" s="200">
        <v>33.299999999999997</v>
      </c>
      <c r="N310" s="201">
        <v>27</v>
      </c>
    </row>
    <row r="311" spans="1:14">
      <c r="A311" s="194">
        <v>41290.659849537034</v>
      </c>
      <c r="B311" s="195">
        <v>2021</v>
      </c>
      <c r="C311" s="194"/>
      <c r="D311" s="194"/>
      <c r="E311" s="196" t="s">
        <v>1015</v>
      </c>
      <c r="F311" s="195">
        <v>800</v>
      </c>
      <c r="G311" s="197" t="s">
        <v>470</v>
      </c>
      <c r="H311" s="197" t="s">
        <v>471</v>
      </c>
      <c r="J311" s="195">
        <v>1</v>
      </c>
      <c r="K311" s="204" t="s">
        <v>224</v>
      </c>
      <c r="L311" s="199">
        <v>2</v>
      </c>
      <c r="M311" s="200">
        <v>0.3</v>
      </c>
      <c r="N311" s="201">
        <v>28</v>
      </c>
    </row>
    <row r="312" spans="1:14">
      <c r="A312" s="194">
        <v>41284.796099537038</v>
      </c>
      <c r="B312" s="195">
        <v>2021</v>
      </c>
      <c r="C312" s="194"/>
      <c r="D312" s="194"/>
      <c r="E312" s="196" t="s">
        <v>821</v>
      </c>
      <c r="F312" s="195">
        <v>800</v>
      </c>
      <c r="G312" s="197" t="s">
        <v>470</v>
      </c>
      <c r="H312" s="197" t="s">
        <v>471</v>
      </c>
      <c r="J312" s="195">
        <v>1</v>
      </c>
      <c r="K312" s="204" t="s">
        <v>224</v>
      </c>
      <c r="L312" s="199">
        <v>2</v>
      </c>
      <c r="M312" s="200">
        <v>0.6</v>
      </c>
      <c r="N312" s="201">
        <v>28</v>
      </c>
    </row>
    <row r="313" spans="1:14">
      <c r="A313" s="194">
        <v>41305.813333333332</v>
      </c>
      <c r="B313" s="195">
        <v>2021</v>
      </c>
      <c r="C313" s="194"/>
      <c r="D313" s="194"/>
      <c r="E313" s="196" t="s">
        <v>1562</v>
      </c>
      <c r="F313" s="195">
        <v>800</v>
      </c>
      <c r="G313" s="197" t="s">
        <v>470</v>
      </c>
      <c r="H313" s="197" t="s">
        <v>471</v>
      </c>
      <c r="J313" s="195">
        <v>1</v>
      </c>
      <c r="K313" s="204" t="s">
        <v>224</v>
      </c>
      <c r="L313" s="199">
        <v>2</v>
      </c>
      <c r="M313" s="200">
        <v>0.8</v>
      </c>
      <c r="N313" s="201">
        <v>28</v>
      </c>
    </row>
    <row r="314" spans="1:14">
      <c r="A314" s="194">
        <v>41292.197858796295</v>
      </c>
      <c r="B314" s="195">
        <v>2021</v>
      </c>
      <c r="C314" s="194"/>
      <c r="D314" s="194"/>
      <c r="E314" s="196" t="s">
        <v>1135</v>
      </c>
      <c r="F314" s="195">
        <v>800</v>
      </c>
      <c r="G314" s="197" t="s">
        <v>470</v>
      </c>
      <c r="H314" s="197" t="s">
        <v>471</v>
      </c>
      <c r="J314" s="195">
        <v>1</v>
      </c>
      <c r="K314" s="204" t="s">
        <v>224</v>
      </c>
      <c r="L314" s="199">
        <v>3</v>
      </c>
      <c r="M314" s="200">
        <v>35.1</v>
      </c>
      <c r="N314" s="201">
        <v>30</v>
      </c>
    </row>
    <row r="315" spans="1:14">
      <c r="A315" s="194">
        <v>41292.211736111109</v>
      </c>
      <c r="B315" s="195">
        <v>2021</v>
      </c>
      <c r="C315" s="194"/>
      <c r="D315" s="194"/>
      <c r="E315" s="196" t="s">
        <v>1136</v>
      </c>
      <c r="F315" s="195">
        <v>800</v>
      </c>
      <c r="G315" s="197" t="s">
        <v>470</v>
      </c>
      <c r="H315" s="197" t="s">
        <v>471</v>
      </c>
      <c r="J315" s="195">
        <v>1</v>
      </c>
      <c r="K315" s="204" t="s">
        <v>224</v>
      </c>
      <c r="L315" s="199">
        <v>3</v>
      </c>
      <c r="M315" s="200">
        <v>34.4</v>
      </c>
      <c r="N315" s="201">
        <v>33</v>
      </c>
    </row>
    <row r="316" spans="1:14">
      <c r="A316" s="194">
        <v>41292.913124999999</v>
      </c>
      <c r="B316" s="195">
        <v>2021</v>
      </c>
      <c r="C316" s="194"/>
      <c r="D316" s="194"/>
      <c r="E316" s="196" t="s">
        <v>1138</v>
      </c>
      <c r="F316" s="195">
        <v>800</v>
      </c>
      <c r="G316" s="197" t="s">
        <v>470</v>
      </c>
      <c r="H316" s="197" t="s">
        <v>471</v>
      </c>
      <c r="J316" s="195">
        <v>1</v>
      </c>
      <c r="K316" s="204" t="s">
        <v>224</v>
      </c>
      <c r="L316" s="199">
        <v>3</v>
      </c>
      <c r="M316" s="200">
        <v>34.799999999999997</v>
      </c>
      <c r="N316" s="201">
        <v>33</v>
      </c>
    </row>
    <row r="317" spans="1:14">
      <c r="A317" s="194">
        <v>41292.58148148148</v>
      </c>
      <c r="B317" s="195">
        <v>2021</v>
      </c>
      <c r="C317" s="194"/>
      <c r="D317" s="194"/>
      <c r="E317" s="196" t="s">
        <v>1137</v>
      </c>
      <c r="F317" s="195">
        <v>800</v>
      </c>
      <c r="G317" s="197" t="s">
        <v>470</v>
      </c>
      <c r="H317" s="197" t="s">
        <v>471</v>
      </c>
      <c r="J317" s="195">
        <v>1</v>
      </c>
      <c r="K317" s="204" t="s">
        <v>224</v>
      </c>
      <c r="L317" s="199">
        <v>3</v>
      </c>
      <c r="M317" s="200">
        <v>0.3</v>
      </c>
      <c r="N317" s="201">
        <v>35</v>
      </c>
    </row>
    <row r="318" spans="1:14">
      <c r="A318" s="194">
        <v>41282.295289351852</v>
      </c>
      <c r="B318" s="195">
        <v>2021</v>
      </c>
      <c r="C318" s="194"/>
      <c r="D318" s="194"/>
      <c r="E318" s="196" t="s">
        <v>725</v>
      </c>
      <c r="F318" s="195">
        <v>800</v>
      </c>
      <c r="G318" s="197" t="s">
        <v>470</v>
      </c>
      <c r="H318" s="197" t="s">
        <v>471</v>
      </c>
      <c r="J318" s="195">
        <v>1</v>
      </c>
      <c r="K318" s="204" t="s">
        <v>224</v>
      </c>
      <c r="L318" s="199">
        <v>3</v>
      </c>
      <c r="M318" s="200">
        <v>0.5</v>
      </c>
      <c r="N318" s="201">
        <v>36</v>
      </c>
    </row>
    <row r="319" spans="1:14">
      <c r="A319" s="194">
        <v>41283.379305555558</v>
      </c>
      <c r="B319" s="195">
        <v>2021</v>
      </c>
      <c r="C319" s="194"/>
      <c r="D319" s="194"/>
      <c r="E319" s="196" t="s">
        <v>1970</v>
      </c>
      <c r="G319" s="202"/>
      <c r="J319" s="195">
        <v>2</v>
      </c>
      <c r="K319" s="204" t="s">
        <v>32</v>
      </c>
      <c r="L319" s="199">
        <v>1</v>
      </c>
      <c r="M319" s="200">
        <v>0.5</v>
      </c>
      <c r="N319" s="201">
        <v>17</v>
      </c>
    </row>
    <row r="320" spans="1:14">
      <c r="A320" s="194">
        <v>41297.910983796297</v>
      </c>
      <c r="B320" s="195">
        <v>2021</v>
      </c>
      <c r="C320" s="194"/>
      <c r="D320" s="194"/>
      <c r="E320" s="198"/>
      <c r="G320" s="202"/>
      <c r="J320" s="195">
        <v>2</v>
      </c>
      <c r="K320" s="204" t="s">
        <v>32</v>
      </c>
      <c r="L320" s="199">
        <v>3</v>
      </c>
      <c r="M320" s="200">
        <v>34.1</v>
      </c>
      <c r="N320" s="201">
        <v>18</v>
      </c>
    </row>
    <row r="321" spans="1:14">
      <c r="A321" s="194">
        <v>41286.036377314813</v>
      </c>
      <c r="B321" s="195">
        <v>2021</v>
      </c>
      <c r="C321" s="194"/>
      <c r="D321" s="194"/>
      <c r="E321" s="198"/>
      <c r="G321" s="202"/>
      <c r="J321" s="195">
        <v>2</v>
      </c>
      <c r="K321" s="204" t="s">
        <v>32</v>
      </c>
      <c r="L321" s="199">
        <v>1</v>
      </c>
      <c r="M321" s="200">
        <v>0.4</v>
      </c>
      <c r="N321" s="201">
        <v>20</v>
      </c>
    </row>
    <row r="322" spans="1:14">
      <c r="A322" s="194">
        <v>41289.985335648147</v>
      </c>
      <c r="B322" s="195">
        <v>2021</v>
      </c>
      <c r="C322" s="194"/>
      <c r="D322" s="194"/>
      <c r="E322" s="198"/>
      <c r="G322" s="202"/>
      <c r="J322" s="195">
        <v>2</v>
      </c>
      <c r="K322" s="204" t="s">
        <v>32</v>
      </c>
      <c r="L322" s="199">
        <v>2</v>
      </c>
      <c r="M322" s="200">
        <v>31.7</v>
      </c>
      <c r="N322" s="201">
        <v>23</v>
      </c>
    </row>
    <row r="323" spans="1:14">
      <c r="A323" s="194">
        <v>41286.097488425927</v>
      </c>
      <c r="B323" s="195">
        <v>2021</v>
      </c>
      <c r="C323" s="194"/>
      <c r="D323" s="194"/>
      <c r="E323" s="198"/>
      <c r="G323" s="202"/>
      <c r="J323" s="195">
        <v>2</v>
      </c>
      <c r="K323" s="204" t="s">
        <v>32</v>
      </c>
      <c r="L323" s="199">
        <v>3</v>
      </c>
      <c r="M323" s="200">
        <v>0.6</v>
      </c>
      <c r="N323" s="201">
        <v>26</v>
      </c>
    </row>
    <row r="324" spans="1:14">
      <c r="A324" s="194">
        <v>41296.938761574071</v>
      </c>
      <c r="B324" s="195">
        <v>2021</v>
      </c>
      <c r="C324" s="194"/>
      <c r="D324" s="194"/>
      <c r="E324" s="198"/>
      <c r="G324" s="202"/>
      <c r="J324" s="195">
        <v>2</v>
      </c>
      <c r="K324" s="204" t="s">
        <v>32</v>
      </c>
      <c r="L324" s="199">
        <v>2</v>
      </c>
      <c r="M324" s="200">
        <v>33.5</v>
      </c>
      <c r="N324" s="201">
        <v>27</v>
      </c>
    </row>
    <row r="325" spans="1:14">
      <c r="A325" s="194">
        <v>41300.532800925925</v>
      </c>
      <c r="B325" s="195">
        <v>2021</v>
      </c>
      <c r="C325" s="194"/>
      <c r="D325" s="194"/>
      <c r="E325" s="198"/>
      <c r="G325" s="202"/>
      <c r="J325" s="195">
        <v>3</v>
      </c>
      <c r="K325" s="204" t="s">
        <v>1595</v>
      </c>
      <c r="L325" s="199">
        <v>1</v>
      </c>
      <c r="M325" s="200">
        <v>1</v>
      </c>
      <c r="N325" s="201">
        <v>17</v>
      </c>
    </row>
    <row r="326" spans="1:14">
      <c r="A326" s="194">
        <v>41292.336921296293</v>
      </c>
      <c r="B326" s="195">
        <v>2021</v>
      </c>
      <c r="C326" s="194"/>
      <c r="D326" s="194"/>
      <c r="E326" s="198"/>
      <c r="G326" s="202"/>
      <c r="J326" s="195">
        <v>3</v>
      </c>
      <c r="K326" s="204" t="s">
        <v>1595</v>
      </c>
      <c r="L326" s="199">
        <v>2</v>
      </c>
      <c r="M326" s="200">
        <v>0.4</v>
      </c>
      <c r="N326" s="201">
        <v>26</v>
      </c>
    </row>
    <row r="327" spans="1:14">
      <c r="A327" s="194">
        <v>41284.677222222221</v>
      </c>
      <c r="B327" s="195">
        <v>2021</v>
      </c>
      <c r="C327" s="194"/>
      <c r="D327" s="194"/>
      <c r="E327" s="198"/>
      <c r="G327" s="202"/>
      <c r="J327" s="195">
        <v>3</v>
      </c>
      <c r="K327" s="204" t="s">
        <v>1595</v>
      </c>
      <c r="L327" s="199">
        <v>3</v>
      </c>
      <c r="M327" s="200">
        <v>0.3</v>
      </c>
      <c r="N327" s="201">
        <v>28</v>
      </c>
    </row>
    <row r="328" spans="1:14">
      <c r="A328" s="194">
        <v>41305.507071759261</v>
      </c>
      <c r="B328" s="195">
        <v>2021</v>
      </c>
      <c r="C328" s="194"/>
      <c r="D328" s="194"/>
      <c r="E328" s="196" t="s">
        <v>1941</v>
      </c>
      <c r="G328" s="202"/>
      <c r="J328" s="195">
        <v>7</v>
      </c>
      <c r="K328" s="204" t="s">
        <v>30</v>
      </c>
      <c r="L328" s="199">
        <v>1</v>
      </c>
      <c r="M328" s="200">
        <v>0.5</v>
      </c>
      <c r="N328" s="201">
        <v>16</v>
      </c>
    </row>
    <row r="329" spans="1:14">
      <c r="A329" s="194">
        <v>41301.718900462962</v>
      </c>
      <c r="B329" s="195">
        <v>2021</v>
      </c>
      <c r="C329" s="194"/>
      <c r="D329" s="194"/>
      <c r="E329" s="196" t="s">
        <v>2147</v>
      </c>
      <c r="G329" s="202"/>
      <c r="J329" s="195">
        <v>7</v>
      </c>
      <c r="K329" s="204" t="s">
        <v>30</v>
      </c>
      <c r="L329" s="199">
        <v>1</v>
      </c>
      <c r="M329" s="200">
        <v>0.5</v>
      </c>
      <c r="N329" s="201">
        <v>16</v>
      </c>
    </row>
    <row r="330" spans="1:14">
      <c r="A330" s="194">
        <v>41291.450937499998</v>
      </c>
      <c r="B330" s="195">
        <v>2021</v>
      </c>
      <c r="C330" s="194"/>
      <c r="D330" s="194"/>
      <c r="E330" s="198"/>
      <c r="G330" s="202"/>
      <c r="J330" s="195">
        <v>9</v>
      </c>
      <c r="K330" s="204" t="s">
        <v>34</v>
      </c>
      <c r="L330" s="199">
        <v>1</v>
      </c>
      <c r="M330" s="200">
        <v>0.4</v>
      </c>
      <c r="N330" s="201">
        <v>17</v>
      </c>
    </row>
    <row r="331" spans="1:14">
      <c r="A331" s="194">
        <v>41279.404444444444</v>
      </c>
      <c r="B331" s="195">
        <v>2021</v>
      </c>
      <c r="C331" s="194"/>
      <c r="D331" s="194"/>
      <c r="E331" s="198"/>
      <c r="G331" s="202"/>
      <c r="J331" s="195">
        <v>10</v>
      </c>
      <c r="K331" s="204" t="s">
        <v>31</v>
      </c>
      <c r="L331" s="199">
        <v>1</v>
      </c>
      <c r="M331" s="200">
        <v>0.6</v>
      </c>
      <c r="N331" s="201">
        <v>20</v>
      </c>
    </row>
    <row r="332" spans="1:14">
      <c r="A332" s="194">
        <v>41277.330034722225</v>
      </c>
      <c r="B332" s="195">
        <v>2021</v>
      </c>
      <c r="C332" s="194"/>
      <c r="D332" s="194"/>
      <c r="E332" s="198"/>
      <c r="G332" s="202"/>
      <c r="J332" s="195">
        <v>10</v>
      </c>
      <c r="K332" s="204" t="s">
        <v>31</v>
      </c>
      <c r="L332" s="199">
        <v>1</v>
      </c>
      <c r="M332" s="200">
        <v>0.4</v>
      </c>
      <c r="N332" s="201">
        <v>21</v>
      </c>
    </row>
    <row r="333" spans="1:14">
      <c r="A333" s="194">
        <v>41298.491851851853</v>
      </c>
      <c r="B333" s="195">
        <v>2021</v>
      </c>
      <c r="C333" s="194"/>
      <c r="D333" s="194"/>
      <c r="E333" s="198"/>
      <c r="G333" s="202"/>
      <c r="J333" s="195">
        <v>10</v>
      </c>
      <c r="K333" s="204" t="s">
        <v>31</v>
      </c>
      <c r="L333" s="199">
        <v>1</v>
      </c>
      <c r="M333" s="200">
        <v>1</v>
      </c>
      <c r="N333" s="201">
        <v>23</v>
      </c>
    </row>
    <row r="334" spans="1:14">
      <c r="A334" s="194">
        <v>41288.37027777778</v>
      </c>
      <c r="B334" s="195">
        <v>2021</v>
      </c>
      <c r="C334" s="194"/>
      <c r="D334" s="194"/>
      <c r="E334" s="198"/>
      <c r="G334" s="202"/>
      <c r="J334" s="195">
        <v>10</v>
      </c>
      <c r="K334" s="204" t="s">
        <v>31</v>
      </c>
      <c r="L334" s="199">
        <v>3</v>
      </c>
      <c r="M334" s="200">
        <v>0.4</v>
      </c>
      <c r="N334" s="201">
        <v>27</v>
      </c>
    </row>
    <row r="335" spans="1:14">
      <c r="A335" s="194">
        <v>41296.471712962964</v>
      </c>
      <c r="B335" s="195">
        <v>2021</v>
      </c>
      <c r="C335" s="194"/>
      <c r="D335" s="194"/>
      <c r="E335" s="196" t="s">
        <v>1690</v>
      </c>
      <c r="G335" s="202"/>
      <c r="J335" s="195">
        <v>10</v>
      </c>
      <c r="K335" s="204" t="s">
        <v>31</v>
      </c>
      <c r="L335" s="199">
        <v>3</v>
      </c>
      <c r="M335" s="200">
        <v>0.3</v>
      </c>
      <c r="N335" s="201">
        <v>37</v>
      </c>
    </row>
    <row r="336" spans="1:14">
      <c r="A336" s="194">
        <v>41279.72111111111</v>
      </c>
      <c r="B336" s="195">
        <v>2021</v>
      </c>
      <c r="C336" s="194"/>
      <c r="D336" s="194"/>
      <c r="E336" s="198"/>
      <c r="G336" s="202"/>
      <c r="J336" s="195">
        <v>11</v>
      </c>
      <c r="K336" s="204" t="s">
        <v>1</v>
      </c>
      <c r="L336" s="199">
        <v>1</v>
      </c>
      <c r="M336" s="200">
        <v>0.3</v>
      </c>
      <c r="N336" s="201">
        <v>16</v>
      </c>
    </row>
    <row r="337" spans="1:14">
      <c r="A337" s="194">
        <v>41292.748726851853</v>
      </c>
      <c r="B337" s="195">
        <v>2021</v>
      </c>
      <c r="C337" s="194"/>
      <c r="D337" s="194"/>
      <c r="E337" s="198"/>
      <c r="G337" s="202"/>
      <c r="J337" s="195">
        <v>12</v>
      </c>
      <c r="K337" s="204" t="s">
        <v>7</v>
      </c>
      <c r="L337" s="199">
        <v>1</v>
      </c>
      <c r="M337" s="200">
        <v>0.5</v>
      </c>
      <c r="N337" s="201">
        <v>15</v>
      </c>
    </row>
    <row r="338" spans="1:14">
      <c r="A338" s="194">
        <v>41276.395324074074</v>
      </c>
      <c r="B338" s="195">
        <v>2021</v>
      </c>
      <c r="C338" s="194"/>
      <c r="D338" s="194"/>
      <c r="E338" s="198"/>
      <c r="G338" s="202"/>
      <c r="J338" s="195">
        <v>12</v>
      </c>
      <c r="K338" s="204" t="s">
        <v>7</v>
      </c>
      <c r="L338" s="199">
        <v>2</v>
      </c>
      <c r="M338" s="200">
        <v>1</v>
      </c>
      <c r="N338" s="201">
        <v>21</v>
      </c>
    </row>
    <row r="339" spans="1:14">
      <c r="A339" s="194">
        <v>41300.605011574073</v>
      </c>
      <c r="B339" s="195">
        <v>2021</v>
      </c>
      <c r="C339" s="194"/>
      <c r="D339" s="194"/>
      <c r="E339" s="198"/>
      <c r="G339" s="202"/>
      <c r="J339" s="195">
        <v>15</v>
      </c>
      <c r="K339" s="204" t="s">
        <v>4</v>
      </c>
      <c r="L339" s="199">
        <v>2</v>
      </c>
      <c r="M339" s="200">
        <v>0.4</v>
      </c>
      <c r="N339" s="201">
        <v>20</v>
      </c>
    </row>
    <row r="340" spans="1:14">
      <c r="A340" s="194">
        <v>41300.604328703703</v>
      </c>
      <c r="B340" s="195">
        <v>2021</v>
      </c>
      <c r="C340" s="194"/>
      <c r="D340" s="194"/>
      <c r="E340" s="198"/>
      <c r="G340" s="202"/>
      <c r="J340" s="195">
        <v>17</v>
      </c>
      <c r="K340" s="204" t="s">
        <v>11</v>
      </c>
      <c r="L340" s="199">
        <v>3</v>
      </c>
      <c r="M340" s="200">
        <v>1.3</v>
      </c>
      <c r="N340" s="201">
        <v>0</v>
      </c>
    </row>
    <row r="341" spans="1:14">
      <c r="A341" s="194">
        <v>41296.559351851851</v>
      </c>
      <c r="B341" s="195">
        <v>2021</v>
      </c>
      <c r="C341" s="194"/>
      <c r="D341" s="194"/>
      <c r="E341" s="198"/>
      <c r="G341" s="202"/>
      <c r="J341" s="195">
        <v>17</v>
      </c>
      <c r="K341" s="204" t="s">
        <v>11</v>
      </c>
      <c r="L341" s="199">
        <v>2</v>
      </c>
      <c r="M341" s="200">
        <v>12</v>
      </c>
      <c r="N341" s="201">
        <v>0</v>
      </c>
    </row>
    <row r="342" spans="1:14">
      <c r="A342" s="194">
        <v>41276.849108796298</v>
      </c>
      <c r="B342" s="195">
        <v>2021</v>
      </c>
      <c r="C342" s="194"/>
      <c r="D342" s="194"/>
      <c r="E342" s="198"/>
      <c r="G342" s="202"/>
      <c r="J342" s="195">
        <v>17</v>
      </c>
      <c r="K342" s="204" t="s">
        <v>11</v>
      </c>
      <c r="L342" s="199">
        <v>1</v>
      </c>
      <c r="M342" s="200">
        <v>18.600000000000001</v>
      </c>
      <c r="N342" s="201">
        <v>0</v>
      </c>
    </row>
    <row r="343" spans="1:14">
      <c r="A343" s="194">
        <v>41290.963831018518</v>
      </c>
      <c r="B343" s="195">
        <v>2021</v>
      </c>
      <c r="C343" s="194"/>
      <c r="D343" s="194"/>
      <c r="E343" s="198"/>
      <c r="G343" s="202"/>
      <c r="J343" s="195">
        <v>17</v>
      </c>
      <c r="K343" s="204" t="s">
        <v>11</v>
      </c>
      <c r="L343" s="199">
        <v>2</v>
      </c>
      <c r="M343" s="200">
        <v>34.1</v>
      </c>
      <c r="N343" s="201">
        <v>15</v>
      </c>
    </row>
    <row r="344" spans="1:14">
      <c r="A344" s="194">
        <v>41289.471087962964</v>
      </c>
      <c r="B344" s="195">
        <v>2021</v>
      </c>
      <c r="C344" s="194"/>
      <c r="D344" s="194"/>
      <c r="E344" s="198"/>
      <c r="G344" s="202"/>
      <c r="J344" s="195">
        <v>17</v>
      </c>
      <c r="K344" s="204" t="s">
        <v>11</v>
      </c>
      <c r="L344" s="199">
        <v>1</v>
      </c>
      <c r="M344" s="200">
        <v>0.5</v>
      </c>
      <c r="N344" s="201">
        <v>16</v>
      </c>
    </row>
    <row r="345" spans="1:14">
      <c r="A345" s="194">
        <v>41287.634293981479</v>
      </c>
      <c r="B345" s="195">
        <v>2021</v>
      </c>
      <c r="C345" s="194"/>
      <c r="D345" s="194"/>
      <c r="E345" s="198"/>
      <c r="G345" s="202"/>
      <c r="J345" s="195">
        <v>17</v>
      </c>
      <c r="K345" s="204" t="s">
        <v>11</v>
      </c>
      <c r="L345" s="199">
        <v>3</v>
      </c>
      <c r="M345" s="200">
        <v>0.5</v>
      </c>
      <c r="N345" s="201">
        <v>16</v>
      </c>
    </row>
    <row r="346" spans="1:14">
      <c r="A346" s="194">
        <v>41281.506527777776</v>
      </c>
      <c r="B346" s="195">
        <v>2021</v>
      </c>
      <c r="C346" s="194"/>
      <c r="D346" s="194"/>
      <c r="E346" s="198"/>
      <c r="G346" s="202"/>
      <c r="J346" s="195">
        <v>17</v>
      </c>
      <c r="K346" s="204" t="s">
        <v>11</v>
      </c>
      <c r="L346" s="199">
        <v>3</v>
      </c>
      <c r="M346" s="200">
        <v>0.6</v>
      </c>
      <c r="N346" s="201">
        <v>16</v>
      </c>
    </row>
    <row r="347" spans="1:14">
      <c r="A347" s="194">
        <v>41287.588472222225</v>
      </c>
      <c r="B347" s="195">
        <v>2021</v>
      </c>
      <c r="C347" s="194"/>
      <c r="D347" s="194"/>
      <c r="E347" s="198"/>
      <c r="G347" s="202"/>
      <c r="J347" s="195">
        <v>17</v>
      </c>
      <c r="K347" s="204" t="s">
        <v>11</v>
      </c>
      <c r="L347" s="199">
        <v>2</v>
      </c>
      <c r="M347" s="200">
        <v>0.8</v>
      </c>
      <c r="N347" s="201">
        <v>16</v>
      </c>
    </row>
    <row r="348" spans="1:14">
      <c r="A348" s="194">
        <v>41301.131423611114</v>
      </c>
      <c r="B348" s="195">
        <v>2021</v>
      </c>
      <c r="C348" s="194"/>
      <c r="D348" s="194"/>
      <c r="E348" s="198"/>
      <c r="G348" s="202"/>
      <c r="J348" s="195">
        <v>17</v>
      </c>
      <c r="K348" s="204" t="s">
        <v>11</v>
      </c>
      <c r="L348" s="199">
        <v>1</v>
      </c>
      <c r="M348" s="200">
        <v>1.4</v>
      </c>
      <c r="N348" s="201">
        <v>16</v>
      </c>
    </row>
    <row r="349" spans="1:14">
      <c r="A349" s="194">
        <v>41285.864166666666</v>
      </c>
      <c r="B349" s="195">
        <v>2021</v>
      </c>
      <c r="C349" s="194"/>
      <c r="D349" s="194"/>
      <c r="E349" s="198"/>
      <c r="G349" s="202"/>
      <c r="J349" s="195">
        <v>17</v>
      </c>
      <c r="K349" s="204" t="s">
        <v>11</v>
      </c>
      <c r="L349" s="199">
        <v>2</v>
      </c>
      <c r="M349" s="200">
        <v>1.6</v>
      </c>
      <c r="N349" s="201">
        <v>16</v>
      </c>
    </row>
    <row r="350" spans="1:14">
      <c r="A350" s="194">
        <v>41279.09851851852</v>
      </c>
      <c r="B350" s="195">
        <v>2021</v>
      </c>
      <c r="C350" s="194"/>
      <c r="D350" s="194"/>
      <c r="E350" s="198"/>
      <c r="G350" s="202"/>
      <c r="J350" s="195">
        <v>17</v>
      </c>
      <c r="K350" s="204" t="s">
        <v>11</v>
      </c>
      <c r="L350" s="199">
        <v>3</v>
      </c>
      <c r="M350" s="200">
        <v>28.3</v>
      </c>
      <c r="N350" s="201">
        <v>16</v>
      </c>
    </row>
    <row r="351" spans="1:14">
      <c r="A351" s="194">
        <v>41283.938101851854</v>
      </c>
      <c r="B351" s="195">
        <v>2021</v>
      </c>
      <c r="C351" s="194"/>
      <c r="D351" s="194"/>
      <c r="E351" s="198"/>
      <c r="G351" s="202"/>
      <c r="J351" s="195">
        <v>17</v>
      </c>
      <c r="K351" s="204" t="s">
        <v>11</v>
      </c>
      <c r="L351" s="199">
        <v>1</v>
      </c>
      <c r="M351" s="200">
        <v>29.5</v>
      </c>
      <c r="N351" s="201">
        <v>16</v>
      </c>
    </row>
    <row r="352" spans="1:14">
      <c r="A352" s="194">
        <v>41282.051342592589</v>
      </c>
      <c r="B352" s="195">
        <v>2021</v>
      </c>
      <c r="C352" s="194"/>
      <c r="D352" s="194"/>
      <c r="E352" s="198"/>
      <c r="G352" s="202"/>
      <c r="J352" s="195">
        <v>17</v>
      </c>
      <c r="K352" s="204" t="s">
        <v>11</v>
      </c>
      <c r="L352" s="199">
        <v>3</v>
      </c>
      <c r="M352" s="200">
        <v>33.299999999999997</v>
      </c>
      <c r="N352" s="201">
        <v>16</v>
      </c>
    </row>
    <row r="353" spans="1:14">
      <c r="A353" s="194">
        <v>41287.951354166667</v>
      </c>
      <c r="B353" s="195">
        <v>2021</v>
      </c>
      <c r="C353" s="194"/>
      <c r="D353" s="194"/>
      <c r="E353" s="198"/>
      <c r="G353" s="202"/>
      <c r="J353" s="195">
        <v>17</v>
      </c>
      <c r="K353" s="204" t="s">
        <v>11</v>
      </c>
      <c r="L353" s="199">
        <v>2</v>
      </c>
      <c r="M353" s="200">
        <v>33.700000000000003</v>
      </c>
      <c r="N353" s="201">
        <v>16</v>
      </c>
    </row>
    <row r="354" spans="1:14">
      <c r="A354" s="194">
        <v>41287.859675925924</v>
      </c>
      <c r="B354" s="195">
        <v>2021</v>
      </c>
      <c r="C354" s="194"/>
      <c r="D354" s="194"/>
      <c r="E354" s="198"/>
      <c r="G354" s="202"/>
      <c r="J354" s="195">
        <v>17</v>
      </c>
      <c r="K354" s="204" t="s">
        <v>11</v>
      </c>
      <c r="L354" s="199">
        <v>3</v>
      </c>
      <c r="M354" s="200">
        <v>33.700000000000003</v>
      </c>
      <c r="N354" s="201">
        <v>16</v>
      </c>
    </row>
    <row r="355" spans="1:14">
      <c r="A355" s="194">
        <v>41287.708993055552</v>
      </c>
      <c r="B355" s="195">
        <v>2021</v>
      </c>
      <c r="C355" s="194"/>
      <c r="D355" s="194"/>
      <c r="E355" s="198"/>
      <c r="G355" s="202"/>
      <c r="J355" s="195">
        <v>17</v>
      </c>
      <c r="K355" s="204" t="s">
        <v>11</v>
      </c>
      <c r="L355" s="199">
        <v>2</v>
      </c>
      <c r="M355" s="200">
        <v>34</v>
      </c>
      <c r="N355" s="201">
        <v>16</v>
      </c>
    </row>
    <row r="356" spans="1:14">
      <c r="A356" s="194">
        <v>41283.865231481483</v>
      </c>
      <c r="B356" s="195">
        <v>2021</v>
      </c>
      <c r="C356" s="194"/>
      <c r="D356" s="194"/>
      <c r="E356" s="198"/>
      <c r="G356" s="202"/>
      <c r="J356" s="195">
        <v>17</v>
      </c>
      <c r="K356" s="204" t="s">
        <v>11</v>
      </c>
      <c r="L356" s="199">
        <v>3</v>
      </c>
      <c r="M356" s="200">
        <v>34.1</v>
      </c>
      <c r="N356" s="201">
        <v>16</v>
      </c>
    </row>
    <row r="357" spans="1:14">
      <c r="A357" s="194">
        <v>41287.968715277777</v>
      </c>
      <c r="B357" s="195">
        <v>2021</v>
      </c>
      <c r="C357" s="194"/>
      <c r="D357" s="194"/>
      <c r="E357" s="198"/>
      <c r="G357" s="202"/>
      <c r="J357" s="195">
        <v>17</v>
      </c>
      <c r="K357" s="204" t="s">
        <v>11</v>
      </c>
      <c r="L357" s="199">
        <v>2</v>
      </c>
      <c r="M357" s="200">
        <v>34.200000000000003</v>
      </c>
      <c r="N357" s="201">
        <v>16</v>
      </c>
    </row>
    <row r="358" spans="1:14">
      <c r="A358" s="194">
        <v>41281.02983796296</v>
      </c>
      <c r="B358" s="195">
        <v>2021</v>
      </c>
      <c r="C358" s="194"/>
      <c r="D358" s="194"/>
      <c r="E358" s="198"/>
      <c r="G358" s="202"/>
      <c r="J358" s="195">
        <v>17</v>
      </c>
      <c r="K358" s="204" t="s">
        <v>11</v>
      </c>
      <c r="L358" s="199">
        <v>3</v>
      </c>
      <c r="M358" s="200">
        <v>34.799999999999997</v>
      </c>
      <c r="N358" s="201">
        <v>16</v>
      </c>
    </row>
    <row r="359" spans="1:14">
      <c r="A359" s="194">
        <v>41276.005567129629</v>
      </c>
      <c r="B359" s="195">
        <v>2021</v>
      </c>
      <c r="C359" s="194"/>
      <c r="D359" s="194"/>
      <c r="E359" s="198"/>
      <c r="G359" s="202"/>
      <c r="J359" s="195">
        <v>17</v>
      </c>
      <c r="K359" s="204" t="s">
        <v>11</v>
      </c>
      <c r="L359" s="199">
        <v>3</v>
      </c>
      <c r="M359" s="200">
        <v>35.299999999999997</v>
      </c>
      <c r="N359" s="201">
        <v>16</v>
      </c>
    </row>
    <row r="360" spans="1:14">
      <c r="A360" s="194">
        <v>41286.177743055552</v>
      </c>
      <c r="B360" s="195">
        <v>2021</v>
      </c>
      <c r="C360" s="194"/>
      <c r="D360" s="194"/>
      <c r="E360" s="198"/>
      <c r="G360" s="202"/>
      <c r="J360" s="195">
        <v>17</v>
      </c>
      <c r="K360" s="204" t="s">
        <v>11</v>
      </c>
      <c r="L360" s="199">
        <v>2</v>
      </c>
      <c r="M360" s="200">
        <v>35.5</v>
      </c>
      <c r="N360" s="201">
        <v>16</v>
      </c>
    </row>
    <row r="361" spans="1:14">
      <c r="A361" s="194">
        <v>41276.938194444447</v>
      </c>
      <c r="B361" s="195">
        <v>2021</v>
      </c>
      <c r="C361" s="194"/>
      <c r="D361" s="194"/>
      <c r="E361" s="198"/>
      <c r="G361" s="202"/>
      <c r="J361" s="195">
        <v>17</v>
      </c>
      <c r="K361" s="204" t="s">
        <v>11</v>
      </c>
      <c r="L361" s="199">
        <v>2</v>
      </c>
      <c r="M361" s="200">
        <v>35.5</v>
      </c>
      <c r="N361" s="201">
        <v>16</v>
      </c>
    </row>
    <row r="362" spans="1:14">
      <c r="A362" s="194">
        <v>41282.974976851852</v>
      </c>
      <c r="B362" s="195">
        <v>2021</v>
      </c>
      <c r="C362" s="194"/>
      <c r="D362" s="194"/>
      <c r="E362" s="198"/>
      <c r="G362" s="202"/>
      <c r="J362" s="195">
        <v>17</v>
      </c>
      <c r="K362" s="204" t="s">
        <v>11</v>
      </c>
      <c r="L362" s="199">
        <v>3</v>
      </c>
      <c r="M362" s="200">
        <v>35.6</v>
      </c>
      <c r="N362" s="201">
        <v>16</v>
      </c>
    </row>
    <row r="363" spans="1:14">
      <c r="A363" s="194">
        <v>41276.865972222222</v>
      </c>
      <c r="B363" s="195">
        <v>2021</v>
      </c>
      <c r="C363" s="194"/>
      <c r="D363" s="194"/>
      <c r="E363" s="198"/>
      <c r="G363" s="202"/>
      <c r="J363" s="195">
        <v>17</v>
      </c>
      <c r="K363" s="204" t="s">
        <v>11</v>
      </c>
      <c r="L363" s="199">
        <v>3</v>
      </c>
      <c r="M363" s="200">
        <v>35.6</v>
      </c>
      <c r="N363" s="201">
        <v>16</v>
      </c>
    </row>
    <row r="364" spans="1:14">
      <c r="A364" s="194">
        <v>41279.015972222223</v>
      </c>
      <c r="B364" s="195">
        <v>2021</v>
      </c>
      <c r="C364" s="194"/>
      <c r="D364" s="194"/>
      <c r="E364" s="198"/>
      <c r="G364" s="202"/>
      <c r="J364" s="195">
        <v>17</v>
      </c>
      <c r="K364" s="204" t="s">
        <v>11</v>
      </c>
      <c r="L364" s="199">
        <v>2</v>
      </c>
      <c r="M364" s="200">
        <v>35.700000000000003</v>
      </c>
      <c r="N364" s="201">
        <v>16</v>
      </c>
    </row>
    <row r="365" spans="1:14">
      <c r="A365" s="194">
        <v>41298.923495370371</v>
      </c>
      <c r="B365" s="195">
        <v>2021</v>
      </c>
      <c r="C365" s="194"/>
      <c r="D365" s="194"/>
      <c r="E365" s="198"/>
      <c r="G365" s="202"/>
      <c r="J365" s="195">
        <v>17</v>
      </c>
      <c r="K365" s="204" t="s">
        <v>11</v>
      </c>
      <c r="L365" s="199">
        <v>2</v>
      </c>
      <c r="M365" s="200">
        <v>35.799999999999997</v>
      </c>
      <c r="N365" s="201">
        <v>16</v>
      </c>
    </row>
    <row r="366" spans="1:14">
      <c r="A366" s="194">
        <v>41280.245821759258</v>
      </c>
      <c r="B366" s="195">
        <v>2021</v>
      </c>
      <c r="C366" s="194"/>
      <c r="D366" s="194"/>
      <c r="E366" s="198"/>
      <c r="G366" s="202"/>
      <c r="J366" s="195">
        <v>17</v>
      </c>
      <c r="K366" s="204" t="s">
        <v>11</v>
      </c>
      <c r="L366" s="199">
        <v>2</v>
      </c>
      <c r="M366" s="200">
        <v>36</v>
      </c>
      <c r="N366" s="201">
        <v>16</v>
      </c>
    </row>
    <row r="367" spans="1:14">
      <c r="A367" s="194">
        <v>41294.39298611111</v>
      </c>
      <c r="B367" s="195">
        <v>2021</v>
      </c>
      <c r="C367" s="194"/>
      <c r="D367" s="194"/>
      <c r="E367" s="198"/>
      <c r="G367" s="202"/>
      <c r="J367" s="195">
        <v>17</v>
      </c>
      <c r="K367" s="204" t="s">
        <v>11</v>
      </c>
      <c r="L367" s="199">
        <v>3</v>
      </c>
      <c r="M367" s="200">
        <v>36.4</v>
      </c>
      <c r="N367" s="201">
        <v>16</v>
      </c>
    </row>
    <row r="368" spans="1:14">
      <c r="A368" s="194">
        <v>41281.022916666669</v>
      </c>
      <c r="B368" s="195">
        <v>2021</v>
      </c>
      <c r="C368" s="194"/>
      <c r="D368" s="194"/>
      <c r="E368" s="198"/>
      <c r="G368" s="202"/>
      <c r="J368" s="195">
        <v>17</v>
      </c>
      <c r="K368" s="204" t="s">
        <v>11</v>
      </c>
      <c r="L368" s="199">
        <v>3</v>
      </c>
      <c r="M368" s="200">
        <v>36.4</v>
      </c>
      <c r="N368" s="201">
        <v>16</v>
      </c>
    </row>
    <row r="369" spans="1:14">
      <c r="A369" s="194">
        <v>41290.715405092589</v>
      </c>
      <c r="B369" s="195">
        <v>2021</v>
      </c>
      <c r="C369" s="194"/>
      <c r="D369" s="194"/>
      <c r="E369" s="198"/>
      <c r="G369" s="202"/>
      <c r="J369" s="195">
        <v>17</v>
      </c>
      <c r="K369" s="204" t="s">
        <v>11</v>
      </c>
      <c r="L369" s="199">
        <v>3</v>
      </c>
      <c r="M369" s="200">
        <v>0.4</v>
      </c>
      <c r="N369" s="201">
        <v>17</v>
      </c>
    </row>
    <row r="370" spans="1:14">
      <c r="A370" s="194">
        <v>41299.792523148149</v>
      </c>
      <c r="B370" s="195">
        <v>2021</v>
      </c>
      <c r="C370" s="194"/>
      <c r="D370" s="194"/>
      <c r="E370" s="198"/>
      <c r="G370" s="202"/>
      <c r="J370" s="195">
        <v>17</v>
      </c>
      <c r="K370" s="204" t="s">
        <v>11</v>
      </c>
      <c r="L370" s="199">
        <v>3</v>
      </c>
      <c r="M370" s="200">
        <v>0.7</v>
      </c>
      <c r="N370" s="201">
        <v>17</v>
      </c>
    </row>
    <row r="371" spans="1:14">
      <c r="A371" s="194">
        <v>41296.994317129633</v>
      </c>
      <c r="B371" s="195">
        <v>2021</v>
      </c>
      <c r="C371" s="194"/>
      <c r="D371" s="194"/>
      <c r="E371" s="198"/>
      <c r="G371" s="202"/>
      <c r="J371" s="195">
        <v>17</v>
      </c>
      <c r="K371" s="204" t="s">
        <v>11</v>
      </c>
      <c r="L371" s="199">
        <v>3</v>
      </c>
      <c r="M371" s="200">
        <v>33.1</v>
      </c>
      <c r="N371" s="201">
        <v>17</v>
      </c>
    </row>
    <row r="372" spans="1:14">
      <c r="A372" s="194">
        <v>41281.817326388889</v>
      </c>
      <c r="B372" s="195">
        <v>2021</v>
      </c>
      <c r="C372" s="194"/>
      <c r="D372" s="194"/>
      <c r="E372" s="198"/>
      <c r="G372" s="202"/>
      <c r="J372" s="195">
        <v>17</v>
      </c>
      <c r="K372" s="204" t="s">
        <v>11</v>
      </c>
      <c r="L372" s="199">
        <v>2</v>
      </c>
      <c r="M372" s="200">
        <v>33.6</v>
      </c>
      <c r="N372" s="201">
        <v>17</v>
      </c>
    </row>
    <row r="373" spans="1:14">
      <c r="A373" s="194">
        <v>41296.948483796295</v>
      </c>
      <c r="B373" s="195">
        <v>2021</v>
      </c>
      <c r="C373" s="194"/>
      <c r="D373" s="194"/>
      <c r="E373" s="198"/>
      <c r="G373" s="202"/>
      <c r="J373" s="195">
        <v>17</v>
      </c>
      <c r="K373" s="204" t="s">
        <v>11</v>
      </c>
      <c r="L373" s="199">
        <v>3</v>
      </c>
      <c r="M373" s="200">
        <v>33.700000000000003</v>
      </c>
      <c r="N373" s="201">
        <v>17</v>
      </c>
    </row>
    <row r="374" spans="1:14">
      <c r="A374" s="194">
        <v>41287.793726851851</v>
      </c>
      <c r="B374" s="195">
        <v>2021</v>
      </c>
      <c r="C374" s="194"/>
      <c r="D374" s="194"/>
      <c r="E374" s="198"/>
      <c r="G374" s="202"/>
      <c r="J374" s="195">
        <v>17</v>
      </c>
      <c r="K374" s="204" t="s">
        <v>11</v>
      </c>
      <c r="L374" s="199">
        <v>3</v>
      </c>
      <c r="M374" s="200">
        <v>35.1</v>
      </c>
      <c r="N374" s="201">
        <v>17</v>
      </c>
    </row>
    <row r="375" spans="1:14">
      <c r="A375" s="194">
        <v>41291.024953703702</v>
      </c>
      <c r="B375" s="195">
        <v>2021</v>
      </c>
      <c r="C375" s="194"/>
      <c r="D375" s="194"/>
      <c r="E375" s="198"/>
      <c r="G375" s="202"/>
      <c r="J375" s="195">
        <v>17</v>
      </c>
      <c r="K375" s="204" t="s">
        <v>11</v>
      </c>
      <c r="L375" s="199">
        <v>3</v>
      </c>
      <c r="M375" s="200">
        <v>35.200000000000003</v>
      </c>
      <c r="N375" s="201">
        <v>17</v>
      </c>
    </row>
    <row r="376" spans="1:14">
      <c r="A376" s="194">
        <v>41276.90347222222</v>
      </c>
      <c r="B376" s="195">
        <v>2021</v>
      </c>
      <c r="C376" s="194"/>
      <c r="D376" s="194"/>
      <c r="E376" s="198"/>
      <c r="G376" s="202"/>
      <c r="J376" s="195">
        <v>17</v>
      </c>
      <c r="K376" s="204" t="s">
        <v>11</v>
      </c>
      <c r="L376" s="199">
        <v>3</v>
      </c>
      <c r="M376" s="200">
        <v>35.200000000000003</v>
      </c>
      <c r="N376" s="201">
        <v>17</v>
      </c>
    </row>
    <row r="377" spans="1:14">
      <c r="A377" s="194">
        <v>41286.266631944447</v>
      </c>
      <c r="B377" s="195">
        <v>2021</v>
      </c>
      <c r="C377" s="194"/>
      <c r="D377" s="194"/>
      <c r="E377" s="198"/>
      <c r="G377" s="202"/>
      <c r="J377" s="195">
        <v>17</v>
      </c>
      <c r="K377" s="204" t="s">
        <v>11</v>
      </c>
      <c r="L377" s="199">
        <v>2</v>
      </c>
      <c r="M377" s="200">
        <v>35.299999999999997</v>
      </c>
      <c r="N377" s="201">
        <v>17</v>
      </c>
    </row>
    <row r="378" spans="1:14">
      <c r="A378" s="194">
        <v>41296.94017361111</v>
      </c>
      <c r="B378" s="195">
        <v>2021</v>
      </c>
      <c r="C378" s="194"/>
      <c r="D378" s="194"/>
      <c r="E378" s="198"/>
      <c r="G378" s="202"/>
      <c r="J378" s="195">
        <v>17</v>
      </c>
      <c r="K378" s="204" t="s">
        <v>11</v>
      </c>
      <c r="L378" s="199">
        <v>3</v>
      </c>
      <c r="M378" s="200">
        <v>35.5</v>
      </c>
      <c r="N378" s="201">
        <v>17</v>
      </c>
    </row>
    <row r="379" spans="1:14">
      <c r="A379" s="194">
        <v>41280.944444444445</v>
      </c>
      <c r="B379" s="195">
        <v>2021</v>
      </c>
      <c r="C379" s="194"/>
      <c r="D379" s="194"/>
      <c r="E379" s="198"/>
      <c r="G379" s="202"/>
      <c r="J379" s="195">
        <v>17</v>
      </c>
      <c r="K379" s="204" t="s">
        <v>11</v>
      </c>
      <c r="L379" s="199">
        <v>1</v>
      </c>
      <c r="M379" s="200">
        <v>36</v>
      </c>
      <c r="N379" s="201">
        <v>17</v>
      </c>
    </row>
    <row r="380" spans="1:14">
      <c r="A380" s="194">
        <v>41280.976388888892</v>
      </c>
      <c r="B380" s="195">
        <v>2021</v>
      </c>
      <c r="C380" s="194"/>
      <c r="D380" s="194"/>
      <c r="E380" s="198"/>
      <c r="G380" s="202"/>
      <c r="J380" s="195">
        <v>17</v>
      </c>
      <c r="K380" s="204" t="s">
        <v>11</v>
      </c>
      <c r="L380" s="199">
        <v>2</v>
      </c>
      <c r="M380" s="200">
        <v>36.1</v>
      </c>
      <c r="N380" s="201">
        <v>17</v>
      </c>
    </row>
    <row r="381" spans="1:14">
      <c r="A381" s="194">
        <v>41276.935428240744</v>
      </c>
      <c r="B381" s="195">
        <v>2021</v>
      </c>
      <c r="C381" s="194"/>
      <c r="D381" s="194"/>
      <c r="E381" s="198"/>
      <c r="G381" s="202"/>
      <c r="J381" s="195">
        <v>17</v>
      </c>
      <c r="K381" s="204" t="s">
        <v>11</v>
      </c>
      <c r="L381" s="199">
        <v>2</v>
      </c>
      <c r="M381" s="200">
        <v>36.1</v>
      </c>
      <c r="N381" s="201">
        <v>17</v>
      </c>
    </row>
    <row r="382" spans="1:14">
      <c r="A382" s="194">
        <v>41288.069722222222</v>
      </c>
      <c r="B382" s="195">
        <v>2021</v>
      </c>
      <c r="C382" s="194"/>
      <c r="D382" s="194"/>
      <c r="E382" s="198"/>
      <c r="G382" s="202"/>
      <c r="J382" s="195">
        <v>17</v>
      </c>
      <c r="K382" s="204" t="s">
        <v>11</v>
      </c>
      <c r="L382" s="199">
        <v>3</v>
      </c>
      <c r="M382" s="200">
        <v>1.5</v>
      </c>
      <c r="N382" s="201">
        <v>18</v>
      </c>
    </row>
    <row r="383" spans="1:14">
      <c r="A383" s="194">
        <v>41277.159699074073</v>
      </c>
      <c r="B383" s="195">
        <v>2021</v>
      </c>
      <c r="C383" s="194"/>
      <c r="D383" s="194"/>
      <c r="E383" s="198"/>
      <c r="G383" s="202"/>
      <c r="J383" s="195">
        <v>17</v>
      </c>
      <c r="K383" s="204" t="s">
        <v>11</v>
      </c>
      <c r="L383" s="199">
        <v>2</v>
      </c>
      <c r="M383" s="200">
        <v>33.200000000000003</v>
      </c>
      <c r="N383" s="201">
        <v>18</v>
      </c>
    </row>
    <row r="384" spans="1:14">
      <c r="A384" s="194">
        <v>41292.065208333333</v>
      </c>
      <c r="B384" s="195">
        <v>2021</v>
      </c>
      <c r="C384" s="194"/>
      <c r="D384" s="194"/>
      <c r="E384" s="198"/>
      <c r="G384" s="202"/>
      <c r="J384" s="195">
        <v>17</v>
      </c>
      <c r="K384" s="204" t="s">
        <v>11</v>
      </c>
      <c r="L384" s="199">
        <v>2</v>
      </c>
      <c r="M384" s="200">
        <v>34</v>
      </c>
      <c r="N384" s="201">
        <v>18</v>
      </c>
    </row>
    <row r="385" spans="1:14">
      <c r="A385" s="194">
        <v>41282.902037037034</v>
      </c>
      <c r="B385" s="195">
        <v>2021</v>
      </c>
      <c r="C385" s="194"/>
      <c r="D385" s="194"/>
      <c r="E385" s="198"/>
      <c r="G385" s="202"/>
      <c r="J385" s="195">
        <v>17</v>
      </c>
      <c r="K385" s="204" t="s">
        <v>11</v>
      </c>
      <c r="L385" s="199">
        <v>2</v>
      </c>
      <c r="M385" s="200">
        <v>34.200000000000003</v>
      </c>
      <c r="N385" s="201">
        <v>18</v>
      </c>
    </row>
    <row r="386" spans="1:14">
      <c r="A386" s="194">
        <v>41280.131226851852</v>
      </c>
      <c r="B386" s="195">
        <v>2021</v>
      </c>
      <c r="C386" s="194"/>
      <c r="D386" s="194"/>
      <c r="E386" s="198"/>
      <c r="G386" s="202"/>
      <c r="J386" s="195">
        <v>17</v>
      </c>
      <c r="K386" s="204" t="s">
        <v>11</v>
      </c>
      <c r="L386" s="199">
        <v>2</v>
      </c>
      <c r="M386" s="200">
        <v>34.5</v>
      </c>
      <c r="N386" s="201">
        <v>18</v>
      </c>
    </row>
    <row r="387" spans="1:14">
      <c r="A387" s="194">
        <v>41286.242326388892</v>
      </c>
      <c r="B387" s="195">
        <v>2021</v>
      </c>
      <c r="C387" s="194"/>
      <c r="D387" s="194"/>
      <c r="E387" s="198"/>
      <c r="G387" s="202"/>
      <c r="J387" s="195">
        <v>17</v>
      </c>
      <c r="K387" s="204" t="s">
        <v>11</v>
      </c>
      <c r="L387" s="199">
        <v>3</v>
      </c>
      <c r="M387" s="200">
        <v>35.200000000000003</v>
      </c>
      <c r="N387" s="201">
        <v>18</v>
      </c>
    </row>
    <row r="388" spans="1:14">
      <c r="A388" s="194">
        <v>41286.197199074071</v>
      </c>
      <c r="B388" s="195">
        <v>2021</v>
      </c>
      <c r="C388" s="194"/>
      <c r="D388" s="194"/>
      <c r="E388" s="198"/>
      <c r="G388" s="202"/>
      <c r="J388" s="195">
        <v>17</v>
      </c>
      <c r="K388" s="204" t="s">
        <v>11</v>
      </c>
      <c r="L388" s="199">
        <v>3</v>
      </c>
      <c r="M388" s="200">
        <v>35.9</v>
      </c>
      <c r="N388" s="201">
        <v>18</v>
      </c>
    </row>
    <row r="389" spans="1:14">
      <c r="A389" s="194">
        <v>41280.20484953704</v>
      </c>
      <c r="B389" s="195">
        <v>2021</v>
      </c>
      <c r="C389" s="194"/>
      <c r="D389" s="194"/>
      <c r="E389" s="198"/>
      <c r="G389" s="202"/>
      <c r="J389" s="195">
        <v>17</v>
      </c>
      <c r="K389" s="204" t="s">
        <v>11</v>
      </c>
      <c r="L389" s="199">
        <v>3</v>
      </c>
      <c r="M389" s="200">
        <v>35.9</v>
      </c>
      <c r="N389" s="201">
        <v>18</v>
      </c>
    </row>
    <row r="390" spans="1:14">
      <c r="A390" s="194">
        <v>41296.213101851848</v>
      </c>
      <c r="B390" s="195">
        <v>2021</v>
      </c>
      <c r="C390" s="194"/>
      <c r="D390" s="194"/>
      <c r="E390" s="198"/>
      <c r="G390" s="202"/>
      <c r="J390" s="195">
        <v>17</v>
      </c>
      <c r="K390" s="204" t="s">
        <v>11</v>
      </c>
      <c r="L390" s="199">
        <v>2</v>
      </c>
      <c r="M390" s="200">
        <v>36</v>
      </c>
      <c r="N390" s="201">
        <v>18</v>
      </c>
    </row>
    <row r="391" spans="1:14">
      <c r="A391" s="194">
        <v>41280.868750000001</v>
      </c>
      <c r="B391" s="195">
        <v>2021</v>
      </c>
      <c r="C391" s="194"/>
      <c r="D391" s="194"/>
      <c r="E391" s="198"/>
      <c r="G391" s="202"/>
      <c r="J391" s="195">
        <v>17</v>
      </c>
      <c r="K391" s="204" t="s">
        <v>11</v>
      </c>
      <c r="L391" s="199">
        <v>3</v>
      </c>
      <c r="M391" s="200">
        <v>36</v>
      </c>
      <c r="N391" s="201">
        <v>18</v>
      </c>
    </row>
    <row r="392" spans="1:14">
      <c r="A392" s="194">
        <v>41276.670034722221</v>
      </c>
      <c r="B392" s="195">
        <v>2021</v>
      </c>
      <c r="C392" s="194"/>
      <c r="D392" s="194"/>
      <c r="E392" s="198"/>
      <c r="G392" s="202"/>
      <c r="J392" s="195">
        <v>17</v>
      </c>
      <c r="K392" s="204" t="s">
        <v>11</v>
      </c>
      <c r="L392" s="199">
        <v>1</v>
      </c>
      <c r="M392" s="200">
        <v>36.4</v>
      </c>
      <c r="N392" s="201">
        <v>18</v>
      </c>
    </row>
    <row r="393" spans="1:14">
      <c r="A393" s="194">
        <v>41298.005416666667</v>
      </c>
      <c r="B393" s="195">
        <v>2021</v>
      </c>
      <c r="C393" s="194"/>
      <c r="D393" s="194"/>
      <c r="E393" s="198"/>
      <c r="G393" s="202"/>
      <c r="J393" s="195">
        <v>17</v>
      </c>
      <c r="K393" s="204" t="s">
        <v>11</v>
      </c>
      <c r="L393" s="199">
        <v>3</v>
      </c>
      <c r="M393" s="200">
        <v>32.5</v>
      </c>
      <c r="N393" s="201">
        <v>19</v>
      </c>
    </row>
    <row r="394" spans="1:14">
      <c r="A394" s="194">
        <v>41287.952037037037</v>
      </c>
      <c r="B394" s="195">
        <v>2021</v>
      </c>
      <c r="C394" s="194"/>
      <c r="D394" s="194"/>
      <c r="E394" s="198"/>
      <c r="G394" s="202"/>
      <c r="J394" s="195">
        <v>17</v>
      </c>
      <c r="K394" s="204" t="s">
        <v>11</v>
      </c>
      <c r="L394" s="199">
        <v>3</v>
      </c>
      <c r="M394" s="200">
        <v>33.4</v>
      </c>
      <c r="N394" s="201">
        <v>19</v>
      </c>
    </row>
    <row r="395" spans="1:14">
      <c r="A395" s="194">
        <v>41280.818020833336</v>
      </c>
      <c r="B395" s="195">
        <v>2021</v>
      </c>
      <c r="C395" s="194"/>
      <c r="D395" s="194"/>
      <c r="E395" s="198"/>
      <c r="G395" s="202"/>
      <c r="J395" s="195">
        <v>17</v>
      </c>
      <c r="K395" s="204" t="s">
        <v>11</v>
      </c>
      <c r="L395" s="199">
        <v>2</v>
      </c>
      <c r="M395" s="200">
        <v>33.4</v>
      </c>
      <c r="N395" s="201">
        <v>19</v>
      </c>
    </row>
    <row r="396" spans="1:14">
      <c r="A396" s="194">
        <v>41287.708287037036</v>
      </c>
      <c r="B396" s="195">
        <v>2021</v>
      </c>
      <c r="C396" s="194"/>
      <c r="D396" s="194"/>
      <c r="E396" s="198"/>
      <c r="G396" s="202"/>
      <c r="J396" s="195">
        <v>17</v>
      </c>
      <c r="K396" s="204" t="s">
        <v>11</v>
      </c>
      <c r="L396" s="199">
        <v>2</v>
      </c>
      <c r="M396" s="200">
        <v>33.5</v>
      </c>
      <c r="N396" s="201">
        <v>19</v>
      </c>
    </row>
    <row r="397" spans="1:14">
      <c r="A397" s="194">
        <v>41282.854120370372</v>
      </c>
      <c r="B397" s="195">
        <v>2021</v>
      </c>
      <c r="C397" s="194"/>
      <c r="D397" s="194"/>
      <c r="E397" s="198"/>
      <c r="G397" s="202"/>
      <c r="J397" s="195">
        <v>17</v>
      </c>
      <c r="K397" s="204" t="s">
        <v>11</v>
      </c>
      <c r="L397" s="199">
        <v>2</v>
      </c>
      <c r="M397" s="200">
        <v>33.6</v>
      </c>
      <c r="N397" s="201">
        <v>19</v>
      </c>
    </row>
    <row r="398" spans="1:14">
      <c r="A398" s="194">
        <v>41296.965150462966</v>
      </c>
      <c r="B398" s="195">
        <v>2021</v>
      </c>
      <c r="C398" s="194"/>
      <c r="D398" s="194"/>
      <c r="E398" s="198"/>
      <c r="G398" s="202"/>
      <c r="J398" s="195">
        <v>17</v>
      </c>
      <c r="K398" s="204" t="s">
        <v>11</v>
      </c>
      <c r="L398" s="199">
        <v>3</v>
      </c>
      <c r="M398" s="200">
        <v>33.700000000000003</v>
      </c>
      <c r="N398" s="201">
        <v>19</v>
      </c>
    </row>
    <row r="399" spans="1:14">
      <c r="A399" s="194">
        <v>41275.99722222222</v>
      </c>
      <c r="B399" s="195">
        <v>2021</v>
      </c>
      <c r="C399" s="194"/>
      <c r="D399" s="194"/>
      <c r="E399" s="198"/>
      <c r="G399" s="202"/>
      <c r="J399" s="195">
        <v>17</v>
      </c>
      <c r="K399" s="204" t="s">
        <v>11</v>
      </c>
      <c r="L399" s="199">
        <v>3</v>
      </c>
      <c r="M399" s="200">
        <v>34.4</v>
      </c>
      <c r="N399" s="201">
        <v>19</v>
      </c>
    </row>
    <row r="400" spans="1:14">
      <c r="A400" s="194">
        <v>41279.304837962962</v>
      </c>
      <c r="B400" s="195">
        <v>2021</v>
      </c>
      <c r="C400" s="194"/>
      <c r="D400" s="194"/>
      <c r="E400" s="198"/>
      <c r="G400" s="202"/>
      <c r="J400" s="195">
        <v>17</v>
      </c>
      <c r="K400" s="204" t="s">
        <v>11</v>
      </c>
      <c r="L400" s="199">
        <v>3</v>
      </c>
      <c r="M400" s="200">
        <v>34.6</v>
      </c>
      <c r="N400" s="201">
        <v>19</v>
      </c>
    </row>
    <row r="401" spans="1:14">
      <c r="A401" s="194">
        <v>41280.120127314818</v>
      </c>
      <c r="B401" s="195">
        <v>2021</v>
      </c>
      <c r="C401" s="194"/>
      <c r="D401" s="194"/>
      <c r="E401" s="198"/>
      <c r="G401" s="202"/>
      <c r="J401" s="195">
        <v>17</v>
      </c>
      <c r="K401" s="204" t="s">
        <v>11</v>
      </c>
      <c r="L401" s="199">
        <v>3</v>
      </c>
      <c r="M401" s="200">
        <v>34.700000000000003</v>
      </c>
      <c r="N401" s="201">
        <v>19</v>
      </c>
    </row>
    <row r="402" spans="1:14">
      <c r="A402" s="194">
        <v>41279.224976851852</v>
      </c>
      <c r="B402" s="195">
        <v>2021</v>
      </c>
      <c r="C402" s="194"/>
      <c r="D402" s="194"/>
      <c r="E402" s="198"/>
      <c r="G402" s="202"/>
      <c r="J402" s="195">
        <v>17</v>
      </c>
      <c r="K402" s="204" t="s">
        <v>11</v>
      </c>
      <c r="L402" s="199">
        <v>1</v>
      </c>
      <c r="M402" s="200">
        <v>34.9</v>
      </c>
      <c r="N402" s="201">
        <v>19</v>
      </c>
    </row>
    <row r="403" spans="1:14">
      <c r="A403" s="194">
        <v>41287.818715277775</v>
      </c>
      <c r="B403" s="195">
        <v>2021</v>
      </c>
      <c r="C403" s="194"/>
      <c r="D403" s="194"/>
      <c r="E403" s="198"/>
      <c r="G403" s="202"/>
      <c r="J403" s="195">
        <v>17</v>
      </c>
      <c r="K403" s="204" t="s">
        <v>11</v>
      </c>
      <c r="L403" s="199">
        <v>3</v>
      </c>
      <c r="M403" s="200">
        <v>34.700000000000003</v>
      </c>
      <c r="N403" s="201">
        <v>20</v>
      </c>
    </row>
    <row r="404" spans="1:14">
      <c r="A404" s="194">
        <v>41276.843761574077</v>
      </c>
      <c r="B404" s="195">
        <v>2021</v>
      </c>
      <c r="C404" s="194"/>
      <c r="D404" s="194"/>
      <c r="E404" s="198"/>
      <c r="G404" s="202"/>
      <c r="J404" s="195">
        <v>17</v>
      </c>
      <c r="K404" s="204" t="s">
        <v>11</v>
      </c>
      <c r="L404" s="199">
        <v>2</v>
      </c>
      <c r="M404" s="200">
        <v>36.4</v>
      </c>
      <c r="N404" s="201">
        <v>20</v>
      </c>
    </row>
    <row r="405" spans="1:14">
      <c r="A405" s="194">
        <v>41279.714583333334</v>
      </c>
      <c r="B405" s="195">
        <v>2021</v>
      </c>
      <c r="C405" s="194"/>
      <c r="D405" s="194"/>
      <c r="E405" s="198"/>
      <c r="G405" s="202"/>
      <c r="J405" s="195">
        <v>17</v>
      </c>
      <c r="K405" s="204" t="s">
        <v>11</v>
      </c>
      <c r="L405" s="199">
        <v>3</v>
      </c>
      <c r="M405" s="200">
        <v>36.299999999999997</v>
      </c>
      <c r="N405" s="201">
        <v>21</v>
      </c>
    </row>
    <row r="406" spans="1:14">
      <c r="A406" s="194">
        <v>41300.712141203701</v>
      </c>
      <c r="B406" s="195">
        <v>2021</v>
      </c>
      <c r="C406" s="194"/>
      <c r="D406" s="194"/>
      <c r="E406" s="198"/>
      <c r="G406" s="202"/>
      <c r="J406" s="195">
        <v>17</v>
      </c>
      <c r="K406" s="204" t="s">
        <v>11</v>
      </c>
      <c r="L406" s="199">
        <v>1</v>
      </c>
      <c r="M406" s="200">
        <v>15.8</v>
      </c>
      <c r="N406" s="201">
        <v>22</v>
      </c>
    </row>
    <row r="407" spans="1:14">
      <c r="A407" s="194">
        <v>41291.914988425924</v>
      </c>
      <c r="B407" s="195">
        <v>2021</v>
      </c>
      <c r="C407" s="194"/>
      <c r="D407" s="194"/>
      <c r="E407" s="198"/>
      <c r="G407" s="202"/>
      <c r="J407" s="195">
        <v>17</v>
      </c>
      <c r="K407" s="204" t="s">
        <v>11</v>
      </c>
      <c r="L407" s="199">
        <v>1</v>
      </c>
      <c r="M407" s="200">
        <v>15.4</v>
      </c>
      <c r="N407" s="201">
        <v>23</v>
      </c>
    </row>
    <row r="408" spans="1:14">
      <c r="A408" s="194">
        <v>41288.983287037037</v>
      </c>
      <c r="B408" s="195">
        <v>2021</v>
      </c>
      <c r="C408" s="194"/>
      <c r="D408" s="194"/>
      <c r="E408" s="198"/>
      <c r="G408" s="202"/>
      <c r="J408" s="195">
        <v>17</v>
      </c>
      <c r="K408" s="204" t="s">
        <v>11</v>
      </c>
      <c r="L408" s="199">
        <v>3</v>
      </c>
      <c r="M408" s="200">
        <v>34.4</v>
      </c>
      <c r="N408" s="201">
        <v>25</v>
      </c>
    </row>
    <row r="409" spans="1:14">
      <c r="A409" s="194">
        <v>41289.979131944441</v>
      </c>
      <c r="B409" s="195">
        <v>2021</v>
      </c>
      <c r="C409" s="194"/>
      <c r="D409" s="194"/>
      <c r="E409" s="198"/>
      <c r="G409" s="202"/>
      <c r="J409" s="195">
        <v>17</v>
      </c>
      <c r="K409" s="204" t="s">
        <v>11</v>
      </c>
      <c r="L409" s="199">
        <v>3</v>
      </c>
      <c r="M409" s="200">
        <v>36.1</v>
      </c>
      <c r="N409" s="201">
        <v>27</v>
      </c>
    </row>
    <row r="410" spans="1:14">
      <c r="A410" s="194">
        <v>41277.174907407411</v>
      </c>
      <c r="B410" s="195">
        <v>2021</v>
      </c>
      <c r="C410" s="194"/>
      <c r="D410" s="194"/>
      <c r="E410" s="198"/>
      <c r="G410" s="202"/>
      <c r="J410" s="195">
        <v>17</v>
      </c>
      <c r="K410" s="204" t="s">
        <v>11</v>
      </c>
      <c r="L410" s="199">
        <v>3</v>
      </c>
      <c r="M410" s="200">
        <v>28.1</v>
      </c>
      <c r="N410" s="201">
        <v>38</v>
      </c>
    </row>
    <row r="411" spans="1:14">
      <c r="A411" s="194">
        <v>41278.207638888889</v>
      </c>
      <c r="B411" s="195">
        <v>2021</v>
      </c>
      <c r="C411" s="194"/>
      <c r="D411" s="194"/>
      <c r="E411" s="196" t="s">
        <v>1838</v>
      </c>
      <c r="G411" s="202"/>
      <c r="J411" s="195">
        <v>17</v>
      </c>
      <c r="K411" s="204" t="s">
        <v>11</v>
      </c>
      <c r="L411" s="199">
        <v>2</v>
      </c>
      <c r="M411" s="200">
        <v>36.299999999999997</v>
      </c>
      <c r="N411" s="201">
        <v>42</v>
      </c>
    </row>
    <row r="412" spans="1:14">
      <c r="A412" s="194">
        <v>41275.416585648149</v>
      </c>
      <c r="B412" s="195">
        <v>2021</v>
      </c>
      <c r="C412" s="194"/>
      <c r="D412" s="194"/>
      <c r="E412" s="198"/>
      <c r="G412" s="202"/>
      <c r="J412" s="195">
        <v>18</v>
      </c>
      <c r="K412" s="204" t="s">
        <v>5</v>
      </c>
      <c r="L412" s="199">
        <v>1</v>
      </c>
      <c r="M412" s="200">
        <v>32.5</v>
      </c>
      <c r="N412" s="201">
        <v>0</v>
      </c>
    </row>
    <row r="413" spans="1:14">
      <c r="A413" s="194">
        <v>41285.81554398148</v>
      </c>
      <c r="B413" s="195">
        <v>2021</v>
      </c>
      <c r="C413" s="194"/>
      <c r="D413" s="194"/>
      <c r="E413" s="198"/>
      <c r="G413" s="202"/>
      <c r="J413" s="195">
        <v>18</v>
      </c>
      <c r="K413" s="204" t="s">
        <v>5</v>
      </c>
      <c r="L413" s="199">
        <v>3</v>
      </c>
      <c r="M413" s="200">
        <v>0.8</v>
      </c>
      <c r="N413" s="201">
        <v>16</v>
      </c>
    </row>
    <row r="414" spans="1:14">
      <c r="A414" s="194">
        <v>41296.979710648149</v>
      </c>
      <c r="B414" s="195">
        <v>2021</v>
      </c>
      <c r="C414" s="194"/>
      <c r="D414" s="194"/>
      <c r="E414" s="198"/>
      <c r="G414" s="202"/>
      <c r="J414" s="195">
        <v>18</v>
      </c>
      <c r="K414" s="204" t="s">
        <v>5</v>
      </c>
      <c r="L414" s="199">
        <v>1</v>
      </c>
      <c r="M414" s="200">
        <v>31.4</v>
      </c>
      <c r="N414" s="201">
        <v>16</v>
      </c>
    </row>
    <row r="415" spans="1:14">
      <c r="A415" s="194">
        <v>41285.840532407405</v>
      </c>
      <c r="B415" s="195">
        <v>2021</v>
      </c>
      <c r="C415" s="194"/>
      <c r="D415" s="194"/>
      <c r="E415" s="198"/>
      <c r="G415" s="202"/>
      <c r="J415" s="195">
        <v>18</v>
      </c>
      <c r="K415" s="204" t="s">
        <v>5</v>
      </c>
      <c r="L415" s="199">
        <v>3</v>
      </c>
      <c r="M415" s="200">
        <v>0.5</v>
      </c>
      <c r="N415" s="201">
        <v>18</v>
      </c>
    </row>
    <row r="416" spans="1:14">
      <c r="A416" s="194">
        <v>41282.221215277779</v>
      </c>
      <c r="B416" s="195">
        <v>2021</v>
      </c>
      <c r="C416" s="194"/>
      <c r="D416" s="194"/>
      <c r="E416" s="198"/>
      <c r="G416" s="202"/>
      <c r="J416" s="195">
        <v>18</v>
      </c>
      <c r="K416" s="204" t="s">
        <v>5</v>
      </c>
      <c r="L416" s="199">
        <v>3</v>
      </c>
      <c r="M416" s="200">
        <v>10.3</v>
      </c>
      <c r="N416" s="201">
        <v>18</v>
      </c>
    </row>
    <row r="417" spans="1:14">
      <c r="A417" s="194">
        <v>41298.045706018522</v>
      </c>
      <c r="B417" s="195">
        <v>2021</v>
      </c>
      <c r="C417" s="194"/>
      <c r="D417" s="194"/>
      <c r="E417" s="198"/>
      <c r="G417" s="202"/>
      <c r="J417" s="195">
        <v>18</v>
      </c>
      <c r="K417" s="204" t="s">
        <v>5</v>
      </c>
      <c r="L417" s="199">
        <v>2</v>
      </c>
      <c r="M417" s="200">
        <v>33.4</v>
      </c>
      <c r="N417" s="201">
        <v>18</v>
      </c>
    </row>
    <row r="418" spans="1:14">
      <c r="A418" s="194">
        <v>41296.140868055554</v>
      </c>
      <c r="B418" s="195">
        <v>2021</v>
      </c>
      <c r="C418" s="194"/>
      <c r="D418" s="194"/>
      <c r="E418" s="198"/>
      <c r="G418" s="202"/>
      <c r="J418" s="195">
        <v>18</v>
      </c>
      <c r="K418" s="204" t="s">
        <v>5</v>
      </c>
      <c r="L418" s="199">
        <v>2</v>
      </c>
      <c r="M418" s="200">
        <v>34.700000000000003</v>
      </c>
      <c r="N418" s="201">
        <v>18</v>
      </c>
    </row>
    <row r="419" spans="1:14">
      <c r="A419" s="194">
        <v>41277.69809027778</v>
      </c>
      <c r="B419" s="195">
        <v>2021</v>
      </c>
      <c r="C419" s="194"/>
      <c r="D419" s="194"/>
      <c r="E419" s="198"/>
      <c r="G419" s="202"/>
      <c r="J419" s="195">
        <v>18</v>
      </c>
      <c r="K419" s="204" t="s">
        <v>5</v>
      </c>
      <c r="L419" s="199">
        <v>2</v>
      </c>
      <c r="M419" s="200">
        <v>0.6</v>
      </c>
      <c r="N419" s="201">
        <v>20</v>
      </c>
    </row>
    <row r="420" spans="1:14">
      <c r="A420" s="194">
        <v>41278.77952546296</v>
      </c>
      <c r="B420" s="195">
        <v>2021</v>
      </c>
      <c r="C420" s="194"/>
      <c r="D420" s="194"/>
      <c r="E420" s="198"/>
      <c r="G420" s="202"/>
      <c r="J420" s="195">
        <v>18</v>
      </c>
      <c r="K420" s="204" t="s">
        <v>5</v>
      </c>
      <c r="L420" s="199">
        <v>3</v>
      </c>
      <c r="M420" s="200">
        <v>6.9</v>
      </c>
      <c r="N420" s="201">
        <v>20</v>
      </c>
    </row>
    <row r="421" spans="1:14">
      <c r="A421" s="194">
        <v>41301.559201388889</v>
      </c>
      <c r="B421" s="195">
        <v>2021</v>
      </c>
      <c r="C421" s="194"/>
      <c r="D421" s="194"/>
      <c r="E421" s="198"/>
      <c r="G421" s="202"/>
      <c r="J421" s="195">
        <v>18</v>
      </c>
      <c r="K421" s="204" t="s">
        <v>5</v>
      </c>
      <c r="L421" s="199">
        <v>3</v>
      </c>
      <c r="M421" s="200">
        <v>2.6</v>
      </c>
      <c r="N421" s="201">
        <v>22</v>
      </c>
    </row>
    <row r="422" spans="1:14">
      <c r="A422" s="194">
        <v>41280.933310185188</v>
      </c>
      <c r="B422" s="195">
        <v>2021</v>
      </c>
      <c r="C422" s="194"/>
      <c r="D422" s="194"/>
      <c r="E422" s="198"/>
      <c r="G422" s="202"/>
      <c r="J422" s="195">
        <v>18</v>
      </c>
      <c r="K422" s="204" t="s">
        <v>5</v>
      </c>
      <c r="L422" s="199">
        <v>2</v>
      </c>
      <c r="M422" s="200">
        <v>34.4</v>
      </c>
      <c r="N422" s="201">
        <v>22</v>
      </c>
    </row>
    <row r="423" spans="1:14">
      <c r="A423" s="194">
        <v>41278.839259259257</v>
      </c>
      <c r="B423" s="195">
        <v>2021</v>
      </c>
      <c r="C423" s="194"/>
      <c r="D423" s="194"/>
      <c r="E423" s="198"/>
      <c r="G423" s="202"/>
      <c r="J423" s="195">
        <v>18</v>
      </c>
      <c r="K423" s="204" t="s">
        <v>5</v>
      </c>
      <c r="L423" s="199">
        <v>3</v>
      </c>
      <c r="M423" s="200">
        <v>8.4</v>
      </c>
      <c r="N423" s="201">
        <v>23</v>
      </c>
    </row>
    <row r="424" spans="1:14">
      <c r="A424" s="194">
        <v>41294.792962962965</v>
      </c>
      <c r="B424" s="195">
        <v>2021</v>
      </c>
      <c r="C424" s="194"/>
      <c r="D424" s="194"/>
      <c r="E424" s="198"/>
      <c r="G424" s="202"/>
      <c r="J424" s="195">
        <v>18</v>
      </c>
      <c r="K424" s="204" t="s">
        <v>5</v>
      </c>
      <c r="L424" s="199">
        <v>2</v>
      </c>
      <c r="M424" s="200">
        <v>34.200000000000003</v>
      </c>
      <c r="N424" s="201">
        <v>23</v>
      </c>
    </row>
    <row r="425" spans="1:14">
      <c r="A425" s="194">
        <v>41280.735983796294</v>
      </c>
      <c r="B425" s="195">
        <v>2021</v>
      </c>
      <c r="C425" s="194"/>
      <c r="D425" s="194"/>
      <c r="E425" s="198"/>
      <c r="G425" s="202"/>
      <c r="J425" s="195">
        <v>18</v>
      </c>
      <c r="K425" s="204" t="s">
        <v>5</v>
      </c>
      <c r="L425" s="199">
        <v>3</v>
      </c>
      <c r="M425" s="200">
        <v>25.1</v>
      </c>
      <c r="N425" s="201">
        <v>24</v>
      </c>
    </row>
    <row r="426" spans="1:14">
      <c r="A426" s="194">
        <v>41287.294398148151</v>
      </c>
      <c r="B426" s="195">
        <v>2021</v>
      </c>
      <c r="C426" s="194"/>
      <c r="D426" s="194"/>
      <c r="E426" s="198"/>
      <c r="G426" s="202"/>
      <c r="J426" s="195">
        <v>18</v>
      </c>
      <c r="K426" s="204" t="s">
        <v>5</v>
      </c>
      <c r="L426" s="199">
        <v>3</v>
      </c>
      <c r="M426" s="200">
        <v>33.799999999999997</v>
      </c>
      <c r="N426" s="201">
        <v>27</v>
      </c>
    </row>
    <row r="427" spans="1:14">
      <c r="A427" s="194">
        <v>41278.314756944441</v>
      </c>
      <c r="B427" s="195">
        <v>2021</v>
      </c>
      <c r="C427" s="194"/>
      <c r="D427" s="194"/>
      <c r="E427" s="198"/>
      <c r="G427" s="202"/>
      <c r="J427" s="195">
        <v>18</v>
      </c>
      <c r="K427" s="204" t="s">
        <v>5</v>
      </c>
      <c r="L427" s="199">
        <v>2</v>
      </c>
      <c r="M427" s="200">
        <v>0.9</v>
      </c>
      <c r="N427" s="201">
        <v>29</v>
      </c>
    </row>
    <row r="428" spans="1:14">
      <c r="A428" s="194">
        <v>41287.127025462964</v>
      </c>
      <c r="B428" s="195">
        <v>2021</v>
      </c>
      <c r="C428" s="194"/>
      <c r="D428" s="194"/>
      <c r="E428" s="198"/>
      <c r="G428" s="202"/>
      <c r="J428" s="195">
        <v>18</v>
      </c>
      <c r="K428" s="204" t="s">
        <v>5</v>
      </c>
      <c r="L428" s="199">
        <v>3</v>
      </c>
      <c r="M428" s="200">
        <v>32.700000000000003</v>
      </c>
      <c r="N428" s="201">
        <v>34</v>
      </c>
    </row>
    <row r="429" spans="1:14">
      <c r="A429" s="194">
        <v>41299.691099537034</v>
      </c>
      <c r="B429" s="195">
        <v>2021</v>
      </c>
      <c r="C429" s="194"/>
      <c r="D429" s="194"/>
      <c r="E429" s="198"/>
      <c r="G429" s="202"/>
      <c r="J429" s="195">
        <v>18</v>
      </c>
      <c r="K429" s="204" t="s">
        <v>5</v>
      </c>
      <c r="L429" s="199">
        <v>1</v>
      </c>
      <c r="M429" s="200">
        <v>7.6</v>
      </c>
      <c r="N429" s="201">
        <v>35</v>
      </c>
    </row>
    <row r="430" spans="1:14">
      <c r="A430" s="194">
        <v>41282.589155092595</v>
      </c>
      <c r="B430" s="195">
        <v>2021</v>
      </c>
      <c r="C430" s="194"/>
      <c r="D430" s="194"/>
      <c r="E430" s="196" t="s">
        <v>1964</v>
      </c>
      <c r="G430" s="202"/>
      <c r="J430" s="195">
        <v>24</v>
      </c>
      <c r="K430" s="204" t="s">
        <v>25</v>
      </c>
      <c r="L430" s="199">
        <v>3</v>
      </c>
      <c r="M430" s="200">
        <v>0.7</v>
      </c>
      <c r="N430" s="201">
        <v>20</v>
      </c>
    </row>
    <row r="431" spans="1:14">
      <c r="A431" s="194">
        <v>41287.747870370367</v>
      </c>
      <c r="B431" s="195">
        <v>2021</v>
      </c>
      <c r="C431" s="194"/>
      <c r="D431" s="194"/>
      <c r="E431" s="196" t="s">
        <v>2136</v>
      </c>
      <c r="G431" s="202"/>
      <c r="J431" s="195">
        <v>24</v>
      </c>
      <c r="K431" s="204" t="s">
        <v>25</v>
      </c>
      <c r="L431" s="199">
        <v>2</v>
      </c>
      <c r="M431" s="200">
        <v>33.4</v>
      </c>
      <c r="N431" s="201">
        <v>26</v>
      </c>
    </row>
    <row r="432" spans="1:14">
      <c r="A432" s="194">
        <v>41284.394583333335</v>
      </c>
      <c r="B432" s="195">
        <v>2021</v>
      </c>
      <c r="C432" s="194"/>
      <c r="D432" s="194"/>
      <c r="E432" s="196" t="s">
        <v>2025</v>
      </c>
      <c r="G432" s="202"/>
      <c r="J432" s="195">
        <v>24</v>
      </c>
      <c r="K432" s="204" t="s">
        <v>25</v>
      </c>
      <c r="L432" s="199">
        <v>2</v>
      </c>
      <c r="M432" s="200">
        <v>0.3</v>
      </c>
      <c r="N432" s="201">
        <v>33</v>
      </c>
    </row>
    <row r="433" spans="1:14">
      <c r="A433" s="194">
        <v>41288.97148148148</v>
      </c>
      <c r="B433" s="195">
        <v>2021</v>
      </c>
      <c r="C433" s="194"/>
      <c r="D433" s="194"/>
      <c r="E433" s="196" t="s">
        <v>1602</v>
      </c>
      <c r="G433" s="202"/>
      <c r="J433" s="195">
        <v>24</v>
      </c>
      <c r="K433" s="204" t="s">
        <v>25</v>
      </c>
      <c r="L433" s="199">
        <v>2</v>
      </c>
      <c r="M433" s="200">
        <v>34.5</v>
      </c>
      <c r="N433" s="201">
        <v>34</v>
      </c>
    </row>
    <row r="434" spans="1:14">
      <c r="A434" s="194">
        <v>41283.458587962959</v>
      </c>
      <c r="B434" s="195">
        <v>2021</v>
      </c>
      <c r="C434" s="194"/>
      <c r="D434" s="194"/>
      <c r="E434" s="196" t="s">
        <v>1842</v>
      </c>
      <c r="G434" s="202"/>
      <c r="J434" s="195">
        <v>29</v>
      </c>
      <c r="K434" s="204" t="s">
        <v>39</v>
      </c>
      <c r="L434" s="199">
        <v>1</v>
      </c>
      <c r="M434" s="200">
        <v>0.5</v>
      </c>
      <c r="N434" s="201">
        <v>19</v>
      </c>
    </row>
    <row r="435" spans="1:14">
      <c r="A435" s="194">
        <v>41282.464849537035</v>
      </c>
      <c r="B435" s="195">
        <v>2021</v>
      </c>
      <c r="C435" s="194"/>
      <c r="D435" s="194"/>
      <c r="E435" s="196" t="s">
        <v>2139</v>
      </c>
      <c r="G435" s="202"/>
      <c r="J435" s="195">
        <v>29</v>
      </c>
      <c r="K435" s="204" t="s">
        <v>39</v>
      </c>
      <c r="L435" s="199">
        <v>2</v>
      </c>
      <c r="M435" s="200">
        <v>0.4</v>
      </c>
      <c r="N435" s="201">
        <v>24</v>
      </c>
    </row>
    <row r="436" spans="1:14">
      <c r="A436" s="194">
        <v>41291.69804398148</v>
      </c>
      <c r="B436" s="195">
        <v>2021</v>
      </c>
      <c r="C436" s="194"/>
      <c r="D436" s="194"/>
      <c r="E436" s="196" t="s">
        <v>1771</v>
      </c>
      <c r="G436" s="202"/>
      <c r="J436" s="195">
        <v>29</v>
      </c>
      <c r="K436" s="204" t="s">
        <v>39</v>
      </c>
      <c r="L436" s="199">
        <v>2</v>
      </c>
      <c r="M436" s="200">
        <v>0.7</v>
      </c>
      <c r="N436" s="201">
        <v>24</v>
      </c>
    </row>
    <row r="437" spans="1:14">
      <c r="A437" s="194">
        <v>41288.055509259262</v>
      </c>
      <c r="B437" s="195">
        <v>2021</v>
      </c>
      <c r="C437" s="194"/>
      <c r="D437" s="194"/>
      <c r="E437" s="196" t="s">
        <v>1808</v>
      </c>
      <c r="G437" s="202"/>
      <c r="J437" s="195">
        <v>29</v>
      </c>
      <c r="K437" s="204" t="s">
        <v>39</v>
      </c>
      <c r="L437" s="199">
        <v>2</v>
      </c>
      <c r="M437" s="200">
        <v>33</v>
      </c>
      <c r="N437" s="201">
        <v>25</v>
      </c>
    </row>
    <row r="438" spans="1:14">
      <c r="A438" s="194">
        <v>41291.31890046296</v>
      </c>
      <c r="B438" s="195">
        <v>2021</v>
      </c>
      <c r="C438" s="194"/>
      <c r="D438" s="194"/>
      <c r="E438" s="198"/>
      <c r="G438" s="202"/>
      <c r="J438" s="195">
        <v>4400</v>
      </c>
      <c r="K438" s="204" t="s">
        <v>37</v>
      </c>
      <c r="L438" s="199">
        <v>2</v>
      </c>
      <c r="M438" s="200">
        <v>2.2000000000000002</v>
      </c>
      <c r="N438" s="201">
        <v>17</v>
      </c>
    </row>
    <row r="439" spans="1:14">
      <c r="A439" s="194">
        <v>41285.414722222224</v>
      </c>
      <c r="B439" s="195">
        <v>2021</v>
      </c>
      <c r="C439" s="194"/>
      <c r="D439" s="194"/>
      <c r="E439" s="198"/>
      <c r="G439" s="202"/>
      <c r="J439" s="195">
        <v>4400</v>
      </c>
      <c r="K439" s="204" t="s">
        <v>37</v>
      </c>
      <c r="L439" s="199">
        <v>3</v>
      </c>
      <c r="M439" s="200">
        <v>0.5</v>
      </c>
      <c r="N439" s="201">
        <v>23</v>
      </c>
    </row>
    <row r="440" spans="1:14">
      <c r="A440" s="194">
        <v>41302.368090277778</v>
      </c>
      <c r="B440" s="195">
        <v>2021</v>
      </c>
      <c r="C440" s="194"/>
      <c r="D440" s="194"/>
      <c r="E440" s="198"/>
      <c r="G440" s="202"/>
      <c r="J440" s="195">
        <v>6100</v>
      </c>
      <c r="K440" s="204" t="s">
        <v>38</v>
      </c>
      <c r="L440" s="199">
        <v>3</v>
      </c>
      <c r="M440" s="200">
        <v>0.4</v>
      </c>
      <c r="N440" s="201">
        <v>26</v>
      </c>
    </row>
    <row r="441" spans="1:14">
      <c r="A441" s="194">
        <v>41296.616273148145</v>
      </c>
      <c r="B441" s="195">
        <v>2024</v>
      </c>
      <c r="C441" s="194"/>
      <c r="D441" s="194"/>
      <c r="E441" s="196" t="s">
        <v>342</v>
      </c>
      <c r="F441" s="195">
        <v>456</v>
      </c>
      <c r="G441" s="197" t="s">
        <v>141</v>
      </c>
      <c r="H441" s="197" t="s">
        <v>223</v>
      </c>
      <c r="I441" s="196" t="s">
        <v>226</v>
      </c>
      <c r="J441" s="195">
        <v>1</v>
      </c>
      <c r="K441" s="204" t="s">
        <v>224</v>
      </c>
      <c r="L441" s="199">
        <v>2</v>
      </c>
      <c r="M441" s="200">
        <v>0.5</v>
      </c>
      <c r="N441" s="201">
        <v>16</v>
      </c>
    </row>
    <row r="442" spans="1:14">
      <c r="A442" s="194">
        <v>41288.643784722219</v>
      </c>
      <c r="B442" s="195">
        <v>2024</v>
      </c>
      <c r="C442" s="194"/>
      <c r="D442" s="194"/>
      <c r="E442" s="196" t="s">
        <v>308</v>
      </c>
      <c r="F442" s="195">
        <v>456</v>
      </c>
      <c r="G442" s="197" t="s">
        <v>141</v>
      </c>
      <c r="H442" s="197" t="s">
        <v>223</v>
      </c>
      <c r="I442" s="196" t="s">
        <v>226</v>
      </c>
      <c r="J442" s="195">
        <v>1</v>
      </c>
      <c r="K442" s="204" t="s">
        <v>224</v>
      </c>
      <c r="L442" s="199">
        <v>2</v>
      </c>
      <c r="M442" s="200">
        <v>0.3</v>
      </c>
      <c r="N442" s="201">
        <v>17</v>
      </c>
    </row>
    <row r="443" spans="1:14">
      <c r="A443" s="194">
        <v>41299.851064814815</v>
      </c>
      <c r="B443" s="195">
        <v>2024</v>
      </c>
      <c r="C443" s="194"/>
      <c r="D443" s="194"/>
      <c r="E443" s="196" t="s">
        <v>356</v>
      </c>
      <c r="F443" s="195">
        <v>456</v>
      </c>
      <c r="G443" s="197" t="s">
        <v>141</v>
      </c>
      <c r="H443" s="197" t="s">
        <v>223</v>
      </c>
      <c r="I443" s="196" t="s">
        <v>226</v>
      </c>
      <c r="J443" s="195">
        <v>1</v>
      </c>
      <c r="K443" s="204" t="s">
        <v>224</v>
      </c>
      <c r="L443" s="199">
        <v>1</v>
      </c>
      <c r="M443" s="200">
        <v>0.3</v>
      </c>
      <c r="N443" s="201">
        <v>17</v>
      </c>
    </row>
    <row r="444" spans="1:14">
      <c r="A444" s="194">
        <v>41302.52611111111</v>
      </c>
      <c r="B444" s="195">
        <v>2024</v>
      </c>
      <c r="C444" s="194"/>
      <c r="D444" s="194"/>
      <c r="E444" s="196" t="s">
        <v>375</v>
      </c>
      <c r="F444" s="195">
        <v>456</v>
      </c>
      <c r="G444" s="197" t="s">
        <v>141</v>
      </c>
      <c r="H444" s="197" t="s">
        <v>223</v>
      </c>
      <c r="I444" s="196" t="s">
        <v>226</v>
      </c>
      <c r="J444" s="195">
        <v>1</v>
      </c>
      <c r="K444" s="204" t="s">
        <v>224</v>
      </c>
      <c r="L444" s="199">
        <v>1</v>
      </c>
      <c r="M444" s="200">
        <v>0.4</v>
      </c>
      <c r="N444" s="201">
        <v>24</v>
      </c>
    </row>
    <row r="445" spans="1:14">
      <c r="A445" s="194">
        <v>41293.786365740743</v>
      </c>
      <c r="B445" s="195">
        <v>2024</v>
      </c>
      <c r="C445" s="194"/>
      <c r="D445" s="194"/>
      <c r="E445" s="196" t="s">
        <v>333</v>
      </c>
      <c r="F445" s="195">
        <v>456</v>
      </c>
      <c r="G445" s="197" t="s">
        <v>141</v>
      </c>
      <c r="H445" s="197" t="s">
        <v>223</v>
      </c>
      <c r="I445" s="196" t="s">
        <v>226</v>
      </c>
      <c r="J445" s="195">
        <v>1</v>
      </c>
      <c r="K445" s="204" t="s">
        <v>224</v>
      </c>
      <c r="L445" s="199">
        <v>1</v>
      </c>
      <c r="M445" s="200">
        <v>0.4</v>
      </c>
      <c r="N445" s="201">
        <v>38</v>
      </c>
    </row>
    <row r="446" spans="1:14">
      <c r="A446" s="194">
        <v>41300.016342592593</v>
      </c>
      <c r="B446" s="195">
        <v>2024</v>
      </c>
      <c r="C446" s="194"/>
      <c r="D446" s="194"/>
      <c r="E446" s="196" t="s">
        <v>369</v>
      </c>
      <c r="F446" s="195">
        <v>456</v>
      </c>
      <c r="G446" s="197" t="s">
        <v>141</v>
      </c>
      <c r="H446" s="197" t="s">
        <v>223</v>
      </c>
      <c r="I446" s="196" t="s">
        <v>226</v>
      </c>
      <c r="J446" s="195">
        <v>1</v>
      </c>
      <c r="K446" s="204" t="s">
        <v>224</v>
      </c>
      <c r="L446" s="199">
        <v>2</v>
      </c>
      <c r="M446" s="200">
        <v>0.4</v>
      </c>
      <c r="N446" s="201">
        <v>39</v>
      </c>
    </row>
    <row r="447" spans="1:14">
      <c r="A447" s="194">
        <v>41301.51221064815</v>
      </c>
      <c r="B447" s="195">
        <v>2024</v>
      </c>
      <c r="C447" s="194"/>
      <c r="D447" s="194"/>
      <c r="E447" s="196" t="s">
        <v>1367</v>
      </c>
      <c r="F447" s="195">
        <v>800</v>
      </c>
      <c r="G447" s="197" t="s">
        <v>470</v>
      </c>
      <c r="H447" s="197" t="s">
        <v>471</v>
      </c>
      <c r="J447" s="195">
        <v>1</v>
      </c>
      <c r="K447" s="204" t="s">
        <v>224</v>
      </c>
      <c r="L447" s="199">
        <v>2</v>
      </c>
      <c r="M447" s="200">
        <v>0.9</v>
      </c>
      <c r="N447" s="201">
        <v>15</v>
      </c>
    </row>
    <row r="448" spans="1:14">
      <c r="A448" s="194">
        <v>41284.802847222221</v>
      </c>
      <c r="B448" s="195">
        <v>2024</v>
      </c>
      <c r="C448" s="194"/>
      <c r="D448" s="194"/>
      <c r="E448" s="196" t="s">
        <v>823</v>
      </c>
      <c r="F448" s="195">
        <v>800</v>
      </c>
      <c r="G448" s="197" t="s">
        <v>470</v>
      </c>
      <c r="H448" s="197" t="s">
        <v>471</v>
      </c>
      <c r="J448" s="195">
        <v>1</v>
      </c>
      <c r="K448" s="204" t="s">
        <v>224</v>
      </c>
      <c r="L448" s="199">
        <v>2</v>
      </c>
      <c r="M448" s="200">
        <v>0.3</v>
      </c>
      <c r="N448" s="201">
        <v>16</v>
      </c>
    </row>
    <row r="449" spans="1:14">
      <c r="A449" s="194">
        <v>41292.421747685185</v>
      </c>
      <c r="B449" s="195">
        <v>2024</v>
      </c>
      <c r="C449" s="194"/>
      <c r="D449" s="194"/>
      <c r="E449" s="196" t="s">
        <v>1139</v>
      </c>
      <c r="F449" s="195">
        <v>800</v>
      </c>
      <c r="G449" s="197" t="s">
        <v>470</v>
      </c>
      <c r="H449" s="197" t="s">
        <v>471</v>
      </c>
      <c r="J449" s="195">
        <v>1</v>
      </c>
      <c r="K449" s="204" t="s">
        <v>224</v>
      </c>
      <c r="L449" s="199">
        <v>2</v>
      </c>
      <c r="M449" s="200">
        <v>0.4</v>
      </c>
      <c r="N449" s="201">
        <v>16</v>
      </c>
    </row>
    <row r="450" spans="1:14">
      <c r="A450" s="194">
        <v>41304.413530092592</v>
      </c>
      <c r="B450" s="195">
        <v>2024</v>
      </c>
      <c r="C450" s="194"/>
      <c r="D450" s="194"/>
      <c r="E450" s="196" t="s">
        <v>1530</v>
      </c>
      <c r="F450" s="195">
        <v>800</v>
      </c>
      <c r="G450" s="197" t="s">
        <v>470</v>
      </c>
      <c r="H450" s="197" t="s">
        <v>471</v>
      </c>
      <c r="J450" s="195">
        <v>1</v>
      </c>
      <c r="K450" s="204" t="s">
        <v>224</v>
      </c>
      <c r="L450" s="199">
        <v>2</v>
      </c>
      <c r="M450" s="200">
        <v>0.6</v>
      </c>
      <c r="N450" s="201">
        <v>16</v>
      </c>
    </row>
    <row r="451" spans="1:14">
      <c r="A451" s="194">
        <v>41291.652187500003</v>
      </c>
      <c r="B451" s="195">
        <v>2024</v>
      </c>
      <c r="C451" s="194"/>
      <c r="D451" s="194"/>
      <c r="E451" s="196" t="s">
        <v>1087</v>
      </c>
      <c r="F451" s="195">
        <v>800</v>
      </c>
      <c r="G451" s="197" t="s">
        <v>470</v>
      </c>
      <c r="H451" s="197" t="s">
        <v>471</v>
      </c>
      <c r="J451" s="195">
        <v>1</v>
      </c>
      <c r="K451" s="204" t="s">
        <v>224</v>
      </c>
      <c r="L451" s="199">
        <v>2</v>
      </c>
      <c r="M451" s="200">
        <v>0.9</v>
      </c>
      <c r="N451" s="201">
        <v>16</v>
      </c>
    </row>
    <row r="452" spans="1:14">
      <c r="A452" s="194">
        <v>41301.44902777778</v>
      </c>
      <c r="B452" s="195">
        <v>2024</v>
      </c>
      <c r="C452" s="194"/>
      <c r="D452" s="194"/>
      <c r="E452" s="196" t="s">
        <v>1364</v>
      </c>
      <c r="F452" s="195">
        <v>800</v>
      </c>
      <c r="G452" s="197" t="s">
        <v>470</v>
      </c>
      <c r="H452" s="197" t="s">
        <v>471</v>
      </c>
      <c r="J452" s="195">
        <v>1</v>
      </c>
      <c r="K452" s="204" t="s">
        <v>224</v>
      </c>
      <c r="L452" s="199">
        <v>2</v>
      </c>
      <c r="M452" s="200">
        <v>2.6</v>
      </c>
      <c r="N452" s="201">
        <v>16</v>
      </c>
    </row>
    <row r="453" spans="1:14">
      <c r="A453" s="194">
        <v>41282.555578703701</v>
      </c>
      <c r="B453" s="195">
        <v>2024</v>
      </c>
      <c r="C453" s="194"/>
      <c r="D453" s="194"/>
      <c r="E453" s="196" t="s">
        <v>726</v>
      </c>
      <c r="F453" s="195">
        <v>800</v>
      </c>
      <c r="G453" s="197" t="s">
        <v>470</v>
      </c>
      <c r="H453" s="197" t="s">
        <v>471</v>
      </c>
      <c r="J453" s="195">
        <v>1</v>
      </c>
      <c r="K453" s="204" t="s">
        <v>224</v>
      </c>
      <c r="L453" s="199">
        <v>2</v>
      </c>
      <c r="M453" s="200">
        <v>0.3</v>
      </c>
      <c r="N453" s="201">
        <v>17</v>
      </c>
    </row>
    <row r="454" spans="1:14">
      <c r="A454" s="194">
        <v>41296.807256944441</v>
      </c>
      <c r="B454" s="195">
        <v>2024</v>
      </c>
      <c r="C454" s="194"/>
      <c r="D454" s="194"/>
      <c r="E454" s="196" t="s">
        <v>1271</v>
      </c>
      <c r="F454" s="195">
        <v>800</v>
      </c>
      <c r="G454" s="197" t="s">
        <v>470</v>
      </c>
      <c r="H454" s="197" t="s">
        <v>471</v>
      </c>
      <c r="J454" s="195">
        <v>1</v>
      </c>
      <c r="K454" s="204" t="s">
        <v>224</v>
      </c>
      <c r="L454" s="199">
        <v>2</v>
      </c>
      <c r="M454" s="200">
        <v>0.3</v>
      </c>
      <c r="N454" s="201">
        <v>17</v>
      </c>
    </row>
    <row r="455" spans="1:14">
      <c r="A455" s="194">
        <v>41284.434791666667</v>
      </c>
      <c r="B455" s="195">
        <v>2024</v>
      </c>
      <c r="C455" s="194"/>
      <c r="D455" s="194"/>
      <c r="E455" s="196" t="s">
        <v>822</v>
      </c>
      <c r="F455" s="195">
        <v>800</v>
      </c>
      <c r="G455" s="197" t="s">
        <v>470</v>
      </c>
      <c r="H455" s="197" t="s">
        <v>471</v>
      </c>
      <c r="J455" s="195">
        <v>1</v>
      </c>
      <c r="K455" s="204" t="s">
        <v>224</v>
      </c>
      <c r="L455" s="199">
        <v>2</v>
      </c>
      <c r="M455" s="200">
        <v>0.9</v>
      </c>
      <c r="N455" s="201">
        <v>17</v>
      </c>
    </row>
    <row r="456" spans="1:14">
      <c r="A456" s="194">
        <v>41304.544895833336</v>
      </c>
      <c r="B456" s="195">
        <v>2024</v>
      </c>
      <c r="C456" s="194"/>
      <c r="D456" s="194"/>
      <c r="E456" s="196" t="s">
        <v>1531</v>
      </c>
      <c r="F456" s="195">
        <v>800</v>
      </c>
      <c r="G456" s="197" t="s">
        <v>470</v>
      </c>
      <c r="H456" s="197" t="s">
        <v>471</v>
      </c>
      <c r="J456" s="195">
        <v>1</v>
      </c>
      <c r="K456" s="204" t="s">
        <v>224</v>
      </c>
      <c r="L456" s="199">
        <v>2</v>
      </c>
      <c r="M456" s="200">
        <v>0.4</v>
      </c>
      <c r="N456" s="201">
        <v>18</v>
      </c>
    </row>
    <row r="457" spans="1:14">
      <c r="A457" s="194">
        <v>41301.48164351852</v>
      </c>
      <c r="B457" s="195">
        <v>2024</v>
      </c>
      <c r="C457" s="194"/>
      <c r="D457" s="194"/>
      <c r="E457" s="196" t="s">
        <v>1366</v>
      </c>
      <c r="F457" s="195">
        <v>800</v>
      </c>
      <c r="G457" s="197" t="s">
        <v>470</v>
      </c>
      <c r="H457" s="197" t="s">
        <v>471</v>
      </c>
      <c r="J457" s="195">
        <v>1</v>
      </c>
      <c r="K457" s="204" t="s">
        <v>224</v>
      </c>
      <c r="L457" s="199">
        <v>2</v>
      </c>
      <c r="M457" s="200">
        <v>0.5</v>
      </c>
      <c r="N457" s="201">
        <v>18</v>
      </c>
    </row>
    <row r="458" spans="1:14">
      <c r="A458" s="194">
        <v>41305.557430555556</v>
      </c>
      <c r="B458" s="195">
        <v>2024</v>
      </c>
      <c r="C458" s="194"/>
      <c r="D458" s="194"/>
      <c r="E458" s="196" t="s">
        <v>1563</v>
      </c>
      <c r="F458" s="195">
        <v>800</v>
      </c>
      <c r="G458" s="197" t="s">
        <v>470</v>
      </c>
      <c r="H458" s="197" t="s">
        <v>471</v>
      </c>
      <c r="J458" s="195">
        <v>1</v>
      </c>
      <c r="K458" s="204" t="s">
        <v>224</v>
      </c>
      <c r="L458" s="199">
        <v>2</v>
      </c>
      <c r="M458" s="200">
        <v>1</v>
      </c>
      <c r="N458" s="201">
        <v>18</v>
      </c>
    </row>
    <row r="459" spans="1:14">
      <c r="A459" s="194">
        <v>41297.885057870371</v>
      </c>
      <c r="B459" s="195">
        <v>2024</v>
      </c>
      <c r="C459" s="194"/>
      <c r="D459" s="194"/>
      <c r="E459" s="196" t="s">
        <v>1295</v>
      </c>
      <c r="F459" s="195">
        <v>800</v>
      </c>
      <c r="G459" s="197" t="s">
        <v>470</v>
      </c>
      <c r="H459" s="197" t="s">
        <v>471</v>
      </c>
      <c r="J459" s="195">
        <v>1</v>
      </c>
      <c r="K459" s="204" t="s">
        <v>224</v>
      </c>
      <c r="L459" s="199">
        <v>1</v>
      </c>
      <c r="M459" s="200">
        <v>0.8</v>
      </c>
      <c r="N459" s="201">
        <v>19</v>
      </c>
    </row>
    <row r="460" spans="1:14">
      <c r="A460" s="194">
        <v>41293.963460648149</v>
      </c>
      <c r="B460" s="195">
        <v>2024</v>
      </c>
      <c r="C460" s="194"/>
      <c r="D460" s="194"/>
      <c r="E460" s="196" t="s">
        <v>1187</v>
      </c>
      <c r="F460" s="195">
        <v>800</v>
      </c>
      <c r="G460" s="197" t="s">
        <v>470</v>
      </c>
      <c r="H460" s="197" t="s">
        <v>471</v>
      </c>
      <c r="J460" s="195">
        <v>1</v>
      </c>
      <c r="K460" s="204" t="s">
        <v>224</v>
      </c>
      <c r="L460" s="199">
        <v>1</v>
      </c>
      <c r="M460" s="200">
        <v>1.1000000000000001</v>
      </c>
      <c r="N460" s="201">
        <v>19</v>
      </c>
    </row>
    <row r="461" spans="1:14">
      <c r="A461" s="194">
        <v>41302.476805555554</v>
      </c>
      <c r="B461" s="195">
        <v>2024</v>
      </c>
      <c r="C461" s="194"/>
      <c r="D461" s="194"/>
      <c r="E461" s="196" t="s">
        <v>1454</v>
      </c>
      <c r="F461" s="195">
        <v>800</v>
      </c>
      <c r="G461" s="197" t="s">
        <v>470</v>
      </c>
      <c r="H461" s="197" t="s">
        <v>471</v>
      </c>
      <c r="J461" s="195">
        <v>1</v>
      </c>
      <c r="K461" s="204" t="s">
        <v>224</v>
      </c>
      <c r="L461" s="199">
        <v>2</v>
      </c>
      <c r="M461" s="200">
        <v>0.5</v>
      </c>
      <c r="N461" s="201">
        <v>20</v>
      </c>
    </row>
    <row r="462" spans="1:14">
      <c r="A462" s="194">
        <v>41283.475729166668</v>
      </c>
      <c r="B462" s="195">
        <v>2024</v>
      </c>
      <c r="C462" s="194"/>
      <c r="D462" s="194"/>
      <c r="E462" s="196" t="s">
        <v>750</v>
      </c>
      <c r="F462" s="195">
        <v>800</v>
      </c>
      <c r="G462" s="197" t="s">
        <v>470</v>
      </c>
      <c r="H462" s="197" t="s">
        <v>471</v>
      </c>
      <c r="J462" s="195">
        <v>1</v>
      </c>
      <c r="K462" s="204" t="s">
        <v>224</v>
      </c>
      <c r="L462" s="199">
        <v>1</v>
      </c>
      <c r="M462" s="200">
        <v>0.3</v>
      </c>
      <c r="N462" s="201">
        <v>24</v>
      </c>
    </row>
    <row r="463" spans="1:14">
      <c r="A463" s="194">
        <v>41297.734236111108</v>
      </c>
      <c r="B463" s="195">
        <v>2024</v>
      </c>
      <c r="C463" s="194"/>
      <c r="D463" s="194"/>
      <c r="E463" s="196" t="s">
        <v>1293</v>
      </c>
      <c r="F463" s="195">
        <v>800</v>
      </c>
      <c r="G463" s="197" t="s">
        <v>470</v>
      </c>
      <c r="H463" s="197" t="s">
        <v>471</v>
      </c>
      <c r="J463" s="195">
        <v>1</v>
      </c>
      <c r="K463" s="204" t="s">
        <v>224</v>
      </c>
      <c r="L463" s="199">
        <v>1</v>
      </c>
      <c r="M463" s="200">
        <v>0.6</v>
      </c>
      <c r="N463" s="201">
        <v>24</v>
      </c>
    </row>
    <row r="464" spans="1:14">
      <c r="A464" s="194">
        <v>41300.643437500003</v>
      </c>
      <c r="B464" s="195">
        <v>2024</v>
      </c>
      <c r="C464" s="194"/>
      <c r="D464" s="194"/>
      <c r="E464" s="196" t="s">
        <v>1413</v>
      </c>
      <c r="F464" s="195">
        <v>800</v>
      </c>
      <c r="G464" s="197" t="s">
        <v>470</v>
      </c>
      <c r="H464" s="197" t="s">
        <v>471</v>
      </c>
      <c r="J464" s="195">
        <v>1</v>
      </c>
      <c r="K464" s="204" t="s">
        <v>224</v>
      </c>
      <c r="L464" s="199">
        <v>1</v>
      </c>
      <c r="M464" s="200">
        <v>0.6</v>
      </c>
      <c r="N464" s="201">
        <v>24</v>
      </c>
    </row>
    <row r="465" spans="1:14">
      <c r="A465" s="194">
        <v>41302.662118055552</v>
      </c>
      <c r="B465" s="195">
        <v>2024</v>
      </c>
      <c r="C465" s="194"/>
      <c r="D465" s="194"/>
      <c r="E465" s="196" t="s">
        <v>1455</v>
      </c>
      <c r="F465" s="195">
        <v>800</v>
      </c>
      <c r="G465" s="197" t="s">
        <v>470</v>
      </c>
      <c r="H465" s="197" t="s">
        <v>471</v>
      </c>
      <c r="J465" s="195">
        <v>1</v>
      </c>
      <c r="K465" s="204" t="s">
        <v>224</v>
      </c>
      <c r="L465" s="199">
        <v>1</v>
      </c>
      <c r="M465" s="200">
        <v>0.6</v>
      </c>
      <c r="N465" s="201">
        <v>24</v>
      </c>
    </row>
    <row r="466" spans="1:14">
      <c r="A466" s="194">
        <v>41286.761921296296</v>
      </c>
      <c r="B466" s="195">
        <v>2024</v>
      </c>
      <c r="C466" s="194"/>
      <c r="D466" s="194"/>
      <c r="E466" s="196" t="s">
        <v>892</v>
      </c>
      <c r="F466" s="195">
        <v>800</v>
      </c>
      <c r="G466" s="197" t="s">
        <v>470</v>
      </c>
      <c r="H466" s="197" t="s">
        <v>471</v>
      </c>
      <c r="J466" s="195">
        <v>1</v>
      </c>
      <c r="K466" s="204" t="s">
        <v>224</v>
      </c>
      <c r="L466" s="199">
        <v>1</v>
      </c>
      <c r="M466" s="200">
        <v>0.4</v>
      </c>
      <c r="N466" s="201">
        <v>25</v>
      </c>
    </row>
    <row r="467" spans="1:14">
      <c r="A467" s="194">
        <v>41275.357743055552</v>
      </c>
      <c r="B467" s="195">
        <v>2024</v>
      </c>
      <c r="C467" s="194"/>
      <c r="D467" s="194"/>
      <c r="E467" s="196" t="s">
        <v>477</v>
      </c>
      <c r="F467" s="195">
        <v>800</v>
      </c>
      <c r="G467" s="197" t="s">
        <v>470</v>
      </c>
      <c r="H467" s="197" t="s">
        <v>471</v>
      </c>
      <c r="J467" s="195">
        <v>1</v>
      </c>
      <c r="K467" s="204" t="s">
        <v>224</v>
      </c>
      <c r="L467" s="199">
        <v>1</v>
      </c>
      <c r="M467" s="200">
        <v>29.8</v>
      </c>
      <c r="N467" s="201">
        <v>25</v>
      </c>
    </row>
    <row r="468" spans="1:14">
      <c r="A468" s="194">
        <v>41297.169965277775</v>
      </c>
      <c r="B468" s="195">
        <v>2024</v>
      </c>
      <c r="C468" s="194"/>
      <c r="D468" s="194"/>
      <c r="E468" s="196" t="s">
        <v>1289</v>
      </c>
      <c r="F468" s="195">
        <v>800</v>
      </c>
      <c r="G468" s="197" t="s">
        <v>470</v>
      </c>
      <c r="H468" s="197" t="s">
        <v>471</v>
      </c>
      <c r="J468" s="195">
        <v>1</v>
      </c>
      <c r="K468" s="204" t="s">
        <v>224</v>
      </c>
      <c r="L468" s="199">
        <v>1</v>
      </c>
      <c r="M468" s="200">
        <v>18.2</v>
      </c>
      <c r="N468" s="201">
        <v>26</v>
      </c>
    </row>
    <row r="469" spans="1:14">
      <c r="A469" s="194">
        <v>41289.450856481482</v>
      </c>
      <c r="B469" s="195">
        <v>2024</v>
      </c>
      <c r="C469" s="194"/>
      <c r="D469" s="194"/>
      <c r="E469" s="196" t="s">
        <v>958</v>
      </c>
      <c r="F469" s="195">
        <v>800</v>
      </c>
      <c r="G469" s="197" t="s">
        <v>470</v>
      </c>
      <c r="H469" s="197" t="s">
        <v>471</v>
      </c>
      <c r="J469" s="195">
        <v>1</v>
      </c>
      <c r="K469" s="204" t="s">
        <v>224</v>
      </c>
      <c r="L469" s="199">
        <v>1</v>
      </c>
      <c r="M469" s="200">
        <v>0.3</v>
      </c>
      <c r="N469" s="201">
        <v>28</v>
      </c>
    </row>
    <row r="470" spans="1:14">
      <c r="A470" s="194">
        <v>41305.588680555556</v>
      </c>
      <c r="B470" s="195">
        <v>2024</v>
      </c>
      <c r="C470" s="194"/>
      <c r="D470" s="194"/>
      <c r="E470" s="196" t="s">
        <v>1564</v>
      </c>
      <c r="F470" s="195">
        <v>800</v>
      </c>
      <c r="G470" s="197" t="s">
        <v>470</v>
      </c>
      <c r="H470" s="197" t="s">
        <v>471</v>
      </c>
      <c r="J470" s="195">
        <v>1</v>
      </c>
      <c r="K470" s="204" t="s">
        <v>224</v>
      </c>
      <c r="L470" s="199">
        <v>1</v>
      </c>
      <c r="M470" s="200">
        <v>0.7</v>
      </c>
      <c r="N470" s="201">
        <v>28</v>
      </c>
    </row>
    <row r="471" spans="1:14">
      <c r="A471" s="194">
        <v>41280.88958333333</v>
      </c>
      <c r="B471" s="195">
        <v>2024</v>
      </c>
      <c r="C471" s="194"/>
      <c r="D471" s="194"/>
      <c r="E471" s="196" t="s">
        <v>561</v>
      </c>
      <c r="F471" s="195">
        <v>800</v>
      </c>
      <c r="G471" s="197" t="s">
        <v>470</v>
      </c>
      <c r="H471" s="197" t="s">
        <v>471</v>
      </c>
      <c r="J471" s="195">
        <v>1</v>
      </c>
      <c r="K471" s="204" t="s">
        <v>224</v>
      </c>
      <c r="L471" s="199">
        <v>2</v>
      </c>
      <c r="M471" s="200">
        <v>0.3</v>
      </c>
      <c r="N471" s="201">
        <v>29</v>
      </c>
    </row>
    <row r="472" spans="1:14">
      <c r="A472" s="194">
        <v>41288.706979166665</v>
      </c>
      <c r="B472" s="195">
        <v>2024</v>
      </c>
      <c r="C472" s="194"/>
      <c r="D472" s="194"/>
      <c r="E472" s="196" t="s">
        <v>945</v>
      </c>
      <c r="F472" s="195">
        <v>800</v>
      </c>
      <c r="G472" s="197" t="s">
        <v>470</v>
      </c>
      <c r="H472" s="197" t="s">
        <v>471</v>
      </c>
      <c r="J472" s="195">
        <v>1</v>
      </c>
      <c r="K472" s="204" t="s">
        <v>224</v>
      </c>
      <c r="L472" s="199">
        <v>1</v>
      </c>
      <c r="M472" s="200">
        <v>0.3</v>
      </c>
      <c r="N472" s="201">
        <v>29</v>
      </c>
    </row>
    <row r="473" spans="1:14">
      <c r="A473" s="194">
        <v>41286.072326388887</v>
      </c>
      <c r="B473" s="195">
        <v>2024</v>
      </c>
      <c r="C473" s="194"/>
      <c r="D473" s="194"/>
      <c r="E473" s="196" t="s">
        <v>890</v>
      </c>
      <c r="F473" s="195">
        <v>800</v>
      </c>
      <c r="G473" s="197" t="s">
        <v>470</v>
      </c>
      <c r="H473" s="197" t="s">
        <v>471</v>
      </c>
      <c r="J473" s="195">
        <v>1</v>
      </c>
      <c r="K473" s="204" t="s">
        <v>224</v>
      </c>
      <c r="L473" s="199">
        <v>1</v>
      </c>
      <c r="M473" s="200">
        <v>0.6</v>
      </c>
      <c r="N473" s="201">
        <v>29</v>
      </c>
    </row>
    <row r="474" spans="1:14">
      <c r="A474" s="194">
        <v>41299.584386574075</v>
      </c>
      <c r="B474" s="195">
        <v>2024</v>
      </c>
      <c r="C474" s="194"/>
      <c r="D474" s="194"/>
      <c r="E474" s="196" t="s">
        <v>1357</v>
      </c>
      <c r="F474" s="195">
        <v>800</v>
      </c>
      <c r="G474" s="197" t="s">
        <v>470</v>
      </c>
      <c r="H474" s="197" t="s">
        <v>471</v>
      </c>
      <c r="J474" s="195">
        <v>1</v>
      </c>
      <c r="K474" s="204" t="s">
        <v>224</v>
      </c>
      <c r="L474" s="199">
        <v>1</v>
      </c>
      <c r="M474" s="200">
        <v>0.7</v>
      </c>
      <c r="N474" s="201">
        <v>29</v>
      </c>
    </row>
    <row r="475" spans="1:14">
      <c r="A475" s="194">
        <v>41276.888819444444</v>
      </c>
      <c r="B475" s="195">
        <v>2024</v>
      </c>
      <c r="C475" s="194"/>
      <c r="D475" s="194"/>
      <c r="E475" s="196" t="s">
        <v>495</v>
      </c>
      <c r="F475" s="195">
        <v>800</v>
      </c>
      <c r="G475" s="197" t="s">
        <v>470</v>
      </c>
      <c r="H475" s="197" t="s">
        <v>471</v>
      </c>
      <c r="J475" s="195">
        <v>1</v>
      </c>
      <c r="K475" s="204" t="s">
        <v>224</v>
      </c>
      <c r="L475" s="199">
        <v>1</v>
      </c>
      <c r="M475" s="200">
        <v>1.6</v>
      </c>
      <c r="N475" s="201">
        <v>29</v>
      </c>
    </row>
    <row r="476" spans="1:14">
      <c r="A476" s="194">
        <v>41296.715462962966</v>
      </c>
      <c r="B476" s="195">
        <v>2024</v>
      </c>
      <c r="C476" s="194"/>
      <c r="D476" s="194"/>
      <c r="E476" s="196" t="s">
        <v>1270</v>
      </c>
      <c r="F476" s="195">
        <v>800</v>
      </c>
      <c r="G476" s="197" t="s">
        <v>470</v>
      </c>
      <c r="H476" s="197" t="s">
        <v>471</v>
      </c>
      <c r="J476" s="195">
        <v>1</v>
      </c>
      <c r="K476" s="204" t="s">
        <v>224</v>
      </c>
      <c r="L476" s="199">
        <v>1</v>
      </c>
      <c r="M476" s="200">
        <v>0.3</v>
      </c>
      <c r="N476" s="201">
        <v>30</v>
      </c>
    </row>
    <row r="477" spans="1:14">
      <c r="A477" s="194">
        <v>41286.592465277776</v>
      </c>
      <c r="B477" s="195">
        <v>2024</v>
      </c>
      <c r="C477" s="194"/>
      <c r="D477" s="194"/>
      <c r="E477" s="196" t="s">
        <v>891</v>
      </c>
      <c r="F477" s="195">
        <v>800</v>
      </c>
      <c r="G477" s="197" t="s">
        <v>470</v>
      </c>
      <c r="H477" s="197" t="s">
        <v>471</v>
      </c>
      <c r="J477" s="195">
        <v>1</v>
      </c>
      <c r="K477" s="204" t="s">
        <v>224</v>
      </c>
      <c r="L477" s="199">
        <v>1</v>
      </c>
      <c r="M477" s="200">
        <v>0.4</v>
      </c>
      <c r="N477" s="201">
        <v>30</v>
      </c>
    </row>
    <row r="478" spans="1:14">
      <c r="A478" s="194">
        <v>41292.506481481483</v>
      </c>
      <c r="B478" s="195">
        <v>2024</v>
      </c>
      <c r="C478" s="194"/>
      <c r="D478" s="194"/>
      <c r="E478" s="196" t="s">
        <v>1140</v>
      </c>
      <c r="F478" s="195">
        <v>800</v>
      </c>
      <c r="G478" s="197" t="s">
        <v>470</v>
      </c>
      <c r="H478" s="197" t="s">
        <v>471</v>
      </c>
      <c r="J478" s="195">
        <v>1</v>
      </c>
      <c r="K478" s="204" t="s">
        <v>224</v>
      </c>
      <c r="L478" s="199">
        <v>1</v>
      </c>
      <c r="M478" s="200">
        <v>0.7</v>
      </c>
      <c r="N478" s="201">
        <v>31</v>
      </c>
    </row>
    <row r="479" spans="1:14">
      <c r="A479" s="194">
        <v>41280.379155092596</v>
      </c>
      <c r="B479" s="195">
        <v>2024</v>
      </c>
      <c r="C479" s="194"/>
      <c r="D479" s="194"/>
      <c r="E479" s="196" t="s">
        <v>560</v>
      </c>
      <c r="F479" s="195">
        <v>800</v>
      </c>
      <c r="G479" s="197" t="s">
        <v>470</v>
      </c>
      <c r="H479" s="197" t="s">
        <v>471</v>
      </c>
      <c r="J479" s="195">
        <v>1</v>
      </c>
      <c r="K479" s="204" t="s">
        <v>224</v>
      </c>
      <c r="L479" s="199">
        <v>1</v>
      </c>
      <c r="M479" s="200">
        <v>0.6</v>
      </c>
      <c r="N479" s="201">
        <v>32</v>
      </c>
    </row>
    <row r="480" spans="1:14">
      <c r="A480" s="194">
        <v>41295.631423611114</v>
      </c>
      <c r="B480" s="195">
        <v>2024</v>
      </c>
      <c r="C480" s="194"/>
      <c r="D480" s="194"/>
      <c r="E480" s="196" t="s">
        <v>1105</v>
      </c>
      <c r="F480" s="195">
        <v>800</v>
      </c>
      <c r="G480" s="197" t="s">
        <v>470</v>
      </c>
      <c r="H480" s="197" t="s">
        <v>471</v>
      </c>
      <c r="J480" s="195">
        <v>1</v>
      </c>
      <c r="K480" s="204" t="s">
        <v>224</v>
      </c>
      <c r="L480" s="199">
        <v>1</v>
      </c>
      <c r="M480" s="200">
        <v>0.8</v>
      </c>
      <c r="N480" s="201">
        <v>33</v>
      </c>
    </row>
    <row r="481" spans="1:14">
      <c r="A481" s="194">
        <v>41289.650069444448</v>
      </c>
      <c r="B481" s="195">
        <v>2024</v>
      </c>
      <c r="C481" s="194"/>
      <c r="D481" s="194"/>
      <c r="E481" s="196" t="s">
        <v>959</v>
      </c>
      <c r="F481" s="195">
        <v>800</v>
      </c>
      <c r="G481" s="197" t="s">
        <v>470</v>
      </c>
      <c r="H481" s="197" t="s">
        <v>471</v>
      </c>
      <c r="J481" s="195">
        <v>1</v>
      </c>
      <c r="K481" s="204" t="s">
        <v>224</v>
      </c>
      <c r="L481" s="199">
        <v>1</v>
      </c>
      <c r="M481" s="200">
        <v>1.4</v>
      </c>
      <c r="N481" s="201">
        <v>33</v>
      </c>
    </row>
    <row r="482" spans="1:14">
      <c r="A482" s="194">
        <v>41297.832962962966</v>
      </c>
      <c r="B482" s="195">
        <v>2024</v>
      </c>
      <c r="C482" s="194"/>
      <c r="D482" s="194"/>
      <c r="E482" s="196" t="s">
        <v>1294</v>
      </c>
      <c r="F482" s="195">
        <v>800</v>
      </c>
      <c r="G482" s="197" t="s">
        <v>470</v>
      </c>
      <c r="H482" s="197" t="s">
        <v>471</v>
      </c>
      <c r="J482" s="195">
        <v>1</v>
      </c>
      <c r="K482" s="204" t="s">
        <v>224</v>
      </c>
      <c r="L482" s="199">
        <v>1</v>
      </c>
      <c r="M482" s="200">
        <v>0.4</v>
      </c>
      <c r="N482" s="201">
        <v>34</v>
      </c>
    </row>
    <row r="483" spans="1:14">
      <c r="A483" s="194">
        <v>41291.922442129631</v>
      </c>
      <c r="B483" s="195">
        <v>2024</v>
      </c>
      <c r="C483" s="194"/>
      <c r="D483" s="194"/>
      <c r="E483" s="196" t="s">
        <v>1088</v>
      </c>
      <c r="F483" s="195">
        <v>800</v>
      </c>
      <c r="G483" s="197" t="s">
        <v>470</v>
      </c>
      <c r="H483" s="197" t="s">
        <v>471</v>
      </c>
      <c r="J483" s="195">
        <v>1</v>
      </c>
      <c r="K483" s="204" t="s">
        <v>224</v>
      </c>
      <c r="L483" s="199">
        <v>1</v>
      </c>
      <c r="M483" s="200">
        <v>0.6</v>
      </c>
      <c r="N483" s="201">
        <v>34</v>
      </c>
    </row>
    <row r="484" spans="1:14">
      <c r="A484" s="194">
        <v>41278.86037037037</v>
      </c>
      <c r="B484" s="195">
        <v>2024</v>
      </c>
      <c r="C484" s="194"/>
      <c r="D484" s="194"/>
      <c r="E484" s="196" t="s">
        <v>580</v>
      </c>
      <c r="F484" s="195">
        <v>800</v>
      </c>
      <c r="G484" s="197" t="s">
        <v>470</v>
      </c>
      <c r="H484" s="197" t="s">
        <v>471</v>
      </c>
      <c r="J484" s="195">
        <v>1</v>
      </c>
      <c r="K484" s="204" t="s">
        <v>224</v>
      </c>
      <c r="L484" s="199">
        <v>2</v>
      </c>
      <c r="M484" s="200">
        <v>0.9</v>
      </c>
      <c r="N484" s="201">
        <v>34</v>
      </c>
    </row>
    <row r="485" spans="1:14">
      <c r="A485" s="194">
        <v>41282.686030092591</v>
      </c>
      <c r="B485" s="195">
        <v>2024</v>
      </c>
      <c r="C485" s="194"/>
      <c r="D485" s="194"/>
      <c r="E485" s="196" t="s">
        <v>727</v>
      </c>
      <c r="F485" s="195">
        <v>800</v>
      </c>
      <c r="G485" s="197" t="s">
        <v>470</v>
      </c>
      <c r="H485" s="197" t="s">
        <v>471</v>
      </c>
      <c r="J485" s="195">
        <v>1</v>
      </c>
      <c r="K485" s="204" t="s">
        <v>224</v>
      </c>
      <c r="L485" s="199">
        <v>1</v>
      </c>
      <c r="M485" s="200">
        <v>0.9</v>
      </c>
      <c r="N485" s="201">
        <v>35</v>
      </c>
    </row>
    <row r="486" spans="1:14">
      <c r="A486" s="194">
        <v>41284.110486111109</v>
      </c>
      <c r="B486" s="195">
        <v>2024</v>
      </c>
      <c r="C486" s="194"/>
      <c r="D486" s="194"/>
      <c r="E486" s="196" t="s">
        <v>778</v>
      </c>
      <c r="F486" s="195">
        <v>800</v>
      </c>
      <c r="G486" s="197" t="s">
        <v>470</v>
      </c>
      <c r="H486" s="197" t="s">
        <v>471</v>
      </c>
      <c r="J486" s="195">
        <v>1</v>
      </c>
      <c r="K486" s="204" t="s">
        <v>224</v>
      </c>
      <c r="L486" s="199">
        <v>1</v>
      </c>
      <c r="M486" s="200">
        <v>0.9</v>
      </c>
      <c r="N486" s="201">
        <v>35</v>
      </c>
    </row>
    <row r="487" spans="1:14">
      <c r="A487" s="194">
        <v>41283.879918981482</v>
      </c>
      <c r="B487" s="195">
        <v>2024</v>
      </c>
      <c r="C487" s="194"/>
      <c r="D487" s="194"/>
      <c r="E487" s="196" t="s">
        <v>751</v>
      </c>
      <c r="F487" s="195">
        <v>800</v>
      </c>
      <c r="G487" s="197" t="s">
        <v>470</v>
      </c>
      <c r="H487" s="197" t="s">
        <v>471</v>
      </c>
      <c r="J487" s="195">
        <v>1</v>
      </c>
      <c r="K487" s="204" t="s">
        <v>224</v>
      </c>
      <c r="L487" s="199">
        <v>1</v>
      </c>
      <c r="M487" s="200">
        <v>0.4</v>
      </c>
      <c r="N487" s="201">
        <v>37</v>
      </c>
    </row>
    <row r="488" spans="1:14">
      <c r="A488" s="194">
        <v>41299.592037037037</v>
      </c>
      <c r="B488" s="195">
        <v>2024</v>
      </c>
      <c r="C488" s="194"/>
      <c r="D488" s="194"/>
      <c r="E488" s="196" t="s">
        <v>1358</v>
      </c>
      <c r="F488" s="195">
        <v>800</v>
      </c>
      <c r="G488" s="197" t="s">
        <v>470</v>
      </c>
      <c r="H488" s="197" t="s">
        <v>471</v>
      </c>
      <c r="J488" s="195">
        <v>1</v>
      </c>
      <c r="K488" s="204" t="s">
        <v>224</v>
      </c>
      <c r="L488" s="199">
        <v>2</v>
      </c>
      <c r="M488" s="200">
        <v>1.6</v>
      </c>
      <c r="N488" s="201">
        <v>38</v>
      </c>
    </row>
    <row r="489" spans="1:14">
      <c r="A489" s="194">
        <v>41304.818518518521</v>
      </c>
      <c r="B489" s="195">
        <v>2024</v>
      </c>
      <c r="C489" s="194"/>
      <c r="D489" s="194"/>
      <c r="E489" s="196" t="s">
        <v>1532</v>
      </c>
      <c r="F489" s="195">
        <v>800</v>
      </c>
      <c r="G489" s="197" t="s">
        <v>470</v>
      </c>
      <c r="H489" s="197" t="s">
        <v>471</v>
      </c>
      <c r="J489" s="195">
        <v>1</v>
      </c>
      <c r="K489" s="204" t="s">
        <v>224</v>
      </c>
      <c r="L489" s="199">
        <v>1</v>
      </c>
      <c r="M489" s="200">
        <v>0.6</v>
      </c>
      <c r="N489" s="201">
        <v>42</v>
      </c>
    </row>
    <row r="490" spans="1:14">
      <c r="A490" s="194">
        <v>41301.081655092596</v>
      </c>
      <c r="B490" s="195">
        <v>2024</v>
      </c>
      <c r="C490" s="194"/>
      <c r="D490" s="194"/>
      <c r="E490" s="196" t="s">
        <v>1363</v>
      </c>
      <c r="F490" s="195">
        <v>800</v>
      </c>
      <c r="G490" s="197" t="s">
        <v>470</v>
      </c>
      <c r="H490" s="197" t="s">
        <v>471</v>
      </c>
      <c r="J490" s="195">
        <v>1</v>
      </c>
      <c r="K490" s="204" t="s">
        <v>224</v>
      </c>
      <c r="L490" s="199">
        <v>1</v>
      </c>
      <c r="M490" s="200">
        <v>1.4</v>
      </c>
      <c r="N490" s="201">
        <v>44</v>
      </c>
    </row>
    <row r="491" spans="1:14">
      <c r="A491" s="194">
        <v>41303.262118055558</v>
      </c>
      <c r="B491" s="195">
        <v>2024</v>
      </c>
      <c r="C491" s="194"/>
      <c r="D491" s="194"/>
      <c r="E491" s="196" t="s">
        <v>1482</v>
      </c>
      <c r="F491" s="195">
        <v>800</v>
      </c>
      <c r="G491" s="197" t="s">
        <v>470</v>
      </c>
      <c r="H491" s="197" t="s">
        <v>471</v>
      </c>
      <c r="J491" s="195">
        <v>1</v>
      </c>
      <c r="K491" s="204" t="s">
        <v>224</v>
      </c>
      <c r="L491" s="199">
        <v>1</v>
      </c>
      <c r="M491" s="200">
        <v>0.5</v>
      </c>
      <c r="N491" s="201">
        <v>46</v>
      </c>
    </row>
    <row r="492" spans="1:14">
      <c r="A492" s="194">
        <v>41287.874456018515</v>
      </c>
      <c r="B492" s="195">
        <v>2024</v>
      </c>
      <c r="C492" s="194"/>
      <c r="D492" s="194"/>
      <c r="E492" s="196" t="s">
        <v>832</v>
      </c>
      <c r="F492" s="195">
        <v>800</v>
      </c>
      <c r="G492" s="197" t="s">
        <v>470</v>
      </c>
      <c r="H492" s="197" t="s">
        <v>471</v>
      </c>
      <c r="J492" s="195">
        <v>1</v>
      </c>
      <c r="K492" s="204" t="s">
        <v>224</v>
      </c>
      <c r="L492" s="199">
        <v>2</v>
      </c>
      <c r="M492" s="200">
        <v>0.9</v>
      </c>
      <c r="N492" s="201">
        <v>51</v>
      </c>
    </row>
    <row r="493" spans="1:14">
      <c r="A493" s="194">
        <v>41292.647349537037</v>
      </c>
      <c r="B493" s="195">
        <v>2024</v>
      </c>
      <c r="C493" s="194"/>
      <c r="D493" s="194"/>
      <c r="E493" s="198"/>
      <c r="G493" s="202"/>
      <c r="J493" s="195">
        <v>2</v>
      </c>
      <c r="K493" s="204" t="s">
        <v>32</v>
      </c>
      <c r="L493" s="199">
        <v>2</v>
      </c>
      <c r="M493" s="200">
        <v>1.6</v>
      </c>
      <c r="N493" s="201">
        <v>16</v>
      </c>
    </row>
    <row r="494" spans="1:14">
      <c r="A494" s="194">
        <v>41298.705787037034</v>
      </c>
      <c r="B494" s="195">
        <v>2024</v>
      </c>
      <c r="C494" s="194"/>
      <c r="D494" s="194"/>
      <c r="E494" s="198"/>
      <c r="G494" s="202"/>
      <c r="J494" s="195">
        <v>2</v>
      </c>
      <c r="K494" s="204" t="s">
        <v>32</v>
      </c>
      <c r="L494" s="199">
        <v>2</v>
      </c>
      <c r="M494" s="200">
        <v>0.6</v>
      </c>
      <c r="N494" s="201">
        <v>17</v>
      </c>
    </row>
    <row r="495" spans="1:14">
      <c r="A495" s="194">
        <v>41283.656886574077</v>
      </c>
      <c r="B495" s="195">
        <v>2024</v>
      </c>
      <c r="C495" s="194"/>
      <c r="D495" s="194"/>
      <c r="E495" s="198"/>
      <c r="G495" s="202"/>
      <c r="J495" s="195">
        <v>2</v>
      </c>
      <c r="K495" s="204" t="s">
        <v>32</v>
      </c>
      <c r="L495" s="199">
        <v>2</v>
      </c>
      <c r="M495" s="200">
        <v>1.8</v>
      </c>
      <c r="N495" s="201">
        <v>18</v>
      </c>
    </row>
    <row r="496" spans="1:14">
      <c r="A496" s="194">
        <v>41292.857199074075</v>
      </c>
      <c r="B496" s="195">
        <v>2024</v>
      </c>
      <c r="C496" s="194"/>
      <c r="D496" s="194"/>
      <c r="E496" s="198"/>
      <c r="G496" s="202"/>
      <c r="J496" s="195">
        <v>2</v>
      </c>
      <c r="K496" s="204" t="s">
        <v>32</v>
      </c>
      <c r="L496" s="199">
        <v>2</v>
      </c>
      <c r="M496" s="200">
        <v>2</v>
      </c>
      <c r="N496" s="201">
        <v>18</v>
      </c>
    </row>
    <row r="497" spans="1:14">
      <c r="A497" s="194">
        <v>41278.742199074077</v>
      </c>
      <c r="B497" s="195">
        <v>2024</v>
      </c>
      <c r="C497" s="194"/>
      <c r="D497" s="194"/>
      <c r="E497" s="198"/>
      <c r="G497" s="202"/>
      <c r="J497" s="195">
        <v>2</v>
      </c>
      <c r="K497" s="204" t="s">
        <v>32</v>
      </c>
      <c r="L497" s="199">
        <v>1</v>
      </c>
      <c r="M497" s="200">
        <v>0.6</v>
      </c>
      <c r="N497" s="201">
        <v>22</v>
      </c>
    </row>
    <row r="498" spans="1:14">
      <c r="A498" s="194">
        <v>41275.076956018522</v>
      </c>
      <c r="B498" s="195">
        <v>2024</v>
      </c>
      <c r="C498" s="194"/>
      <c r="D498" s="194"/>
      <c r="E498" s="198"/>
      <c r="G498" s="202"/>
      <c r="J498" s="195">
        <v>2</v>
      </c>
      <c r="K498" s="204" t="s">
        <v>32</v>
      </c>
      <c r="L498" s="199">
        <v>1</v>
      </c>
      <c r="M498" s="200">
        <v>0.5</v>
      </c>
      <c r="N498" s="201">
        <v>29</v>
      </c>
    </row>
    <row r="499" spans="1:14">
      <c r="A499" s="194">
        <v>41301.142754629633</v>
      </c>
      <c r="B499" s="195">
        <v>2024</v>
      </c>
      <c r="C499" s="194"/>
      <c r="D499" s="194"/>
      <c r="E499" s="198"/>
      <c r="G499" s="202"/>
      <c r="J499" s="195">
        <v>2</v>
      </c>
      <c r="K499" s="204" t="s">
        <v>32</v>
      </c>
      <c r="L499" s="199">
        <v>2</v>
      </c>
      <c r="M499" s="200">
        <v>0.4</v>
      </c>
      <c r="N499" s="201">
        <v>30</v>
      </c>
    </row>
    <row r="500" spans="1:14">
      <c r="A500" s="194">
        <v>41287.690416666665</v>
      </c>
      <c r="B500" s="195">
        <v>2024</v>
      </c>
      <c r="C500" s="194"/>
      <c r="D500" s="194"/>
      <c r="E500" s="198"/>
      <c r="G500" s="202"/>
      <c r="J500" s="195">
        <v>2</v>
      </c>
      <c r="K500" s="204" t="s">
        <v>32</v>
      </c>
      <c r="L500" s="199">
        <v>2</v>
      </c>
      <c r="M500" s="200">
        <v>0.5</v>
      </c>
      <c r="N500" s="201">
        <v>32</v>
      </c>
    </row>
    <row r="501" spans="1:14">
      <c r="A501" s="194">
        <v>41286.648020833331</v>
      </c>
      <c r="B501" s="195">
        <v>2024</v>
      </c>
      <c r="C501" s="194"/>
      <c r="D501" s="194"/>
      <c r="E501" s="198"/>
      <c r="G501" s="202"/>
      <c r="J501" s="195">
        <v>2</v>
      </c>
      <c r="K501" s="204" t="s">
        <v>32</v>
      </c>
      <c r="L501" s="199">
        <v>1</v>
      </c>
      <c r="M501" s="200">
        <v>0.4</v>
      </c>
      <c r="N501" s="201">
        <v>35</v>
      </c>
    </row>
    <row r="502" spans="1:14">
      <c r="A502" s="194">
        <v>41301.806655092594</v>
      </c>
      <c r="B502" s="195">
        <v>2024</v>
      </c>
      <c r="C502" s="194"/>
      <c r="D502" s="194"/>
      <c r="E502" s="198"/>
      <c r="G502" s="202"/>
      <c r="J502" s="195">
        <v>2</v>
      </c>
      <c r="K502" s="204" t="s">
        <v>32</v>
      </c>
      <c r="L502" s="199">
        <v>1</v>
      </c>
      <c r="M502" s="200">
        <v>0.9</v>
      </c>
      <c r="N502" s="201">
        <v>35</v>
      </c>
    </row>
    <row r="503" spans="1:14">
      <c r="A503" s="194">
        <v>41305.757326388892</v>
      </c>
      <c r="B503" s="195">
        <v>2024</v>
      </c>
      <c r="C503" s="194"/>
      <c r="D503" s="194"/>
      <c r="E503" s="198"/>
      <c r="G503" s="202"/>
      <c r="J503" s="195">
        <v>2</v>
      </c>
      <c r="K503" s="204" t="s">
        <v>32</v>
      </c>
      <c r="L503" s="199">
        <v>2</v>
      </c>
      <c r="M503" s="200">
        <v>0.5</v>
      </c>
      <c r="N503" s="201">
        <v>39</v>
      </c>
    </row>
    <row r="504" spans="1:14">
      <c r="A504" s="194">
        <v>41289.621701388889</v>
      </c>
      <c r="B504" s="195">
        <v>2024</v>
      </c>
      <c r="C504" s="194"/>
      <c r="D504" s="194"/>
      <c r="E504" s="198"/>
      <c r="G504" s="202"/>
      <c r="J504" s="195">
        <v>2</v>
      </c>
      <c r="K504" s="204" t="s">
        <v>32</v>
      </c>
      <c r="L504" s="199">
        <v>1</v>
      </c>
      <c r="M504" s="200">
        <v>0.5</v>
      </c>
      <c r="N504" s="201">
        <v>39</v>
      </c>
    </row>
    <row r="505" spans="1:14">
      <c r="A505" s="194">
        <v>41297.892696759256</v>
      </c>
      <c r="B505" s="195">
        <v>2024</v>
      </c>
      <c r="C505" s="194"/>
      <c r="D505" s="194"/>
      <c r="E505" s="198"/>
      <c r="G505" s="202"/>
      <c r="J505" s="195">
        <v>2</v>
      </c>
      <c r="K505" s="204" t="s">
        <v>32</v>
      </c>
      <c r="L505" s="199">
        <v>2</v>
      </c>
      <c r="M505" s="200">
        <v>0.6</v>
      </c>
      <c r="N505" s="201">
        <v>46</v>
      </c>
    </row>
    <row r="506" spans="1:14">
      <c r="A506" s="194">
        <v>41277.660937499997</v>
      </c>
      <c r="B506" s="195">
        <v>2024</v>
      </c>
      <c r="C506" s="194"/>
      <c r="D506" s="194"/>
      <c r="E506" s="198"/>
      <c r="G506" s="202"/>
      <c r="J506" s="195">
        <v>3</v>
      </c>
      <c r="K506" s="204" t="s">
        <v>1595</v>
      </c>
      <c r="L506" s="199">
        <v>2</v>
      </c>
      <c r="M506" s="200">
        <v>1.7</v>
      </c>
      <c r="N506" s="201">
        <v>17</v>
      </c>
    </row>
    <row r="507" spans="1:14">
      <c r="A507" s="194">
        <v>41278.68109953704</v>
      </c>
      <c r="B507" s="195">
        <v>2024</v>
      </c>
      <c r="C507" s="194"/>
      <c r="D507" s="194"/>
      <c r="E507" s="198"/>
      <c r="G507" s="202"/>
      <c r="J507" s="195">
        <v>3</v>
      </c>
      <c r="K507" s="204" t="s">
        <v>1595</v>
      </c>
      <c r="L507" s="199">
        <v>2</v>
      </c>
      <c r="M507" s="200">
        <v>2.4</v>
      </c>
      <c r="N507" s="201">
        <v>18</v>
      </c>
    </row>
    <row r="508" spans="1:14">
      <c r="A508" s="194">
        <v>41289.632696759261</v>
      </c>
      <c r="B508" s="195">
        <v>2024</v>
      </c>
      <c r="C508" s="194"/>
      <c r="D508" s="194"/>
      <c r="E508" s="198"/>
      <c r="G508" s="202"/>
      <c r="J508" s="195">
        <v>3</v>
      </c>
      <c r="K508" s="204" t="s">
        <v>1595</v>
      </c>
      <c r="L508" s="199">
        <v>2</v>
      </c>
      <c r="M508" s="200">
        <v>1</v>
      </c>
      <c r="N508" s="201">
        <v>22</v>
      </c>
    </row>
    <row r="509" spans="1:14">
      <c r="A509" s="194">
        <v>41280.497210648151</v>
      </c>
      <c r="B509" s="195">
        <v>2024</v>
      </c>
      <c r="C509" s="194"/>
      <c r="D509" s="194"/>
      <c r="E509" s="198"/>
      <c r="G509" s="202"/>
      <c r="J509" s="195">
        <v>3</v>
      </c>
      <c r="K509" s="204" t="s">
        <v>1595</v>
      </c>
      <c r="L509" s="199">
        <v>1</v>
      </c>
      <c r="M509" s="200">
        <v>0.4</v>
      </c>
      <c r="N509" s="201">
        <v>28</v>
      </c>
    </row>
    <row r="510" spans="1:14">
      <c r="A510" s="194">
        <v>41299.910092592596</v>
      </c>
      <c r="B510" s="195">
        <v>2024</v>
      </c>
      <c r="C510" s="194"/>
      <c r="D510" s="194"/>
      <c r="E510" s="198"/>
      <c r="G510" s="202"/>
      <c r="J510" s="195">
        <v>7</v>
      </c>
      <c r="K510" s="204" t="s">
        <v>30</v>
      </c>
      <c r="L510" s="199">
        <v>2</v>
      </c>
      <c r="M510" s="200">
        <v>1.1000000000000001</v>
      </c>
      <c r="N510" s="201">
        <v>17</v>
      </c>
    </row>
    <row r="511" spans="1:14">
      <c r="A511" s="194">
        <v>41298.630162037036</v>
      </c>
      <c r="B511" s="195">
        <v>2024</v>
      </c>
      <c r="C511" s="194"/>
      <c r="D511" s="194"/>
      <c r="E511" s="198"/>
      <c r="G511" s="202"/>
      <c r="J511" s="195">
        <v>10</v>
      </c>
      <c r="K511" s="204" t="s">
        <v>31</v>
      </c>
      <c r="L511" s="199">
        <v>2</v>
      </c>
      <c r="M511" s="200">
        <v>7.2</v>
      </c>
      <c r="N511" s="201">
        <v>17</v>
      </c>
    </row>
    <row r="512" spans="1:14">
      <c r="A512" s="194">
        <v>41283.459074074075</v>
      </c>
      <c r="B512" s="195">
        <v>2024</v>
      </c>
      <c r="C512" s="194"/>
      <c r="D512" s="194"/>
      <c r="E512" s="198"/>
      <c r="G512" s="202"/>
      <c r="J512" s="195">
        <v>10</v>
      </c>
      <c r="K512" s="204" t="s">
        <v>31</v>
      </c>
      <c r="L512" s="199">
        <v>2</v>
      </c>
      <c r="M512" s="200">
        <v>0.7</v>
      </c>
      <c r="N512" s="201">
        <v>19</v>
      </c>
    </row>
    <row r="513" spans="1:14">
      <c r="A513" s="194">
        <v>41305.765659722223</v>
      </c>
      <c r="B513" s="195">
        <v>2024</v>
      </c>
      <c r="C513" s="194"/>
      <c r="D513" s="194"/>
      <c r="E513" s="196" t="s">
        <v>2134</v>
      </c>
      <c r="G513" s="202"/>
      <c r="J513" s="195">
        <v>11</v>
      </c>
      <c r="K513" s="204" t="s">
        <v>1</v>
      </c>
      <c r="L513" s="199">
        <v>1</v>
      </c>
      <c r="M513" s="200">
        <v>0.6</v>
      </c>
      <c r="N513" s="201">
        <v>28</v>
      </c>
    </row>
    <row r="514" spans="1:14">
      <c r="A514" s="194">
        <v>41291.844664351855</v>
      </c>
      <c r="B514" s="195">
        <v>2024</v>
      </c>
      <c r="C514" s="194"/>
      <c r="D514" s="194"/>
      <c r="E514" s="198"/>
      <c r="G514" s="202"/>
      <c r="J514" s="195">
        <v>12</v>
      </c>
      <c r="K514" s="204" t="s">
        <v>7</v>
      </c>
      <c r="L514" s="199">
        <v>2</v>
      </c>
      <c r="M514" s="200">
        <v>0.5</v>
      </c>
      <c r="N514" s="201">
        <v>15</v>
      </c>
    </row>
    <row r="515" spans="1:14">
      <c r="A515" s="194">
        <v>41292.790509259263</v>
      </c>
      <c r="B515" s="195">
        <v>2024</v>
      </c>
      <c r="C515" s="194"/>
      <c r="D515" s="194"/>
      <c r="E515" s="198"/>
      <c r="G515" s="202"/>
      <c r="J515" s="195">
        <v>12</v>
      </c>
      <c r="K515" s="204" t="s">
        <v>7</v>
      </c>
      <c r="L515" s="199">
        <v>2</v>
      </c>
      <c r="M515" s="200">
        <v>0.5</v>
      </c>
      <c r="N515" s="201">
        <v>16</v>
      </c>
    </row>
    <row r="516" spans="1:14">
      <c r="A516" s="194">
        <v>41297.219756944447</v>
      </c>
      <c r="B516" s="195">
        <v>2024</v>
      </c>
      <c r="C516" s="194"/>
      <c r="D516" s="194"/>
      <c r="E516" s="198"/>
      <c r="G516" s="202"/>
      <c r="J516" s="195">
        <v>12</v>
      </c>
      <c r="K516" s="204" t="s">
        <v>7</v>
      </c>
      <c r="L516" s="199">
        <v>2</v>
      </c>
      <c r="M516" s="200">
        <v>1</v>
      </c>
      <c r="N516" s="201">
        <v>16</v>
      </c>
    </row>
    <row r="517" spans="1:14">
      <c r="A517" s="194">
        <v>41279.843738425923</v>
      </c>
      <c r="B517" s="195">
        <v>2024</v>
      </c>
      <c r="C517" s="194"/>
      <c r="D517" s="194"/>
      <c r="E517" s="198"/>
      <c r="G517" s="202"/>
      <c r="J517" s="195">
        <v>12</v>
      </c>
      <c r="K517" s="204" t="s">
        <v>7</v>
      </c>
      <c r="L517" s="199">
        <v>2</v>
      </c>
      <c r="M517" s="200">
        <v>1.4</v>
      </c>
      <c r="N517" s="201">
        <v>16</v>
      </c>
    </row>
    <row r="518" spans="1:14">
      <c r="A518" s="194">
        <v>41304.831712962965</v>
      </c>
      <c r="B518" s="195">
        <v>2024</v>
      </c>
      <c r="C518" s="194"/>
      <c r="D518" s="194"/>
      <c r="E518" s="198"/>
      <c r="G518" s="202"/>
      <c r="J518" s="195">
        <v>12</v>
      </c>
      <c r="K518" s="204" t="s">
        <v>7</v>
      </c>
      <c r="L518" s="199">
        <v>2</v>
      </c>
      <c r="M518" s="200">
        <v>0.4</v>
      </c>
      <c r="N518" s="201">
        <v>17</v>
      </c>
    </row>
    <row r="519" spans="1:14">
      <c r="A519" s="194">
        <v>41292.809259259258</v>
      </c>
      <c r="B519" s="195">
        <v>2024</v>
      </c>
      <c r="C519" s="194"/>
      <c r="D519" s="194"/>
      <c r="E519" s="198"/>
      <c r="G519" s="202"/>
      <c r="J519" s="195">
        <v>12</v>
      </c>
      <c r="K519" s="204" t="s">
        <v>7</v>
      </c>
      <c r="L519" s="199">
        <v>2</v>
      </c>
      <c r="M519" s="200">
        <v>0.5</v>
      </c>
      <c r="N519" s="201">
        <v>17</v>
      </c>
    </row>
    <row r="520" spans="1:14">
      <c r="A520" s="194">
        <v>41287.859178240738</v>
      </c>
      <c r="B520" s="195">
        <v>2024</v>
      </c>
      <c r="C520" s="194"/>
      <c r="D520" s="194"/>
      <c r="E520" s="198"/>
      <c r="G520" s="202"/>
      <c r="J520" s="195">
        <v>12</v>
      </c>
      <c r="K520" s="204" t="s">
        <v>7</v>
      </c>
      <c r="L520" s="199">
        <v>2</v>
      </c>
      <c r="M520" s="200">
        <v>0.6</v>
      </c>
      <c r="N520" s="201">
        <v>17</v>
      </c>
    </row>
    <row r="521" spans="1:14">
      <c r="A521" s="194">
        <v>41299.670393518521</v>
      </c>
      <c r="B521" s="195">
        <v>2024</v>
      </c>
      <c r="C521" s="194"/>
      <c r="D521" s="194"/>
      <c r="E521" s="198"/>
      <c r="G521" s="202"/>
      <c r="J521" s="195">
        <v>12</v>
      </c>
      <c r="K521" s="204" t="s">
        <v>7</v>
      </c>
      <c r="L521" s="199">
        <v>2</v>
      </c>
      <c r="M521" s="200">
        <v>0.9</v>
      </c>
      <c r="N521" s="201">
        <v>17</v>
      </c>
    </row>
    <row r="522" spans="1:14">
      <c r="A522" s="194">
        <v>41297.777407407404</v>
      </c>
      <c r="B522" s="195">
        <v>2024</v>
      </c>
      <c r="C522" s="194"/>
      <c r="D522" s="194"/>
      <c r="E522" s="198"/>
      <c r="G522" s="202"/>
      <c r="J522" s="195">
        <v>12</v>
      </c>
      <c r="K522" s="204" t="s">
        <v>7</v>
      </c>
      <c r="L522" s="199">
        <v>2</v>
      </c>
      <c r="M522" s="200">
        <v>0.5</v>
      </c>
      <c r="N522" s="201">
        <v>18</v>
      </c>
    </row>
    <row r="523" spans="1:14">
      <c r="A523" s="194">
        <v>41297.318252314813</v>
      </c>
      <c r="B523" s="195">
        <v>2024</v>
      </c>
      <c r="C523" s="194"/>
      <c r="D523" s="194"/>
      <c r="E523" s="198"/>
      <c r="G523" s="202"/>
      <c r="J523" s="195">
        <v>12</v>
      </c>
      <c r="K523" s="204" t="s">
        <v>7</v>
      </c>
      <c r="L523" s="199">
        <v>2</v>
      </c>
      <c r="M523" s="200">
        <v>0.7</v>
      </c>
      <c r="N523" s="201">
        <v>26</v>
      </c>
    </row>
    <row r="524" spans="1:14">
      <c r="A524" s="194">
        <v>41282.779895833337</v>
      </c>
      <c r="B524" s="195">
        <v>2024</v>
      </c>
      <c r="C524" s="194"/>
      <c r="D524" s="194"/>
      <c r="E524" s="198"/>
      <c r="G524" s="202"/>
      <c r="J524" s="195">
        <v>13</v>
      </c>
      <c r="K524" s="204" t="s">
        <v>3</v>
      </c>
      <c r="L524" s="199">
        <v>2</v>
      </c>
      <c r="M524" s="200">
        <v>0.5</v>
      </c>
      <c r="N524" s="201">
        <v>16</v>
      </c>
    </row>
    <row r="525" spans="1:14">
      <c r="A525" s="194">
        <v>41289.634085648147</v>
      </c>
      <c r="B525" s="195">
        <v>2024</v>
      </c>
      <c r="C525" s="194"/>
      <c r="D525" s="194"/>
      <c r="E525" s="196" t="s">
        <v>1618</v>
      </c>
      <c r="G525" s="202"/>
      <c r="J525" s="195">
        <v>13</v>
      </c>
      <c r="K525" s="204" t="s">
        <v>3</v>
      </c>
      <c r="L525" s="199">
        <v>2</v>
      </c>
      <c r="M525" s="200">
        <v>0.5</v>
      </c>
      <c r="N525" s="201">
        <v>18</v>
      </c>
    </row>
    <row r="526" spans="1:14">
      <c r="A526" s="194">
        <v>41291.384965277779</v>
      </c>
      <c r="B526" s="195">
        <v>2024</v>
      </c>
      <c r="C526" s="194"/>
      <c r="D526" s="194"/>
      <c r="E526" s="198"/>
      <c r="G526" s="202"/>
      <c r="J526" s="195">
        <v>15</v>
      </c>
      <c r="K526" s="204" t="s">
        <v>4</v>
      </c>
      <c r="L526" s="199">
        <v>2</v>
      </c>
      <c r="M526" s="200">
        <v>14.1</v>
      </c>
      <c r="N526" s="201">
        <v>17</v>
      </c>
    </row>
    <row r="527" spans="1:14">
      <c r="A527" s="194">
        <v>41298.040625000001</v>
      </c>
      <c r="B527" s="195">
        <v>2024</v>
      </c>
      <c r="C527" s="194"/>
      <c r="D527" s="194"/>
      <c r="E527" s="198"/>
      <c r="G527" s="202"/>
      <c r="J527" s="195">
        <v>15</v>
      </c>
      <c r="K527" s="204" t="s">
        <v>4</v>
      </c>
      <c r="L527" s="199">
        <v>1</v>
      </c>
      <c r="M527" s="200">
        <v>1</v>
      </c>
      <c r="N527" s="201">
        <v>22</v>
      </c>
    </row>
    <row r="528" spans="1:14">
      <c r="A528" s="194">
        <v>41278.500763888886</v>
      </c>
      <c r="B528" s="195">
        <v>2024</v>
      </c>
      <c r="C528" s="194"/>
      <c r="D528" s="194"/>
      <c r="E528" s="198"/>
      <c r="G528" s="202"/>
      <c r="J528" s="195">
        <v>17</v>
      </c>
      <c r="K528" s="204" t="s">
        <v>11</v>
      </c>
      <c r="L528" s="199">
        <v>2</v>
      </c>
      <c r="M528" s="200">
        <v>11.1</v>
      </c>
      <c r="N528" s="201">
        <v>0</v>
      </c>
    </row>
    <row r="529" spans="1:14">
      <c r="A529" s="194">
        <v>41277.921458333331</v>
      </c>
      <c r="B529" s="195">
        <v>2024</v>
      </c>
      <c r="C529" s="194"/>
      <c r="D529" s="194"/>
      <c r="E529" s="198"/>
      <c r="G529" s="202"/>
      <c r="J529" s="195">
        <v>17</v>
      </c>
      <c r="K529" s="204" t="s">
        <v>11</v>
      </c>
      <c r="L529" s="199">
        <v>2</v>
      </c>
      <c r="M529" s="200">
        <v>0.3</v>
      </c>
      <c r="N529" s="201">
        <v>16</v>
      </c>
    </row>
    <row r="530" spans="1:14">
      <c r="A530" s="194">
        <v>41295.636284722219</v>
      </c>
      <c r="B530" s="195">
        <v>2024</v>
      </c>
      <c r="C530" s="194"/>
      <c r="D530" s="194"/>
      <c r="E530" s="198"/>
      <c r="G530" s="202"/>
      <c r="J530" s="195">
        <v>17</v>
      </c>
      <c r="K530" s="204" t="s">
        <v>11</v>
      </c>
      <c r="L530" s="199">
        <v>2</v>
      </c>
      <c r="M530" s="200">
        <v>1</v>
      </c>
      <c r="N530" s="201">
        <v>16</v>
      </c>
    </row>
    <row r="531" spans="1:14">
      <c r="A531" s="194">
        <v>41279.752060185187</v>
      </c>
      <c r="B531" s="195">
        <v>2024</v>
      </c>
      <c r="C531" s="194"/>
      <c r="D531" s="194"/>
      <c r="E531" s="198"/>
      <c r="G531" s="202"/>
      <c r="J531" s="195">
        <v>17</v>
      </c>
      <c r="K531" s="204" t="s">
        <v>11</v>
      </c>
      <c r="L531" s="199">
        <v>1</v>
      </c>
      <c r="M531" s="200">
        <v>0.7</v>
      </c>
      <c r="N531" s="201">
        <v>30</v>
      </c>
    </row>
    <row r="532" spans="1:14">
      <c r="A532" s="194">
        <v>41284.815428240741</v>
      </c>
      <c r="B532" s="195">
        <v>2024</v>
      </c>
      <c r="C532" s="194"/>
      <c r="D532" s="194"/>
      <c r="E532" s="198"/>
      <c r="G532" s="202"/>
      <c r="J532" s="195">
        <v>18</v>
      </c>
      <c r="K532" s="204" t="s">
        <v>5</v>
      </c>
      <c r="L532" s="199">
        <v>1</v>
      </c>
      <c r="M532" s="200">
        <v>7.7</v>
      </c>
      <c r="N532" s="201">
        <v>17</v>
      </c>
    </row>
    <row r="533" spans="1:14">
      <c r="A533" s="194">
        <v>41286.519548611112</v>
      </c>
      <c r="B533" s="195">
        <v>2024</v>
      </c>
      <c r="C533" s="194"/>
      <c r="D533" s="194"/>
      <c r="E533" s="198"/>
      <c r="G533" s="202"/>
      <c r="J533" s="195">
        <v>18</v>
      </c>
      <c r="K533" s="204" t="s">
        <v>5</v>
      </c>
      <c r="L533" s="199">
        <v>2</v>
      </c>
      <c r="M533" s="200">
        <v>0.3</v>
      </c>
      <c r="N533" s="201">
        <v>19</v>
      </c>
    </row>
    <row r="534" spans="1:14">
      <c r="A534" s="194">
        <v>41276.49454861111</v>
      </c>
      <c r="B534" s="195">
        <v>2024</v>
      </c>
      <c r="C534" s="194"/>
      <c r="D534" s="194"/>
      <c r="E534" s="198"/>
      <c r="G534" s="202"/>
      <c r="J534" s="195">
        <v>18</v>
      </c>
      <c r="K534" s="204" t="s">
        <v>5</v>
      </c>
      <c r="L534" s="199">
        <v>2</v>
      </c>
      <c r="M534" s="200">
        <v>17.899999999999999</v>
      </c>
      <c r="N534" s="201">
        <v>20</v>
      </c>
    </row>
    <row r="535" spans="1:14">
      <c r="A535" s="194">
        <v>41302.599259259259</v>
      </c>
      <c r="B535" s="195">
        <v>2024</v>
      </c>
      <c r="C535" s="194"/>
      <c r="D535" s="194"/>
      <c r="E535" s="198"/>
      <c r="G535" s="202"/>
      <c r="J535" s="195">
        <v>18</v>
      </c>
      <c r="K535" s="204" t="s">
        <v>5</v>
      </c>
      <c r="L535" s="199">
        <v>1</v>
      </c>
      <c r="M535" s="200">
        <v>19.8</v>
      </c>
      <c r="N535" s="201">
        <v>20</v>
      </c>
    </row>
    <row r="536" spans="1:14">
      <c r="A536" s="194">
        <v>41292.069814814815</v>
      </c>
      <c r="B536" s="195">
        <v>2024</v>
      </c>
      <c r="C536" s="194"/>
      <c r="D536" s="194"/>
      <c r="E536" s="198"/>
      <c r="G536" s="202"/>
      <c r="J536" s="195">
        <v>18</v>
      </c>
      <c r="K536" s="204" t="s">
        <v>5</v>
      </c>
      <c r="L536" s="199">
        <v>2</v>
      </c>
      <c r="M536" s="200">
        <v>13.6</v>
      </c>
      <c r="N536" s="201">
        <v>21</v>
      </c>
    </row>
    <row r="537" spans="1:14">
      <c r="A537" s="194">
        <v>41295.596817129626</v>
      </c>
      <c r="B537" s="195">
        <v>2024</v>
      </c>
      <c r="C537" s="194"/>
      <c r="D537" s="194"/>
      <c r="E537" s="198"/>
      <c r="G537" s="202"/>
      <c r="J537" s="195">
        <v>18</v>
      </c>
      <c r="K537" s="204" t="s">
        <v>5</v>
      </c>
      <c r="L537" s="199">
        <v>1</v>
      </c>
      <c r="M537" s="200">
        <v>0.5</v>
      </c>
      <c r="N537" s="201">
        <v>22</v>
      </c>
    </row>
    <row r="538" spans="1:14">
      <c r="A538" s="194">
        <v>41300.687881944446</v>
      </c>
      <c r="B538" s="195">
        <v>2024</v>
      </c>
      <c r="C538" s="194"/>
      <c r="D538" s="194"/>
      <c r="E538" s="196" t="s">
        <v>1693</v>
      </c>
      <c r="G538" s="202"/>
      <c r="J538" s="195">
        <v>24</v>
      </c>
      <c r="K538" s="204" t="s">
        <v>25</v>
      </c>
      <c r="L538" s="199">
        <v>2</v>
      </c>
      <c r="M538" s="200">
        <v>0.4</v>
      </c>
      <c r="N538" s="201">
        <v>16</v>
      </c>
    </row>
    <row r="539" spans="1:14">
      <c r="A539" s="194">
        <v>41276.413680555554</v>
      </c>
      <c r="B539" s="195">
        <v>2024</v>
      </c>
      <c r="C539" s="194"/>
      <c r="D539" s="194"/>
      <c r="E539" s="196" t="s">
        <v>1799</v>
      </c>
      <c r="G539" s="202"/>
      <c r="J539" s="195">
        <v>24</v>
      </c>
      <c r="K539" s="204" t="s">
        <v>25</v>
      </c>
      <c r="L539" s="199">
        <v>2</v>
      </c>
      <c r="M539" s="200">
        <v>0.6</v>
      </c>
      <c r="N539" s="201">
        <v>16</v>
      </c>
    </row>
    <row r="540" spans="1:14">
      <c r="A540" s="194">
        <v>41285.52925925926</v>
      </c>
      <c r="B540" s="195">
        <v>2024</v>
      </c>
      <c r="C540" s="194"/>
      <c r="D540" s="194"/>
      <c r="E540" s="196" t="s">
        <v>1902</v>
      </c>
      <c r="G540" s="202"/>
      <c r="J540" s="195">
        <v>24</v>
      </c>
      <c r="K540" s="204" t="s">
        <v>25</v>
      </c>
      <c r="L540" s="199">
        <v>2</v>
      </c>
      <c r="M540" s="200">
        <v>1</v>
      </c>
      <c r="N540" s="201">
        <v>16</v>
      </c>
    </row>
    <row r="541" spans="1:14">
      <c r="A541" s="194">
        <v>41296.836446759262</v>
      </c>
      <c r="B541" s="195">
        <v>2024</v>
      </c>
      <c r="C541" s="194"/>
      <c r="D541" s="194"/>
      <c r="E541" s="196" t="s">
        <v>1874</v>
      </c>
      <c r="G541" s="202"/>
      <c r="J541" s="195">
        <v>24</v>
      </c>
      <c r="K541" s="204" t="s">
        <v>25</v>
      </c>
      <c r="L541" s="199">
        <v>2</v>
      </c>
      <c r="M541" s="200">
        <v>2.2999999999999998</v>
      </c>
      <c r="N541" s="201">
        <v>17</v>
      </c>
    </row>
    <row r="542" spans="1:14">
      <c r="A542" s="194">
        <v>41279.534687500003</v>
      </c>
      <c r="B542" s="195">
        <v>2024</v>
      </c>
      <c r="C542" s="194"/>
      <c r="D542" s="194"/>
      <c r="E542" s="196" t="s">
        <v>2087</v>
      </c>
      <c r="G542" s="202"/>
      <c r="J542" s="195">
        <v>24</v>
      </c>
      <c r="K542" s="204" t="s">
        <v>25</v>
      </c>
      <c r="L542" s="199">
        <v>2</v>
      </c>
      <c r="M542" s="200">
        <v>0.4</v>
      </c>
      <c r="N542" s="201">
        <v>19</v>
      </c>
    </row>
    <row r="543" spans="1:14">
      <c r="A543" s="194">
        <v>41280.661793981482</v>
      </c>
      <c r="B543" s="195">
        <v>2024</v>
      </c>
      <c r="C543" s="194"/>
      <c r="D543" s="194"/>
      <c r="E543" s="196" t="s">
        <v>1843</v>
      </c>
      <c r="G543" s="202"/>
      <c r="J543" s="195">
        <v>24</v>
      </c>
      <c r="K543" s="204" t="s">
        <v>25</v>
      </c>
      <c r="L543" s="199">
        <v>2</v>
      </c>
      <c r="M543" s="200">
        <v>0.3</v>
      </c>
      <c r="N543" s="201">
        <v>22</v>
      </c>
    </row>
    <row r="544" spans="1:14">
      <c r="A544" s="194">
        <v>41285.820243055554</v>
      </c>
      <c r="B544" s="195">
        <v>2024</v>
      </c>
      <c r="C544" s="194"/>
      <c r="D544" s="194"/>
      <c r="E544" s="196" t="s">
        <v>1751</v>
      </c>
      <c r="G544" s="202"/>
      <c r="J544" s="195">
        <v>24</v>
      </c>
      <c r="K544" s="204" t="s">
        <v>25</v>
      </c>
      <c r="L544" s="199">
        <v>2</v>
      </c>
      <c r="M544" s="200">
        <v>1.2</v>
      </c>
      <c r="N544" s="201">
        <v>24</v>
      </c>
    </row>
    <row r="545" spans="1:14">
      <c r="A545" s="194">
        <v>41285.613275462965</v>
      </c>
      <c r="B545" s="195">
        <v>2024</v>
      </c>
      <c r="C545" s="194"/>
      <c r="D545" s="194"/>
      <c r="E545" s="196" t="s">
        <v>1776</v>
      </c>
      <c r="G545" s="202"/>
      <c r="J545" s="195">
        <v>24</v>
      </c>
      <c r="K545" s="204" t="s">
        <v>25</v>
      </c>
      <c r="L545" s="199">
        <v>1</v>
      </c>
      <c r="M545" s="200">
        <v>0.3</v>
      </c>
      <c r="N545" s="201">
        <v>26</v>
      </c>
    </row>
    <row r="546" spans="1:14">
      <c r="A546" s="194">
        <v>41305.808831018519</v>
      </c>
      <c r="B546" s="195">
        <v>2024</v>
      </c>
      <c r="C546" s="194"/>
      <c r="D546" s="194"/>
      <c r="E546" s="196" t="s">
        <v>2042</v>
      </c>
      <c r="G546" s="202"/>
      <c r="J546" s="195">
        <v>24</v>
      </c>
      <c r="K546" s="204" t="s">
        <v>25</v>
      </c>
      <c r="L546" s="199">
        <v>1</v>
      </c>
      <c r="M546" s="200">
        <v>0.4</v>
      </c>
      <c r="N546" s="201">
        <v>27</v>
      </c>
    </row>
    <row r="547" spans="1:14">
      <c r="A547" s="194">
        <v>41295.597511574073</v>
      </c>
      <c r="B547" s="195">
        <v>2024</v>
      </c>
      <c r="C547" s="194"/>
      <c r="D547" s="194"/>
      <c r="E547" s="196" t="s">
        <v>1681</v>
      </c>
      <c r="G547" s="202"/>
      <c r="J547" s="195">
        <v>24</v>
      </c>
      <c r="K547" s="204" t="s">
        <v>25</v>
      </c>
      <c r="L547" s="199">
        <v>1</v>
      </c>
      <c r="M547" s="200">
        <v>0.7</v>
      </c>
      <c r="N547" s="201">
        <v>27</v>
      </c>
    </row>
    <row r="548" spans="1:14">
      <c r="A548" s="194">
        <v>41284.931331018517</v>
      </c>
      <c r="B548" s="195">
        <v>2024</v>
      </c>
      <c r="C548" s="194"/>
      <c r="D548" s="194"/>
      <c r="E548" s="196" t="s">
        <v>2080</v>
      </c>
      <c r="G548" s="202"/>
      <c r="J548" s="195">
        <v>24</v>
      </c>
      <c r="K548" s="204" t="s">
        <v>25</v>
      </c>
      <c r="L548" s="199">
        <v>1</v>
      </c>
      <c r="M548" s="200">
        <v>1</v>
      </c>
      <c r="N548" s="201">
        <v>30</v>
      </c>
    </row>
    <row r="549" spans="1:14">
      <c r="A549" s="194">
        <v>41294.688460648147</v>
      </c>
      <c r="B549" s="195">
        <v>2024</v>
      </c>
      <c r="C549" s="194"/>
      <c r="D549" s="194"/>
      <c r="E549" s="196" t="s">
        <v>1715</v>
      </c>
      <c r="G549" s="202"/>
      <c r="J549" s="195">
        <v>24</v>
      </c>
      <c r="K549" s="204" t="s">
        <v>25</v>
      </c>
      <c r="L549" s="199">
        <v>2</v>
      </c>
      <c r="M549" s="200">
        <v>0.5</v>
      </c>
      <c r="N549" s="201">
        <v>31</v>
      </c>
    </row>
    <row r="550" spans="1:14">
      <c r="A550" s="194">
        <v>41303.485162037039</v>
      </c>
      <c r="B550" s="195">
        <v>2024</v>
      </c>
      <c r="C550" s="194"/>
      <c r="D550" s="194"/>
      <c r="E550" s="196" t="s">
        <v>1951</v>
      </c>
      <c r="G550" s="202"/>
      <c r="J550" s="195">
        <v>24</v>
      </c>
      <c r="K550" s="204" t="s">
        <v>25</v>
      </c>
      <c r="L550" s="199">
        <v>1</v>
      </c>
      <c r="M550" s="200">
        <v>1</v>
      </c>
      <c r="N550" s="201">
        <v>31</v>
      </c>
    </row>
    <row r="551" spans="1:14">
      <c r="A551" s="194">
        <v>41305.643414351849</v>
      </c>
      <c r="B551" s="195">
        <v>2024</v>
      </c>
      <c r="C551" s="194"/>
      <c r="D551" s="194"/>
      <c r="E551" s="196" t="s">
        <v>2010</v>
      </c>
      <c r="G551" s="202"/>
      <c r="J551" s="195">
        <v>24</v>
      </c>
      <c r="K551" s="204" t="s">
        <v>25</v>
      </c>
      <c r="L551" s="199">
        <v>1</v>
      </c>
      <c r="M551" s="200">
        <v>0.4</v>
      </c>
      <c r="N551" s="201">
        <v>33</v>
      </c>
    </row>
    <row r="552" spans="1:14">
      <c r="A552" s="194">
        <v>41304.061574074076</v>
      </c>
      <c r="B552" s="195">
        <v>2024</v>
      </c>
      <c r="C552" s="194"/>
      <c r="D552" s="194"/>
      <c r="E552" s="196" t="s">
        <v>1956</v>
      </c>
      <c r="G552" s="202"/>
      <c r="J552" s="195">
        <v>24</v>
      </c>
      <c r="K552" s="204" t="s">
        <v>25</v>
      </c>
      <c r="L552" s="199">
        <v>2</v>
      </c>
      <c r="M552" s="200">
        <v>0.6</v>
      </c>
      <c r="N552" s="201">
        <v>38</v>
      </c>
    </row>
    <row r="553" spans="1:14">
      <c r="A553" s="194">
        <v>41275.684502314813</v>
      </c>
      <c r="B553" s="195">
        <v>2024</v>
      </c>
      <c r="C553" s="194"/>
      <c r="D553" s="194"/>
      <c r="E553" s="196" t="s">
        <v>2109</v>
      </c>
      <c r="G553" s="202"/>
      <c r="J553" s="195">
        <v>24</v>
      </c>
      <c r="K553" s="204" t="s">
        <v>25</v>
      </c>
      <c r="L553" s="199">
        <v>2</v>
      </c>
      <c r="M553" s="200">
        <v>1.5</v>
      </c>
      <c r="N553" s="201">
        <v>47</v>
      </c>
    </row>
    <row r="554" spans="1:14">
      <c r="A554" s="194">
        <v>41290.591863425929</v>
      </c>
      <c r="B554" s="195">
        <v>2024</v>
      </c>
      <c r="C554" s="194"/>
      <c r="D554" s="194"/>
      <c r="E554" s="196" t="s">
        <v>1994</v>
      </c>
      <c r="G554" s="202"/>
      <c r="J554" s="195">
        <v>29</v>
      </c>
      <c r="K554" s="204" t="s">
        <v>39</v>
      </c>
      <c r="L554" s="199">
        <v>2</v>
      </c>
      <c r="M554" s="200">
        <v>1.4</v>
      </c>
      <c r="N554" s="201">
        <v>14</v>
      </c>
    </row>
    <row r="555" spans="1:14">
      <c r="A555" s="194">
        <v>41292.634143518517</v>
      </c>
      <c r="B555" s="195">
        <v>2024</v>
      </c>
      <c r="C555" s="194"/>
      <c r="D555" s="194"/>
      <c r="E555" s="196" t="s">
        <v>2072</v>
      </c>
      <c r="G555" s="202"/>
      <c r="J555" s="195">
        <v>29</v>
      </c>
      <c r="K555" s="204" t="s">
        <v>39</v>
      </c>
      <c r="L555" s="199">
        <v>2</v>
      </c>
      <c r="M555" s="200">
        <v>0.9</v>
      </c>
      <c r="N555" s="201">
        <v>16</v>
      </c>
    </row>
    <row r="556" spans="1:14">
      <c r="A556" s="194">
        <v>41302.692673611113</v>
      </c>
      <c r="B556" s="195">
        <v>2024</v>
      </c>
      <c r="C556" s="194"/>
      <c r="D556" s="194"/>
      <c r="E556" s="196" t="s">
        <v>2107</v>
      </c>
      <c r="G556" s="202"/>
      <c r="J556" s="195">
        <v>29</v>
      </c>
      <c r="K556" s="204" t="s">
        <v>39</v>
      </c>
      <c r="L556" s="199">
        <v>2</v>
      </c>
      <c r="M556" s="200">
        <v>1.3</v>
      </c>
      <c r="N556" s="201">
        <v>16</v>
      </c>
    </row>
    <row r="557" spans="1:14">
      <c r="A557" s="194">
        <v>41301.568460648145</v>
      </c>
      <c r="B557" s="195">
        <v>2024</v>
      </c>
      <c r="C557" s="194"/>
      <c r="D557" s="194"/>
      <c r="E557" s="196" t="s">
        <v>2005</v>
      </c>
      <c r="G557" s="202"/>
      <c r="J557" s="195">
        <v>29</v>
      </c>
      <c r="K557" s="204" t="s">
        <v>39</v>
      </c>
      <c r="L557" s="199">
        <v>2</v>
      </c>
      <c r="M557" s="200">
        <v>1.4</v>
      </c>
      <c r="N557" s="201">
        <v>16</v>
      </c>
    </row>
    <row r="558" spans="1:14">
      <c r="A558" s="194">
        <v>41297.721064814818</v>
      </c>
      <c r="B558" s="195">
        <v>2024</v>
      </c>
      <c r="C558" s="194"/>
      <c r="D558" s="194"/>
      <c r="E558" s="196" t="s">
        <v>1825</v>
      </c>
      <c r="G558" s="202"/>
      <c r="J558" s="195">
        <v>29</v>
      </c>
      <c r="K558" s="204" t="s">
        <v>39</v>
      </c>
      <c r="L558" s="199">
        <v>1</v>
      </c>
      <c r="M558" s="200">
        <v>2.6</v>
      </c>
      <c r="N558" s="201">
        <v>19</v>
      </c>
    </row>
    <row r="559" spans="1:14">
      <c r="A559" s="194">
        <v>41304.497685185182</v>
      </c>
      <c r="B559" s="195">
        <v>2024</v>
      </c>
      <c r="C559" s="194"/>
      <c r="D559" s="194"/>
      <c r="E559" s="196" t="s">
        <v>1712</v>
      </c>
      <c r="G559" s="202"/>
      <c r="J559" s="195">
        <v>29</v>
      </c>
      <c r="K559" s="204" t="s">
        <v>39</v>
      </c>
      <c r="L559" s="199">
        <v>1</v>
      </c>
      <c r="M559" s="200">
        <v>1.5</v>
      </c>
      <c r="N559" s="201">
        <v>23</v>
      </c>
    </row>
    <row r="560" spans="1:14">
      <c r="A560" s="194">
        <v>41281.765173611115</v>
      </c>
      <c r="B560" s="195">
        <v>2024</v>
      </c>
      <c r="C560" s="194"/>
      <c r="D560" s="194"/>
      <c r="E560" s="196" t="s">
        <v>1969</v>
      </c>
      <c r="G560" s="202"/>
      <c r="J560" s="195">
        <v>29</v>
      </c>
      <c r="K560" s="204" t="s">
        <v>39</v>
      </c>
      <c r="L560" s="199">
        <v>1</v>
      </c>
      <c r="M560" s="200">
        <v>0.4</v>
      </c>
      <c r="N560" s="201">
        <v>29</v>
      </c>
    </row>
    <row r="561" spans="1:14">
      <c r="A561" s="194">
        <v>41301.890682870369</v>
      </c>
      <c r="B561" s="195">
        <v>2024</v>
      </c>
      <c r="C561" s="194"/>
      <c r="D561" s="194"/>
      <c r="E561" s="196" t="s">
        <v>1630</v>
      </c>
      <c r="G561" s="202"/>
      <c r="J561" s="195">
        <v>29</v>
      </c>
      <c r="K561" s="204" t="s">
        <v>39</v>
      </c>
      <c r="L561" s="199">
        <v>2</v>
      </c>
      <c r="M561" s="200">
        <v>0.3</v>
      </c>
      <c r="N561" s="201">
        <v>36</v>
      </c>
    </row>
    <row r="562" spans="1:14">
      <c r="A562" s="194">
        <v>41282.475717592592</v>
      </c>
      <c r="B562" s="195">
        <v>2024</v>
      </c>
      <c r="C562" s="194"/>
      <c r="D562" s="194"/>
      <c r="E562" s="198"/>
      <c r="G562" s="202"/>
      <c r="J562" s="195">
        <v>43</v>
      </c>
      <c r="K562" s="204" t="s">
        <v>1596</v>
      </c>
      <c r="L562" s="199">
        <v>2</v>
      </c>
      <c r="M562" s="200">
        <v>0.4</v>
      </c>
      <c r="N562" s="201">
        <v>16</v>
      </c>
    </row>
    <row r="563" spans="1:14">
      <c r="A563" s="194">
        <v>41295.53292824074</v>
      </c>
      <c r="B563" s="195">
        <v>2024</v>
      </c>
      <c r="C563" s="194"/>
      <c r="D563" s="194"/>
      <c r="E563" s="198"/>
      <c r="G563" s="202"/>
      <c r="J563" s="195">
        <v>43</v>
      </c>
      <c r="K563" s="204" t="s">
        <v>1596</v>
      </c>
      <c r="L563" s="199">
        <v>2</v>
      </c>
      <c r="M563" s="200">
        <v>0.5</v>
      </c>
      <c r="N563" s="201">
        <v>16</v>
      </c>
    </row>
    <row r="564" spans="1:14">
      <c r="A564" s="194">
        <v>41296.620451388888</v>
      </c>
      <c r="B564" s="195">
        <v>2024</v>
      </c>
      <c r="C564" s="194"/>
      <c r="D564" s="194"/>
      <c r="E564" s="198"/>
      <c r="G564" s="202"/>
      <c r="J564" s="195">
        <v>43</v>
      </c>
      <c r="K564" s="204" t="s">
        <v>1596</v>
      </c>
      <c r="L564" s="199">
        <v>2</v>
      </c>
      <c r="M564" s="200">
        <v>0.8</v>
      </c>
      <c r="N564" s="201">
        <v>17</v>
      </c>
    </row>
    <row r="565" spans="1:14">
      <c r="A565" s="194">
        <v>41305.006724537037</v>
      </c>
      <c r="B565" s="195">
        <v>2024</v>
      </c>
      <c r="C565" s="194"/>
      <c r="D565" s="194"/>
      <c r="E565" s="198"/>
      <c r="G565" s="202"/>
      <c r="J565" s="195">
        <v>43</v>
      </c>
      <c r="K565" s="204" t="s">
        <v>1596</v>
      </c>
      <c r="L565" s="199">
        <v>2</v>
      </c>
      <c r="M565" s="200">
        <v>1.2</v>
      </c>
      <c r="N565" s="201">
        <v>17</v>
      </c>
    </row>
    <row r="566" spans="1:14">
      <c r="A566" s="194">
        <v>41286.398032407407</v>
      </c>
      <c r="B566" s="195">
        <v>2024</v>
      </c>
      <c r="C566" s="194"/>
      <c r="D566" s="194"/>
      <c r="E566" s="198"/>
      <c r="G566" s="202"/>
      <c r="J566" s="195">
        <v>43</v>
      </c>
      <c r="K566" s="204" t="s">
        <v>1596</v>
      </c>
      <c r="L566" s="199">
        <v>2</v>
      </c>
      <c r="M566" s="200">
        <v>1.3</v>
      </c>
      <c r="N566" s="201">
        <v>17</v>
      </c>
    </row>
    <row r="567" spans="1:14">
      <c r="A567" s="194">
        <v>41292.759155092594</v>
      </c>
      <c r="B567" s="195">
        <v>2024</v>
      </c>
      <c r="C567" s="194"/>
      <c r="D567" s="194"/>
      <c r="E567" s="198"/>
      <c r="G567" s="202"/>
      <c r="J567" s="195">
        <v>43</v>
      </c>
      <c r="K567" s="204" t="s">
        <v>1596</v>
      </c>
      <c r="L567" s="199">
        <v>2</v>
      </c>
      <c r="M567" s="200">
        <v>1.5</v>
      </c>
      <c r="N567" s="201">
        <v>17</v>
      </c>
    </row>
    <row r="568" spans="1:14">
      <c r="A568" s="194">
        <v>41279.597118055557</v>
      </c>
      <c r="B568" s="195">
        <v>2031</v>
      </c>
      <c r="C568" s="194"/>
      <c r="D568" s="194"/>
      <c r="E568" s="196" t="s">
        <v>270</v>
      </c>
      <c r="F568" s="195">
        <v>456</v>
      </c>
      <c r="G568" s="197" t="s">
        <v>141</v>
      </c>
      <c r="H568" s="197" t="s">
        <v>223</v>
      </c>
      <c r="I568" s="196" t="s">
        <v>226</v>
      </c>
      <c r="J568" s="195">
        <v>1</v>
      </c>
      <c r="K568" s="204" t="s">
        <v>224</v>
      </c>
      <c r="L568" s="199">
        <v>3</v>
      </c>
      <c r="M568" s="200">
        <v>0.5</v>
      </c>
      <c r="N568" s="201">
        <v>22</v>
      </c>
    </row>
    <row r="569" spans="1:14">
      <c r="A569" s="194">
        <v>41276.400601851848</v>
      </c>
      <c r="B569" s="195">
        <v>2031</v>
      </c>
      <c r="C569" s="194"/>
      <c r="D569" s="194"/>
      <c r="E569" s="196" t="s">
        <v>232</v>
      </c>
      <c r="F569" s="195">
        <v>456</v>
      </c>
      <c r="G569" s="197" t="s">
        <v>141</v>
      </c>
      <c r="H569" s="197" t="s">
        <v>223</v>
      </c>
      <c r="I569" s="196" t="s">
        <v>226</v>
      </c>
      <c r="J569" s="195">
        <v>1</v>
      </c>
      <c r="K569" s="204" t="s">
        <v>224</v>
      </c>
      <c r="L569" s="199">
        <v>2</v>
      </c>
      <c r="M569" s="200">
        <v>0.5</v>
      </c>
      <c r="N569" s="201">
        <v>25</v>
      </c>
    </row>
    <row r="570" spans="1:14">
      <c r="A570" s="194">
        <v>41285.255567129629</v>
      </c>
      <c r="B570" s="195">
        <v>2031</v>
      </c>
      <c r="C570" s="194"/>
      <c r="D570" s="194"/>
      <c r="E570" s="196" t="s">
        <v>303</v>
      </c>
      <c r="F570" s="195">
        <v>456</v>
      </c>
      <c r="G570" s="197" t="s">
        <v>141</v>
      </c>
      <c r="H570" s="197" t="s">
        <v>223</v>
      </c>
      <c r="I570" s="196" t="s">
        <v>226</v>
      </c>
      <c r="J570" s="195">
        <v>1</v>
      </c>
      <c r="K570" s="204" t="s">
        <v>224</v>
      </c>
      <c r="L570" s="199">
        <v>2</v>
      </c>
      <c r="M570" s="200">
        <v>1</v>
      </c>
      <c r="N570" s="201">
        <v>25</v>
      </c>
    </row>
    <row r="571" spans="1:14">
      <c r="A571" s="194">
        <v>41276.336712962962</v>
      </c>
      <c r="B571" s="195">
        <v>2031</v>
      </c>
      <c r="C571" s="194"/>
      <c r="D571" s="194"/>
      <c r="E571" s="196" t="s">
        <v>231</v>
      </c>
      <c r="F571" s="195">
        <v>456</v>
      </c>
      <c r="G571" s="197" t="s">
        <v>141</v>
      </c>
      <c r="H571" s="197" t="s">
        <v>223</v>
      </c>
      <c r="I571" s="196" t="s">
        <v>226</v>
      </c>
      <c r="J571" s="195">
        <v>1</v>
      </c>
      <c r="K571" s="204" t="s">
        <v>224</v>
      </c>
      <c r="L571" s="199">
        <v>1</v>
      </c>
      <c r="M571" s="200">
        <v>0.6</v>
      </c>
      <c r="N571" s="201">
        <v>26</v>
      </c>
    </row>
    <row r="572" spans="1:14">
      <c r="A572" s="194">
        <v>41291.347337962965</v>
      </c>
      <c r="B572" s="195">
        <v>2031</v>
      </c>
      <c r="C572" s="194"/>
      <c r="D572" s="194"/>
      <c r="E572" s="196" t="s">
        <v>318</v>
      </c>
      <c r="F572" s="195">
        <v>456</v>
      </c>
      <c r="G572" s="197" t="s">
        <v>141</v>
      </c>
      <c r="H572" s="197" t="s">
        <v>223</v>
      </c>
      <c r="I572" s="196" t="s">
        <v>226</v>
      </c>
      <c r="J572" s="195">
        <v>1</v>
      </c>
      <c r="K572" s="204" t="s">
        <v>224</v>
      </c>
      <c r="L572" s="199">
        <v>1</v>
      </c>
      <c r="M572" s="200">
        <v>0.4</v>
      </c>
      <c r="N572" s="201">
        <v>28</v>
      </c>
    </row>
    <row r="573" spans="1:14">
      <c r="A573" s="194">
        <v>41299.348807870374</v>
      </c>
      <c r="B573" s="195">
        <v>2031</v>
      </c>
      <c r="C573" s="194"/>
      <c r="D573" s="194"/>
      <c r="E573" s="196" t="s">
        <v>1361</v>
      </c>
      <c r="F573" s="195">
        <v>800</v>
      </c>
      <c r="G573" s="197" t="s">
        <v>470</v>
      </c>
      <c r="H573" s="197" t="s">
        <v>471</v>
      </c>
      <c r="J573" s="195">
        <v>1</v>
      </c>
      <c r="K573" s="204" t="s">
        <v>224</v>
      </c>
      <c r="L573" s="199">
        <v>2</v>
      </c>
      <c r="M573" s="200">
        <v>0.6</v>
      </c>
      <c r="N573" s="201">
        <v>17</v>
      </c>
    </row>
    <row r="574" spans="1:14">
      <c r="A574" s="194">
        <v>41281.631111111114</v>
      </c>
      <c r="B574" s="195">
        <v>2031</v>
      </c>
      <c r="C574" s="194"/>
      <c r="D574" s="194"/>
      <c r="E574" s="196" t="s">
        <v>702</v>
      </c>
      <c r="F574" s="195">
        <v>800</v>
      </c>
      <c r="G574" s="197" t="s">
        <v>470</v>
      </c>
      <c r="H574" s="197" t="s">
        <v>471</v>
      </c>
      <c r="J574" s="195">
        <v>1</v>
      </c>
      <c r="K574" s="204" t="s">
        <v>224</v>
      </c>
      <c r="L574" s="199">
        <v>1</v>
      </c>
      <c r="M574" s="200">
        <v>0.4</v>
      </c>
      <c r="N574" s="201">
        <v>18</v>
      </c>
    </row>
    <row r="575" spans="1:14">
      <c r="A575" s="194">
        <v>41300.627974537034</v>
      </c>
      <c r="B575" s="195">
        <v>2031</v>
      </c>
      <c r="C575" s="194"/>
      <c r="D575" s="194"/>
      <c r="E575" s="196" t="s">
        <v>1422</v>
      </c>
      <c r="F575" s="195">
        <v>800</v>
      </c>
      <c r="G575" s="197" t="s">
        <v>470</v>
      </c>
      <c r="H575" s="197" t="s">
        <v>471</v>
      </c>
      <c r="J575" s="195">
        <v>1</v>
      </c>
      <c r="K575" s="204" t="s">
        <v>224</v>
      </c>
      <c r="L575" s="199">
        <v>1</v>
      </c>
      <c r="M575" s="200">
        <v>0.7</v>
      </c>
      <c r="N575" s="201">
        <v>25</v>
      </c>
    </row>
    <row r="576" spans="1:14">
      <c r="A576" s="194">
        <v>41281.252500000002</v>
      </c>
      <c r="B576" s="195">
        <v>2031</v>
      </c>
      <c r="C576" s="194"/>
      <c r="D576" s="194"/>
      <c r="E576" s="196" t="s">
        <v>557</v>
      </c>
      <c r="F576" s="195">
        <v>800</v>
      </c>
      <c r="G576" s="197" t="s">
        <v>470</v>
      </c>
      <c r="H576" s="197" t="s">
        <v>471</v>
      </c>
      <c r="J576" s="195">
        <v>1</v>
      </c>
      <c r="K576" s="204" t="s">
        <v>224</v>
      </c>
      <c r="L576" s="199">
        <v>3</v>
      </c>
      <c r="M576" s="200">
        <v>0.7</v>
      </c>
      <c r="N576" s="201">
        <v>26</v>
      </c>
    </row>
    <row r="577" spans="1:14">
      <c r="A577" s="194">
        <v>41283.065937500003</v>
      </c>
      <c r="B577" s="195">
        <v>2031</v>
      </c>
      <c r="C577" s="194"/>
      <c r="D577" s="194"/>
      <c r="E577" s="196" t="s">
        <v>752</v>
      </c>
      <c r="F577" s="195">
        <v>800</v>
      </c>
      <c r="G577" s="197" t="s">
        <v>470</v>
      </c>
      <c r="H577" s="197" t="s">
        <v>471</v>
      </c>
      <c r="J577" s="195">
        <v>1</v>
      </c>
      <c r="K577" s="204" t="s">
        <v>224</v>
      </c>
      <c r="L577" s="199">
        <v>1</v>
      </c>
      <c r="M577" s="200">
        <v>0.8</v>
      </c>
      <c r="N577" s="201">
        <v>28</v>
      </c>
    </row>
    <row r="578" spans="1:14">
      <c r="A578" s="194">
        <v>41291.515381944446</v>
      </c>
      <c r="B578" s="195">
        <v>2031</v>
      </c>
      <c r="C578" s="194"/>
      <c r="D578" s="194"/>
      <c r="E578" s="196" t="s">
        <v>1089</v>
      </c>
      <c r="F578" s="195">
        <v>800</v>
      </c>
      <c r="G578" s="197" t="s">
        <v>470</v>
      </c>
      <c r="H578" s="197" t="s">
        <v>471</v>
      </c>
      <c r="J578" s="195">
        <v>1</v>
      </c>
      <c r="K578" s="204" t="s">
        <v>224</v>
      </c>
      <c r="L578" s="199">
        <v>3</v>
      </c>
      <c r="M578" s="200">
        <v>0.9</v>
      </c>
      <c r="N578" s="201">
        <v>28</v>
      </c>
    </row>
    <row r="579" spans="1:14">
      <c r="A579" s="194">
        <v>41276.567881944444</v>
      </c>
      <c r="B579" s="195">
        <v>2031</v>
      </c>
      <c r="C579" s="194"/>
      <c r="D579" s="194"/>
      <c r="E579" s="196" t="s">
        <v>500</v>
      </c>
      <c r="F579" s="195">
        <v>800</v>
      </c>
      <c r="G579" s="197" t="s">
        <v>470</v>
      </c>
      <c r="H579" s="197" t="s">
        <v>471</v>
      </c>
      <c r="J579" s="195">
        <v>1</v>
      </c>
      <c r="K579" s="204" t="s">
        <v>224</v>
      </c>
      <c r="L579" s="199">
        <v>1</v>
      </c>
      <c r="M579" s="200">
        <v>0.8</v>
      </c>
      <c r="N579" s="201">
        <v>29</v>
      </c>
    </row>
    <row r="580" spans="1:14">
      <c r="A580" s="194">
        <v>41276.337407407409</v>
      </c>
      <c r="B580" s="195">
        <v>2031</v>
      </c>
      <c r="C580" s="194"/>
      <c r="D580" s="194"/>
      <c r="E580" s="196" t="s">
        <v>498</v>
      </c>
      <c r="F580" s="195">
        <v>800</v>
      </c>
      <c r="G580" s="197" t="s">
        <v>470</v>
      </c>
      <c r="H580" s="197" t="s">
        <v>471</v>
      </c>
      <c r="J580" s="195">
        <v>1</v>
      </c>
      <c r="K580" s="204" t="s">
        <v>224</v>
      </c>
      <c r="L580" s="199">
        <v>3</v>
      </c>
      <c r="M580" s="200">
        <v>0.6</v>
      </c>
      <c r="N580" s="201">
        <v>32</v>
      </c>
    </row>
    <row r="581" spans="1:14">
      <c r="A581" s="194">
        <v>41296.302210648151</v>
      </c>
      <c r="B581" s="195">
        <v>2031</v>
      </c>
      <c r="C581" s="194"/>
      <c r="D581" s="194"/>
      <c r="E581" s="196" t="s">
        <v>1272</v>
      </c>
      <c r="F581" s="195">
        <v>800</v>
      </c>
      <c r="G581" s="197" t="s">
        <v>470</v>
      </c>
      <c r="H581" s="197" t="s">
        <v>471</v>
      </c>
      <c r="J581" s="195">
        <v>1</v>
      </c>
      <c r="K581" s="204" t="s">
        <v>224</v>
      </c>
      <c r="L581" s="199">
        <v>1</v>
      </c>
      <c r="M581" s="200">
        <v>0.4</v>
      </c>
      <c r="N581" s="201">
        <v>34</v>
      </c>
    </row>
    <row r="582" spans="1:14">
      <c r="A582" s="194">
        <v>41305.512060185189</v>
      </c>
      <c r="B582" s="195">
        <v>2031</v>
      </c>
      <c r="C582" s="194"/>
      <c r="D582" s="194"/>
      <c r="E582" s="198"/>
      <c r="G582" s="202"/>
      <c r="J582" s="195">
        <v>2</v>
      </c>
      <c r="K582" s="204" t="s">
        <v>32</v>
      </c>
      <c r="L582" s="199">
        <v>1</v>
      </c>
      <c r="M582" s="200">
        <v>0.9</v>
      </c>
      <c r="N582" s="201">
        <v>24</v>
      </c>
    </row>
    <row r="583" spans="1:14">
      <c r="A583" s="194">
        <v>41280.403379629628</v>
      </c>
      <c r="B583" s="195">
        <v>2031</v>
      </c>
      <c r="C583" s="194"/>
      <c r="D583" s="194"/>
      <c r="E583" s="198"/>
      <c r="G583" s="202"/>
      <c r="J583" s="195">
        <v>2</v>
      </c>
      <c r="K583" s="204" t="s">
        <v>32</v>
      </c>
      <c r="L583" s="199">
        <v>1</v>
      </c>
      <c r="M583" s="200">
        <v>1.7</v>
      </c>
      <c r="N583" s="201">
        <v>32</v>
      </c>
    </row>
    <row r="584" spans="1:14">
      <c r="A584" s="194">
        <v>41299.505057870374</v>
      </c>
      <c r="B584" s="195">
        <v>2031</v>
      </c>
      <c r="C584" s="194"/>
      <c r="D584" s="194"/>
      <c r="E584" s="198"/>
      <c r="G584" s="202"/>
      <c r="J584" s="195">
        <v>7</v>
      </c>
      <c r="K584" s="204" t="s">
        <v>30</v>
      </c>
      <c r="L584" s="199">
        <v>2</v>
      </c>
      <c r="M584" s="200">
        <v>0.4</v>
      </c>
      <c r="N584" s="201">
        <v>24</v>
      </c>
    </row>
    <row r="585" spans="1:14">
      <c r="A585" s="194">
        <v>41291.436909722222</v>
      </c>
      <c r="B585" s="195">
        <v>2031</v>
      </c>
      <c r="C585" s="194"/>
      <c r="D585" s="194"/>
      <c r="E585" s="196" t="s">
        <v>1968</v>
      </c>
      <c r="G585" s="202"/>
      <c r="J585" s="195">
        <v>7</v>
      </c>
      <c r="K585" s="204" t="s">
        <v>30</v>
      </c>
      <c r="L585" s="199">
        <v>1</v>
      </c>
      <c r="M585" s="200">
        <v>0.4</v>
      </c>
      <c r="N585" s="201">
        <v>26</v>
      </c>
    </row>
    <row r="586" spans="1:14">
      <c r="A586" s="194">
        <v>41285.562430555554</v>
      </c>
      <c r="B586" s="195">
        <v>2031</v>
      </c>
      <c r="C586" s="194"/>
      <c r="D586" s="194"/>
      <c r="E586" s="198"/>
      <c r="G586" s="202"/>
      <c r="J586" s="195">
        <v>10</v>
      </c>
      <c r="K586" s="204" t="s">
        <v>31</v>
      </c>
      <c r="L586" s="199">
        <v>3</v>
      </c>
      <c r="M586" s="200">
        <v>0.3</v>
      </c>
      <c r="N586" s="201">
        <v>19</v>
      </c>
    </row>
    <row r="587" spans="1:14">
      <c r="A587" s="194">
        <v>41285.405532407407</v>
      </c>
      <c r="B587" s="195">
        <v>2031</v>
      </c>
      <c r="C587" s="194"/>
      <c r="D587" s="194"/>
      <c r="E587" s="198"/>
      <c r="G587" s="202"/>
      <c r="J587" s="195">
        <v>10</v>
      </c>
      <c r="K587" s="204" t="s">
        <v>31</v>
      </c>
      <c r="L587" s="199">
        <v>1</v>
      </c>
      <c r="M587" s="200">
        <v>0.3</v>
      </c>
      <c r="N587" s="201">
        <v>22</v>
      </c>
    </row>
    <row r="588" spans="1:14">
      <c r="A588" s="194">
        <v>41282.425671296296</v>
      </c>
      <c r="B588" s="195">
        <v>2031</v>
      </c>
      <c r="C588" s="194"/>
      <c r="D588" s="194"/>
      <c r="E588" s="198"/>
      <c r="G588" s="202"/>
      <c r="J588" s="195">
        <v>10</v>
      </c>
      <c r="K588" s="204" t="s">
        <v>31</v>
      </c>
      <c r="L588" s="199">
        <v>3</v>
      </c>
      <c r="M588" s="200">
        <v>0.6</v>
      </c>
      <c r="N588" s="201">
        <v>22</v>
      </c>
    </row>
    <row r="589" spans="1:14">
      <c r="A589" s="194">
        <v>41305.534270833334</v>
      </c>
      <c r="B589" s="195">
        <v>2031</v>
      </c>
      <c r="C589" s="194"/>
      <c r="D589" s="194"/>
      <c r="E589" s="196" t="s">
        <v>2047</v>
      </c>
      <c r="G589" s="202"/>
      <c r="J589" s="195">
        <v>10</v>
      </c>
      <c r="K589" s="204" t="s">
        <v>31</v>
      </c>
      <c r="L589" s="199">
        <v>1</v>
      </c>
      <c r="M589" s="200">
        <v>0.3</v>
      </c>
      <c r="N589" s="201">
        <v>23</v>
      </c>
    </row>
    <row r="590" spans="1:14">
      <c r="A590" s="194">
        <v>41300.318599537037</v>
      </c>
      <c r="B590" s="195">
        <v>2031</v>
      </c>
      <c r="C590" s="194"/>
      <c r="D590" s="194"/>
      <c r="E590" s="198"/>
      <c r="G590" s="202"/>
      <c r="J590" s="195">
        <v>10</v>
      </c>
      <c r="K590" s="204" t="s">
        <v>31</v>
      </c>
      <c r="L590" s="199">
        <v>3</v>
      </c>
      <c r="M590" s="200">
        <v>31.2</v>
      </c>
      <c r="N590" s="201">
        <v>24</v>
      </c>
    </row>
    <row r="591" spans="1:14">
      <c r="A591" s="194">
        <v>41285.412476851852</v>
      </c>
      <c r="B591" s="195">
        <v>2031</v>
      </c>
      <c r="C591" s="194"/>
      <c r="D591" s="194"/>
      <c r="E591" s="198"/>
      <c r="G591" s="202"/>
      <c r="J591" s="195">
        <v>10</v>
      </c>
      <c r="K591" s="204" t="s">
        <v>31</v>
      </c>
      <c r="L591" s="199">
        <v>1</v>
      </c>
      <c r="M591" s="200">
        <v>0.5</v>
      </c>
      <c r="N591" s="201">
        <v>26</v>
      </c>
    </row>
    <row r="592" spans="1:14">
      <c r="A592" s="194">
        <v>41291.363993055558</v>
      </c>
      <c r="B592" s="195">
        <v>2031</v>
      </c>
      <c r="C592" s="194"/>
      <c r="D592" s="194"/>
      <c r="E592" s="196" t="s">
        <v>1734</v>
      </c>
      <c r="G592" s="202"/>
      <c r="J592" s="195">
        <v>11</v>
      </c>
      <c r="K592" s="204" t="s">
        <v>1</v>
      </c>
      <c r="L592" s="199">
        <v>2</v>
      </c>
      <c r="M592" s="200">
        <v>0.3</v>
      </c>
      <c r="N592" s="201">
        <v>20</v>
      </c>
    </row>
    <row r="593" spans="1:14">
      <c r="A593" s="194">
        <v>41282.564525462964</v>
      </c>
      <c r="B593" s="195">
        <v>2031</v>
      </c>
      <c r="C593" s="194"/>
      <c r="D593" s="194"/>
      <c r="E593" s="198"/>
      <c r="G593" s="202"/>
      <c r="J593" s="195">
        <v>12</v>
      </c>
      <c r="K593" s="204" t="s">
        <v>7</v>
      </c>
      <c r="L593" s="199">
        <v>1</v>
      </c>
      <c r="M593" s="200">
        <v>0.5</v>
      </c>
      <c r="N593" s="201">
        <v>30</v>
      </c>
    </row>
    <row r="594" spans="1:14">
      <c r="A594" s="194">
        <v>41284.34306712963</v>
      </c>
      <c r="B594" s="195">
        <v>2031</v>
      </c>
      <c r="C594" s="194"/>
      <c r="D594" s="194"/>
      <c r="E594" s="198"/>
      <c r="G594" s="202"/>
      <c r="J594" s="195">
        <v>14</v>
      </c>
      <c r="K594" s="204" t="s">
        <v>2</v>
      </c>
      <c r="L594" s="199">
        <v>2</v>
      </c>
      <c r="M594" s="200">
        <v>0.3</v>
      </c>
      <c r="N594" s="201">
        <v>19</v>
      </c>
    </row>
    <row r="595" spans="1:14">
      <c r="A595" s="194">
        <v>41276.346435185187</v>
      </c>
      <c r="B595" s="195">
        <v>2031</v>
      </c>
      <c r="C595" s="194"/>
      <c r="D595" s="194"/>
      <c r="E595" s="198"/>
      <c r="G595" s="202"/>
      <c r="J595" s="195">
        <v>14</v>
      </c>
      <c r="K595" s="204" t="s">
        <v>2</v>
      </c>
      <c r="L595" s="199">
        <v>2</v>
      </c>
      <c r="M595" s="200">
        <v>0.5</v>
      </c>
      <c r="N595" s="201">
        <v>27</v>
      </c>
    </row>
    <row r="596" spans="1:14">
      <c r="A596" s="194">
        <v>41305.366909722223</v>
      </c>
      <c r="B596" s="195">
        <v>2031</v>
      </c>
      <c r="C596" s="194"/>
      <c r="D596" s="194"/>
      <c r="E596" s="198"/>
      <c r="G596" s="202"/>
      <c r="J596" s="195">
        <v>15</v>
      </c>
      <c r="K596" s="204" t="s">
        <v>4</v>
      </c>
      <c r="L596" s="199">
        <v>2</v>
      </c>
      <c r="M596" s="200">
        <v>1.4</v>
      </c>
      <c r="N596" s="201">
        <v>22</v>
      </c>
    </row>
    <row r="597" spans="1:14">
      <c r="A597" s="194">
        <v>41300.518263888887</v>
      </c>
      <c r="B597" s="195">
        <v>2031</v>
      </c>
      <c r="C597" s="194"/>
      <c r="D597" s="194"/>
      <c r="E597" s="198"/>
      <c r="G597" s="202"/>
      <c r="J597" s="195">
        <v>15</v>
      </c>
      <c r="K597" s="204" t="s">
        <v>4</v>
      </c>
      <c r="L597" s="199">
        <v>1</v>
      </c>
      <c r="M597" s="200">
        <v>0.5</v>
      </c>
      <c r="N597" s="201">
        <v>28</v>
      </c>
    </row>
    <row r="598" spans="1:14">
      <c r="A598" s="194">
        <v>41285.586747685185</v>
      </c>
      <c r="B598" s="195">
        <v>2031</v>
      </c>
      <c r="C598" s="194"/>
      <c r="D598" s="194"/>
      <c r="E598" s="198"/>
      <c r="G598" s="202"/>
      <c r="J598" s="195">
        <v>17</v>
      </c>
      <c r="K598" s="204" t="s">
        <v>11</v>
      </c>
      <c r="L598" s="199">
        <v>3</v>
      </c>
      <c r="M598" s="200">
        <v>0.8</v>
      </c>
      <c r="N598" s="201">
        <v>16</v>
      </c>
    </row>
    <row r="599" spans="1:14">
      <c r="A599" s="194">
        <v>41278.756493055553</v>
      </c>
      <c r="B599" s="195">
        <v>2031</v>
      </c>
      <c r="C599" s="194"/>
      <c r="D599" s="194"/>
      <c r="E599" s="198"/>
      <c r="G599" s="202"/>
      <c r="J599" s="195">
        <v>17</v>
      </c>
      <c r="K599" s="204" t="s">
        <v>11</v>
      </c>
      <c r="L599" s="199">
        <v>1</v>
      </c>
      <c r="M599" s="200">
        <v>29.2</v>
      </c>
      <c r="N599" s="201">
        <v>16</v>
      </c>
    </row>
    <row r="600" spans="1:14">
      <c r="A600" s="194">
        <v>41281.112071759257</v>
      </c>
      <c r="B600" s="195">
        <v>2031</v>
      </c>
      <c r="C600" s="194"/>
      <c r="D600" s="194"/>
      <c r="E600" s="198"/>
      <c r="G600" s="202"/>
      <c r="J600" s="195">
        <v>17</v>
      </c>
      <c r="K600" s="204" t="s">
        <v>11</v>
      </c>
      <c r="L600" s="199">
        <v>2</v>
      </c>
      <c r="M600" s="200">
        <v>30.3</v>
      </c>
      <c r="N600" s="201">
        <v>16</v>
      </c>
    </row>
    <row r="601" spans="1:14">
      <c r="A601" s="194">
        <v>41280.723182870373</v>
      </c>
      <c r="B601" s="195">
        <v>2031</v>
      </c>
      <c r="C601" s="194"/>
      <c r="D601" s="194"/>
      <c r="E601" s="198"/>
      <c r="G601" s="202"/>
      <c r="J601" s="195">
        <v>17</v>
      </c>
      <c r="K601" s="204" t="s">
        <v>11</v>
      </c>
      <c r="L601" s="199">
        <v>3</v>
      </c>
      <c r="M601" s="200">
        <v>31.2</v>
      </c>
      <c r="N601" s="201">
        <v>16</v>
      </c>
    </row>
    <row r="602" spans="1:14">
      <c r="A602" s="194">
        <v>41280.016226851854</v>
      </c>
      <c r="B602" s="195">
        <v>2031</v>
      </c>
      <c r="C602" s="194"/>
      <c r="D602" s="194"/>
      <c r="E602" s="198"/>
      <c r="G602" s="202"/>
      <c r="J602" s="195">
        <v>17</v>
      </c>
      <c r="K602" s="204" t="s">
        <v>11</v>
      </c>
      <c r="L602" s="199">
        <v>2</v>
      </c>
      <c r="M602" s="200">
        <v>30.3</v>
      </c>
      <c r="N602" s="201">
        <v>17</v>
      </c>
    </row>
    <row r="603" spans="1:14">
      <c r="A603" s="194">
        <v>41279.841932870368</v>
      </c>
      <c r="B603" s="195">
        <v>2031</v>
      </c>
      <c r="C603" s="194"/>
      <c r="D603" s="194"/>
      <c r="E603" s="198"/>
      <c r="G603" s="202"/>
      <c r="J603" s="195">
        <v>17</v>
      </c>
      <c r="K603" s="204" t="s">
        <v>11</v>
      </c>
      <c r="L603" s="199">
        <v>2</v>
      </c>
      <c r="M603" s="200">
        <v>30.9</v>
      </c>
      <c r="N603" s="201">
        <v>17</v>
      </c>
    </row>
    <row r="604" spans="1:14">
      <c r="A604" s="194">
        <v>41284.182962962965</v>
      </c>
      <c r="B604" s="195">
        <v>2031</v>
      </c>
      <c r="C604" s="194"/>
      <c r="D604" s="194"/>
      <c r="E604" s="198"/>
      <c r="G604" s="202"/>
      <c r="J604" s="195">
        <v>17</v>
      </c>
      <c r="K604" s="204" t="s">
        <v>11</v>
      </c>
      <c r="L604" s="199">
        <v>2</v>
      </c>
      <c r="M604" s="200">
        <v>31.1</v>
      </c>
      <c r="N604" s="201">
        <v>17</v>
      </c>
    </row>
    <row r="605" spans="1:14">
      <c r="A605" s="194">
        <v>41300.222037037034</v>
      </c>
      <c r="B605" s="195">
        <v>2031</v>
      </c>
      <c r="C605" s="194"/>
      <c r="D605" s="194"/>
      <c r="E605" s="198"/>
      <c r="G605" s="202"/>
      <c r="J605" s="195">
        <v>17</v>
      </c>
      <c r="K605" s="204" t="s">
        <v>11</v>
      </c>
      <c r="L605" s="199">
        <v>2</v>
      </c>
      <c r="M605" s="200">
        <v>31.3</v>
      </c>
      <c r="N605" s="201">
        <v>17</v>
      </c>
    </row>
    <row r="606" spans="1:14">
      <c r="A606" s="194">
        <v>41279.337071759262</v>
      </c>
      <c r="B606" s="195">
        <v>2031</v>
      </c>
      <c r="C606" s="194"/>
      <c r="D606" s="194"/>
      <c r="E606" s="198"/>
      <c r="G606" s="202"/>
      <c r="J606" s="195">
        <v>17</v>
      </c>
      <c r="K606" s="204" t="s">
        <v>11</v>
      </c>
      <c r="L606" s="199">
        <v>2</v>
      </c>
      <c r="M606" s="200">
        <v>31.3</v>
      </c>
      <c r="N606" s="201">
        <v>17</v>
      </c>
    </row>
    <row r="607" spans="1:14">
      <c r="A607" s="194">
        <v>41276.089780092596</v>
      </c>
      <c r="B607" s="195">
        <v>2031</v>
      </c>
      <c r="C607" s="194"/>
      <c r="D607" s="194"/>
      <c r="E607" s="198"/>
      <c r="G607" s="202"/>
      <c r="J607" s="195">
        <v>17</v>
      </c>
      <c r="K607" s="204" t="s">
        <v>11</v>
      </c>
      <c r="L607" s="199">
        <v>2</v>
      </c>
      <c r="M607" s="200">
        <v>31.3</v>
      </c>
      <c r="N607" s="201">
        <v>18</v>
      </c>
    </row>
    <row r="608" spans="1:14">
      <c r="A608" s="194">
        <v>41278.219675925924</v>
      </c>
      <c r="B608" s="195">
        <v>2031</v>
      </c>
      <c r="C608" s="194"/>
      <c r="D608" s="194"/>
      <c r="E608" s="198"/>
      <c r="G608" s="202"/>
      <c r="J608" s="195">
        <v>17</v>
      </c>
      <c r="K608" s="204" t="s">
        <v>11</v>
      </c>
      <c r="L608" s="199">
        <v>1</v>
      </c>
      <c r="M608" s="200">
        <v>30.6</v>
      </c>
      <c r="N608" s="201">
        <v>19</v>
      </c>
    </row>
    <row r="609" spans="1:14">
      <c r="A609" s="194">
        <v>41277.916921296295</v>
      </c>
      <c r="B609" s="195">
        <v>2031</v>
      </c>
      <c r="C609" s="194"/>
      <c r="D609" s="194"/>
      <c r="E609" s="198"/>
      <c r="G609" s="202"/>
      <c r="J609" s="195">
        <v>17</v>
      </c>
      <c r="K609" s="204" t="s">
        <v>11</v>
      </c>
      <c r="L609" s="199">
        <v>3</v>
      </c>
      <c r="M609" s="200">
        <v>31.4</v>
      </c>
      <c r="N609" s="201">
        <v>19</v>
      </c>
    </row>
    <row r="610" spans="1:14">
      <c r="A610" s="194">
        <v>41299.377314814818</v>
      </c>
      <c r="B610" s="195">
        <v>2031</v>
      </c>
      <c r="C610" s="194"/>
      <c r="D610" s="194"/>
      <c r="E610" s="198"/>
      <c r="G610" s="202"/>
      <c r="J610" s="195">
        <v>17</v>
      </c>
      <c r="K610" s="204" t="s">
        <v>11</v>
      </c>
      <c r="L610" s="199">
        <v>3</v>
      </c>
      <c r="M610" s="200">
        <v>3.5</v>
      </c>
      <c r="N610" s="201">
        <v>20</v>
      </c>
    </row>
    <row r="611" spans="1:14">
      <c r="A611" s="194">
        <v>41286.010729166665</v>
      </c>
      <c r="B611" s="195">
        <v>2031</v>
      </c>
      <c r="C611" s="194"/>
      <c r="D611" s="194"/>
      <c r="E611" s="198"/>
      <c r="G611" s="202"/>
      <c r="J611" s="195">
        <v>17</v>
      </c>
      <c r="K611" s="204" t="s">
        <v>11</v>
      </c>
      <c r="L611" s="199">
        <v>2</v>
      </c>
      <c r="M611" s="200">
        <v>31.3</v>
      </c>
      <c r="N611" s="201">
        <v>21</v>
      </c>
    </row>
    <row r="612" spans="1:14">
      <c r="A612" s="194">
        <v>41278.547939814816</v>
      </c>
      <c r="B612" s="195">
        <v>2031</v>
      </c>
      <c r="C612" s="194"/>
      <c r="D612" s="194"/>
      <c r="E612" s="198"/>
      <c r="G612" s="202"/>
      <c r="J612" s="195">
        <v>17</v>
      </c>
      <c r="K612" s="204" t="s">
        <v>11</v>
      </c>
      <c r="L612" s="199">
        <v>2</v>
      </c>
      <c r="M612" s="200">
        <v>10.4</v>
      </c>
      <c r="N612" s="201">
        <v>24</v>
      </c>
    </row>
    <row r="613" spans="1:14">
      <c r="A613" s="194">
        <v>41276.500555555554</v>
      </c>
      <c r="B613" s="195">
        <v>2031</v>
      </c>
      <c r="C613" s="194"/>
      <c r="D613" s="194"/>
      <c r="E613" s="198"/>
      <c r="G613" s="202"/>
      <c r="J613" s="195">
        <v>17</v>
      </c>
      <c r="K613" s="204" t="s">
        <v>11</v>
      </c>
      <c r="L613" s="199">
        <v>1</v>
      </c>
      <c r="M613" s="200">
        <v>1.3</v>
      </c>
      <c r="N613" s="201">
        <v>29</v>
      </c>
    </row>
    <row r="614" spans="1:14">
      <c r="A614" s="194">
        <v>41286.468726851854</v>
      </c>
      <c r="B614" s="195">
        <v>2031</v>
      </c>
      <c r="C614" s="194"/>
      <c r="D614" s="194"/>
      <c r="E614" s="198"/>
      <c r="G614" s="202"/>
      <c r="J614" s="195">
        <v>17</v>
      </c>
      <c r="K614" s="204" t="s">
        <v>11</v>
      </c>
      <c r="L614" s="199">
        <v>2</v>
      </c>
      <c r="M614" s="200">
        <v>1.8</v>
      </c>
      <c r="N614" s="201">
        <v>31</v>
      </c>
    </row>
    <row r="615" spans="1:14">
      <c r="A615" s="194">
        <v>41291.800856481481</v>
      </c>
      <c r="B615" s="195">
        <v>2031</v>
      </c>
      <c r="C615" s="194"/>
      <c r="D615" s="194"/>
      <c r="E615" s="198"/>
      <c r="G615" s="202"/>
      <c r="J615" s="195">
        <v>18</v>
      </c>
      <c r="K615" s="204" t="s">
        <v>5</v>
      </c>
      <c r="L615" s="199">
        <v>2</v>
      </c>
      <c r="M615" s="200">
        <v>7.2</v>
      </c>
      <c r="N615" s="201">
        <v>0</v>
      </c>
    </row>
    <row r="616" spans="1:14">
      <c r="A616" s="194">
        <v>41276.482037037036</v>
      </c>
      <c r="B616" s="195">
        <v>2031</v>
      </c>
      <c r="C616" s="194"/>
      <c r="D616" s="194"/>
      <c r="E616" s="198"/>
      <c r="G616" s="202"/>
      <c r="J616" s="195">
        <v>18</v>
      </c>
      <c r="K616" s="204" t="s">
        <v>5</v>
      </c>
      <c r="L616" s="199">
        <v>1</v>
      </c>
      <c r="M616" s="200">
        <v>20.3</v>
      </c>
      <c r="N616" s="201">
        <v>16</v>
      </c>
    </row>
    <row r="617" spans="1:14">
      <c r="A617" s="194">
        <v>41284.283368055556</v>
      </c>
      <c r="B617" s="195">
        <v>2031</v>
      </c>
      <c r="C617" s="194"/>
      <c r="D617" s="194"/>
      <c r="E617" s="198"/>
      <c r="G617" s="202"/>
      <c r="J617" s="195">
        <v>18</v>
      </c>
      <c r="K617" s="204" t="s">
        <v>5</v>
      </c>
      <c r="L617" s="199">
        <v>1</v>
      </c>
      <c r="M617" s="200">
        <v>3.7</v>
      </c>
      <c r="N617" s="201">
        <v>17</v>
      </c>
    </row>
    <row r="618" spans="1:14">
      <c r="A618" s="194">
        <v>41281.83829861111</v>
      </c>
      <c r="B618" s="195">
        <v>2031</v>
      </c>
      <c r="C618" s="194"/>
      <c r="D618" s="194"/>
      <c r="E618" s="198"/>
      <c r="G618" s="202"/>
      <c r="J618" s="195">
        <v>18</v>
      </c>
      <c r="K618" s="204" t="s">
        <v>5</v>
      </c>
      <c r="L618" s="199">
        <v>2</v>
      </c>
      <c r="M618" s="200">
        <v>22.4</v>
      </c>
      <c r="N618" s="201">
        <v>17</v>
      </c>
    </row>
    <row r="619" spans="1:14">
      <c r="A619" s="194">
        <v>41287.93959490741</v>
      </c>
      <c r="B619" s="195">
        <v>2031</v>
      </c>
      <c r="C619" s="194"/>
      <c r="D619" s="194"/>
      <c r="E619" s="198"/>
      <c r="G619" s="202"/>
      <c r="J619" s="195">
        <v>18</v>
      </c>
      <c r="K619" s="204" t="s">
        <v>5</v>
      </c>
      <c r="L619" s="199">
        <v>2</v>
      </c>
      <c r="M619" s="200">
        <v>3.9</v>
      </c>
      <c r="N619" s="201">
        <v>18</v>
      </c>
    </row>
    <row r="620" spans="1:14">
      <c r="A620" s="194">
        <v>41279.467407407406</v>
      </c>
      <c r="B620" s="195">
        <v>2031</v>
      </c>
      <c r="C620" s="194"/>
      <c r="D620" s="194"/>
      <c r="E620" s="198"/>
      <c r="G620" s="202"/>
      <c r="J620" s="195">
        <v>18</v>
      </c>
      <c r="K620" s="204" t="s">
        <v>5</v>
      </c>
      <c r="L620" s="199">
        <v>2</v>
      </c>
      <c r="M620" s="200">
        <v>12.3</v>
      </c>
      <c r="N620" s="201">
        <v>18</v>
      </c>
    </row>
    <row r="621" spans="1:14">
      <c r="A621" s="194">
        <v>41277.54310185185</v>
      </c>
      <c r="B621" s="195">
        <v>2031</v>
      </c>
      <c r="C621" s="194"/>
      <c r="D621" s="194"/>
      <c r="E621" s="198"/>
      <c r="G621" s="202"/>
      <c r="J621" s="195">
        <v>18</v>
      </c>
      <c r="K621" s="204" t="s">
        <v>5</v>
      </c>
      <c r="L621" s="199">
        <v>2</v>
      </c>
      <c r="M621" s="200">
        <v>19.8</v>
      </c>
      <c r="N621" s="201">
        <v>19</v>
      </c>
    </row>
    <row r="622" spans="1:14">
      <c r="A622" s="194">
        <v>41282.237719907411</v>
      </c>
      <c r="B622" s="195">
        <v>2031</v>
      </c>
      <c r="C622" s="194"/>
      <c r="D622" s="194"/>
      <c r="E622" s="198"/>
      <c r="G622" s="202"/>
      <c r="J622" s="195">
        <v>18</v>
      </c>
      <c r="K622" s="204" t="s">
        <v>5</v>
      </c>
      <c r="L622" s="199">
        <v>1</v>
      </c>
      <c r="M622" s="200">
        <v>22.6</v>
      </c>
      <c r="N622" s="201">
        <v>21</v>
      </c>
    </row>
    <row r="623" spans="1:14">
      <c r="A623" s="194">
        <v>41284.28334490741</v>
      </c>
      <c r="B623" s="195">
        <v>2031</v>
      </c>
      <c r="C623" s="194"/>
      <c r="D623" s="194"/>
      <c r="E623" s="198"/>
      <c r="G623" s="202"/>
      <c r="J623" s="195">
        <v>18</v>
      </c>
      <c r="K623" s="204" t="s">
        <v>5</v>
      </c>
      <c r="L623" s="199">
        <v>1</v>
      </c>
      <c r="M623" s="200">
        <v>1.3</v>
      </c>
      <c r="N623" s="201">
        <v>22</v>
      </c>
    </row>
    <row r="624" spans="1:14">
      <c r="A624" s="194">
        <v>41285.653460648151</v>
      </c>
      <c r="B624" s="195">
        <v>2031</v>
      </c>
      <c r="C624" s="194"/>
      <c r="D624" s="194"/>
      <c r="E624" s="198"/>
      <c r="G624" s="202"/>
      <c r="J624" s="195">
        <v>18</v>
      </c>
      <c r="K624" s="204" t="s">
        <v>5</v>
      </c>
      <c r="L624" s="199">
        <v>2</v>
      </c>
      <c r="M624" s="200">
        <v>0.8</v>
      </c>
      <c r="N624" s="201">
        <v>25</v>
      </c>
    </row>
    <row r="625" spans="1:14">
      <c r="A625" s="194">
        <v>41282.407627314817</v>
      </c>
      <c r="B625" s="195">
        <v>2031</v>
      </c>
      <c r="C625" s="194"/>
      <c r="D625" s="194"/>
      <c r="E625" s="198"/>
      <c r="G625" s="202"/>
      <c r="J625" s="195">
        <v>18</v>
      </c>
      <c r="K625" s="204" t="s">
        <v>5</v>
      </c>
      <c r="L625" s="199">
        <v>1</v>
      </c>
      <c r="M625" s="200">
        <v>1.7</v>
      </c>
      <c r="N625" s="201">
        <v>25</v>
      </c>
    </row>
    <row r="626" spans="1:14">
      <c r="A626" s="194">
        <v>41284.290289351855</v>
      </c>
      <c r="B626" s="195">
        <v>2031</v>
      </c>
      <c r="C626" s="194"/>
      <c r="D626" s="194"/>
      <c r="E626" s="198"/>
      <c r="G626" s="202"/>
      <c r="J626" s="195">
        <v>18</v>
      </c>
      <c r="K626" s="204" t="s">
        <v>5</v>
      </c>
      <c r="L626" s="199">
        <v>2</v>
      </c>
      <c r="M626" s="200">
        <v>0.9</v>
      </c>
      <c r="N626" s="201">
        <v>27</v>
      </c>
    </row>
    <row r="627" spans="1:14">
      <c r="A627" s="194">
        <v>41278.520752314813</v>
      </c>
      <c r="B627" s="195">
        <v>2031</v>
      </c>
      <c r="C627" s="194"/>
      <c r="D627" s="194"/>
      <c r="E627" s="196" t="s">
        <v>2156</v>
      </c>
      <c r="G627" s="202"/>
      <c r="J627" s="195">
        <v>24</v>
      </c>
      <c r="K627" s="204" t="s">
        <v>25</v>
      </c>
      <c r="L627" s="199">
        <v>1</v>
      </c>
      <c r="M627" s="200">
        <v>0.6</v>
      </c>
      <c r="N627" s="201">
        <v>19</v>
      </c>
    </row>
    <row r="628" spans="1:14">
      <c r="A628" s="194">
        <v>41285.706261574072</v>
      </c>
      <c r="B628" s="195">
        <v>2031</v>
      </c>
      <c r="C628" s="194"/>
      <c r="D628" s="194"/>
      <c r="E628" s="196" t="s">
        <v>1664</v>
      </c>
      <c r="G628" s="202"/>
      <c r="J628" s="195">
        <v>24</v>
      </c>
      <c r="K628" s="204" t="s">
        <v>25</v>
      </c>
      <c r="L628" s="199">
        <v>1</v>
      </c>
      <c r="M628" s="200">
        <v>0.8</v>
      </c>
      <c r="N628" s="201">
        <v>19</v>
      </c>
    </row>
    <row r="629" spans="1:14">
      <c r="A629" s="194">
        <v>41291.382048611114</v>
      </c>
      <c r="B629" s="195">
        <v>2031</v>
      </c>
      <c r="C629" s="194"/>
      <c r="D629" s="194"/>
      <c r="E629" s="196" t="s">
        <v>1841</v>
      </c>
      <c r="G629" s="202"/>
      <c r="J629" s="195">
        <v>24</v>
      </c>
      <c r="K629" s="204" t="s">
        <v>25</v>
      </c>
      <c r="L629" s="199">
        <v>2</v>
      </c>
      <c r="M629" s="200">
        <v>0.3</v>
      </c>
      <c r="N629" s="201">
        <v>28</v>
      </c>
    </row>
    <row r="630" spans="1:14">
      <c r="A630" s="194">
        <v>41278.247800925928</v>
      </c>
      <c r="B630" s="195">
        <v>2031</v>
      </c>
      <c r="C630" s="194"/>
      <c r="D630" s="194"/>
      <c r="E630" s="196" t="s">
        <v>1999</v>
      </c>
      <c r="G630" s="202"/>
      <c r="J630" s="195">
        <v>24</v>
      </c>
      <c r="K630" s="204" t="s">
        <v>25</v>
      </c>
      <c r="L630" s="199">
        <v>3</v>
      </c>
      <c r="M630" s="200">
        <v>0.4</v>
      </c>
      <c r="N630" s="201">
        <v>64</v>
      </c>
    </row>
    <row r="631" spans="1:14">
      <c r="A631" s="194">
        <v>41305.355787037035</v>
      </c>
      <c r="B631" s="195">
        <v>2031</v>
      </c>
      <c r="C631" s="194"/>
      <c r="D631" s="194"/>
      <c r="E631" s="196" t="s">
        <v>1674</v>
      </c>
      <c r="G631" s="202"/>
      <c r="J631" s="195">
        <v>29</v>
      </c>
      <c r="K631" s="204" t="s">
        <v>39</v>
      </c>
      <c r="L631" s="199">
        <v>2</v>
      </c>
      <c r="M631" s="200">
        <v>0.3</v>
      </c>
      <c r="N631" s="201">
        <v>24</v>
      </c>
    </row>
    <row r="632" spans="1:14">
      <c r="A632" s="194">
        <v>41300.732835648145</v>
      </c>
      <c r="B632" s="195">
        <v>2031</v>
      </c>
      <c r="C632" s="194"/>
      <c r="D632" s="194"/>
      <c r="E632" s="196" t="s">
        <v>1682</v>
      </c>
      <c r="G632" s="202"/>
      <c r="J632" s="195">
        <v>29</v>
      </c>
      <c r="K632" s="204" t="s">
        <v>39</v>
      </c>
      <c r="L632" s="199">
        <v>2</v>
      </c>
      <c r="M632" s="200">
        <v>0.7</v>
      </c>
      <c r="N632" s="201">
        <v>24</v>
      </c>
    </row>
    <row r="633" spans="1:14">
      <c r="A633" s="194">
        <v>41282.336793981478</v>
      </c>
      <c r="B633" s="195">
        <v>2031</v>
      </c>
      <c r="C633" s="194"/>
      <c r="D633" s="194"/>
      <c r="E633" s="196" t="s">
        <v>1954</v>
      </c>
      <c r="G633" s="202"/>
      <c r="J633" s="195">
        <v>29</v>
      </c>
      <c r="K633" s="204" t="s">
        <v>39</v>
      </c>
      <c r="L633" s="199">
        <v>1</v>
      </c>
      <c r="M633" s="200">
        <v>0.3</v>
      </c>
      <c r="N633" s="201">
        <v>27</v>
      </c>
    </row>
    <row r="634" spans="1:14">
      <c r="A634" s="194">
        <v>41286.245138888888</v>
      </c>
      <c r="B634" s="195">
        <v>2031</v>
      </c>
      <c r="C634" s="194"/>
      <c r="D634" s="194"/>
      <c r="E634" s="196" t="s">
        <v>1605</v>
      </c>
      <c r="G634" s="202"/>
      <c r="J634" s="195">
        <v>29</v>
      </c>
      <c r="K634" s="204" t="s">
        <v>39</v>
      </c>
      <c r="L634" s="199">
        <v>3</v>
      </c>
      <c r="M634" s="200">
        <v>0.8</v>
      </c>
      <c r="N634" s="201">
        <v>37</v>
      </c>
    </row>
    <row r="635" spans="1:14">
      <c r="A635" s="194">
        <v>41285.275706018518</v>
      </c>
      <c r="B635" s="195">
        <v>2031</v>
      </c>
      <c r="C635" s="194"/>
      <c r="D635" s="194"/>
      <c r="E635" s="198"/>
      <c r="G635" s="202"/>
      <c r="J635" s="195">
        <v>4400</v>
      </c>
      <c r="K635" s="204" t="s">
        <v>37</v>
      </c>
      <c r="L635" s="199">
        <v>2</v>
      </c>
      <c r="M635" s="200">
        <v>0.7</v>
      </c>
      <c r="N635" s="201">
        <v>27</v>
      </c>
    </row>
    <row r="636" spans="1:14">
      <c r="A636" s="194">
        <v>41295.597222222219</v>
      </c>
      <c r="B636" s="195">
        <v>2051</v>
      </c>
      <c r="C636" s="194"/>
      <c r="D636" s="194"/>
      <c r="E636" s="196" t="s">
        <v>341</v>
      </c>
      <c r="F636" s="195">
        <v>456</v>
      </c>
      <c r="G636" s="197" t="s">
        <v>141</v>
      </c>
      <c r="H636" s="197" t="s">
        <v>223</v>
      </c>
      <c r="I636" s="196" t="s">
        <v>226</v>
      </c>
      <c r="J636" s="195">
        <v>1</v>
      </c>
      <c r="K636" s="204" t="s">
        <v>224</v>
      </c>
      <c r="L636" s="199">
        <v>2</v>
      </c>
      <c r="M636" s="200">
        <v>0.5</v>
      </c>
      <c r="N636" s="201">
        <v>16</v>
      </c>
    </row>
    <row r="637" spans="1:14">
      <c r="A637" s="194">
        <v>41278.472962962966</v>
      </c>
      <c r="B637" s="195">
        <v>2051</v>
      </c>
      <c r="C637" s="194"/>
      <c r="D637" s="194"/>
      <c r="E637" s="196" t="s">
        <v>257</v>
      </c>
      <c r="F637" s="195">
        <v>456</v>
      </c>
      <c r="G637" s="197" t="s">
        <v>141</v>
      </c>
      <c r="H637" s="197" t="s">
        <v>223</v>
      </c>
      <c r="I637" s="196" t="s">
        <v>226</v>
      </c>
      <c r="J637" s="195">
        <v>1</v>
      </c>
      <c r="K637" s="204" t="s">
        <v>224</v>
      </c>
      <c r="L637" s="199">
        <v>2</v>
      </c>
      <c r="M637" s="200">
        <v>0.6</v>
      </c>
      <c r="N637" s="201">
        <v>20</v>
      </c>
    </row>
    <row r="638" spans="1:14">
      <c r="A638" s="194">
        <v>41299.775416666664</v>
      </c>
      <c r="B638" s="195">
        <v>2051</v>
      </c>
      <c r="C638" s="194"/>
      <c r="D638" s="194"/>
      <c r="E638" s="196" t="s">
        <v>358</v>
      </c>
      <c r="F638" s="195">
        <v>456</v>
      </c>
      <c r="G638" s="197" t="s">
        <v>141</v>
      </c>
      <c r="H638" s="197" t="s">
        <v>223</v>
      </c>
      <c r="I638" s="196" t="s">
        <v>226</v>
      </c>
      <c r="J638" s="195">
        <v>1</v>
      </c>
      <c r="K638" s="204" t="s">
        <v>224</v>
      </c>
      <c r="L638" s="199">
        <v>2</v>
      </c>
      <c r="M638" s="200">
        <v>0.6</v>
      </c>
      <c r="N638" s="201">
        <v>21</v>
      </c>
    </row>
    <row r="639" spans="1:14">
      <c r="A639" s="194">
        <v>41285.676932870374</v>
      </c>
      <c r="B639" s="195">
        <v>2051</v>
      </c>
      <c r="C639" s="194"/>
      <c r="D639" s="194"/>
      <c r="E639" s="196" t="s">
        <v>887</v>
      </c>
      <c r="F639" s="195">
        <v>800</v>
      </c>
      <c r="G639" s="197" t="s">
        <v>470</v>
      </c>
      <c r="H639" s="197" t="s">
        <v>471</v>
      </c>
      <c r="J639" s="195">
        <v>1</v>
      </c>
      <c r="K639" s="204" t="s">
        <v>224</v>
      </c>
      <c r="L639" s="199">
        <v>2</v>
      </c>
      <c r="M639" s="200">
        <v>0.4</v>
      </c>
      <c r="N639" s="201">
        <v>16</v>
      </c>
    </row>
    <row r="640" spans="1:14">
      <c r="A640" s="194">
        <v>41295.51458333333</v>
      </c>
      <c r="B640" s="195">
        <v>2051</v>
      </c>
      <c r="C640" s="194"/>
      <c r="D640" s="194"/>
      <c r="E640" s="196" t="s">
        <v>1220</v>
      </c>
      <c r="F640" s="195">
        <v>800</v>
      </c>
      <c r="G640" s="197" t="s">
        <v>470</v>
      </c>
      <c r="H640" s="197" t="s">
        <v>471</v>
      </c>
      <c r="J640" s="195">
        <v>1</v>
      </c>
      <c r="K640" s="204" t="s">
        <v>224</v>
      </c>
      <c r="L640" s="199">
        <v>2</v>
      </c>
      <c r="M640" s="200">
        <v>1.6</v>
      </c>
      <c r="N640" s="201">
        <v>16</v>
      </c>
    </row>
    <row r="641" spans="1:14">
      <c r="A641" s="194">
        <v>41301.652013888888</v>
      </c>
      <c r="B641" s="195">
        <v>2051</v>
      </c>
      <c r="C641" s="194"/>
      <c r="D641" s="194"/>
      <c r="E641" s="196" t="s">
        <v>1369</v>
      </c>
      <c r="F641" s="195">
        <v>800</v>
      </c>
      <c r="G641" s="197" t="s">
        <v>470</v>
      </c>
      <c r="H641" s="197" t="s">
        <v>471</v>
      </c>
      <c r="J641" s="195">
        <v>1</v>
      </c>
      <c r="K641" s="204" t="s">
        <v>224</v>
      </c>
      <c r="L641" s="199">
        <v>2</v>
      </c>
      <c r="M641" s="200">
        <v>13.4</v>
      </c>
      <c r="N641" s="201">
        <v>16</v>
      </c>
    </row>
    <row r="642" spans="1:14">
      <c r="A642" s="194">
        <v>41296.444236111114</v>
      </c>
      <c r="B642" s="195">
        <v>2051</v>
      </c>
      <c r="C642" s="194"/>
      <c r="D642" s="194"/>
      <c r="E642" s="196" t="s">
        <v>1273</v>
      </c>
      <c r="F642" s="195">
        <v>800</v>
      </c>
      <c r="G642" s="197" t="s">
        <v>470</v>
      </c>
      <c r="H642" s="197" t="s">
        <v>471</v>
      </c>
      <c r="J642" s="195">
        <v>1</v>
      </c>
      <c r="K642" s="204" t="s">
        <v>224</v>
      </c>
      <c r="L642" s="199">
        <v>2</v>
      </c>
      <c r="M642" s="200">
        <v>15</v>
      </c>
      <c r="N642" s="201">
        <v>16</v>
      </c>
    </row>
    <row r="643" spans="1:14">
      <c r="A643" s="194">
        <v>41290.548148148147</v>
      </c>
      <c r="B643" s="195">
        <v>2051</v>
      </c>
      <c r="C643" s="194"/>
      <c r="D643" s="194"/>
      <c r="E643" s="196" t="s">
        <v>1018</v>
      </c>
      <c r="F643" s="195">
        <v>800</v>
      </c>
      <c r="G643" s="197" t="s">
        <v>470</v>
      </c>
      <c r="H643" s="197" t="s">
        <v>471</v>
      </c>
      <c r="J643" s="195">
        <v>1</v>
      </c>
      <c r="K643" s="204" t="s">
        <v>224</v>
      </c>
      <c r="L643" s="199">
        <v>2</v>
      </c>
      <c r="M643" s="200">
        <v>1.3</v>
      </c>
      <c r="N643" s="201">
        <v>18</v>
      </c>
    </row>
    <row r="644" spans="1:14">
      <c r="A644" s="194">
        <v>41305.421354166669</v>
      </c>
      <c r="B644" s="195">
        <v>2051</v>
      </c>
      <c r="C644" s="194"/>
      <c r="D644" s="194"/>
      <c r="E644" s="196" t="s">
        <v>1565</v>
      </c>
      <c r="F644" s="195">
        <v>800</v>
      </c>
      <c r="G644" s="197" t="s">
        <v>470</v>
      </c>
      <c r="H644" s="197" t="s">
        <v>471</v>
      </c>
      <c r="J644" s="195">
        <v>1</v>
      </c>
      <c r="K644" s="204" t="s">
        <v>224</v>
      </c>
      <c r="L644" s="199">
        <v>2</v>
      </c>
      <c r="M644" s="200">
        <v>1</v>
      </c>
      <c r="N644" s="201">
        <v>19</v>
      </c>
    </row>
    <row r="645" spans="1:14">
      <c r="A645" s="194">
        <v>41286.581388888888</v>
      </c>
      <c r="B645" s="195">
        <v>2051</v>
      </c>
      <c r="C645" s="194"/>
      <c r="D645" s="194"/>
      <c r="E645" s="196" t="s">
        <v>894</v>
      </c>
      <c r="F645" s="195">
        <v>800</v>
      </c>
      <c r="G645" s="197" t="s">
        <v>470</v>
      </c>
      <c r="H645" s="197" t="s">
        <v>471</v>
      </c>
      <c r="J645" s="195">
        <v>1</v>
      </c>
      <c r="K645" s="204" t="s">
        <v>224</v>
      </c>
      <c r="L645" s="199">
        <v>2</v>
      </c>
      <c r="M645" s="200">
        <v>1.4</v>
      </c>
      <c r="N645" s="201">
        <v>19</v>
      </c>
    </row>
    <row r="646" spans="1:14">
      <c r="A646" s="194">
        <v>41278.635150462964</v>
      </c>
      <c r="B646" s="195">
        <v>2051</v>
      </c>
      <c r="C646" s="194"/>
      <c r="D646" s="194"/>
      <c r="E646" s="196" t="s">
        <v>581</v>
      </c>
      <c r="F646" s="195">
        <v>800</v>
      </c>
      <c r="G646" s="197" t="s">
        <v>470</v>
      </c>
      <c r="H646" s="197" t="s">
        <v>471</v>
      </c>
      <c r="J646" s="195">
        <v>1</v>
      </c>
      <c r="K646" s="204" t="s">
        <v>224</v>
      </c>
      <c r="L646" s="199">
        <v>1</v>
      </c>
      <c r="M646" s="200">
        <v>0.3</v>
      </c>
      <c r="N646" s="201">
        <v>25</v>
      </c>
    </row>
    <row r="647" spans="1:14">
      <c r="A647" s="194">
        <v>41299.770254629628</v>
      </c>
      <c r="B647" s="195">
        <v>2051</v>
      </c>
      <c r="C647" s="194"/>
      <c r="D647" s="194"/>
      <c r="E647" s="196" t="s">
        <v>1362</v>
      </c>
      <c r="F647" s="195">
        <v>800</v>
      </c>
      <c r="G647" s="197" t="s">
        <v>470</v>
      </c>
      <c r="H647" s="197" t="s">
        <v>471</v>
      </c>
      <c r="J647" s="195">
        <v>1</v>
      </c>
      <c r="K647" s="204" t="s">
        <v>224</v>
      </c>
      <c r="L647" s="199">
        <v>1</v>
      </c>
      <c r="M647" s="200">
        <v>0.3</v>
      </c>
      <c r="N647" s="201">
        <v>27</v>
      </c>
    </row>
    <row r="648" spans="1:14">
      <c r="A648" s="194">
        <v>41277.598564814813</v>
      </c>
      <c r="B648" s="195">
        <v>2051</v>
      </c>
      <c r="C648" s="194"/>
      <c r="D648" s="194"/>
      <c r="E648" s="196" t="s">
        <v>611</v>
      </c>
      <c r="F648" s="195">
        <v>800</v>
      </c>
      <c r="G648" s="197" t="s">
        <v>470</v>
      </c>
      <c r="H648" s="197" t="s">
        <v>471</v>
      </c>
      <c r="J648" s="195">
        <v>1</v>
      </c>
      <c r="K648" s="204" t="s">
        <v>224</v>
      </c>
      <c r="L648" s="199">
        <v>1</v>
      </c>
      <c r="M648" s="200">
        <v>0.4</v>
      </c>
      <c r="N648" s="201">
        <v>28</v>
      </c>
    </row>
    <row r="649" spans="1:14">
      <c r="A649" s="194">
        <v>41300.692106481481</v>
      </c>
      <c r="B649" s="195">
        <v>2051</v>
      </c>
      <c r="C649" s="194"/>
      <c r="D649" s="194"/>
      <c r="E649" s="196" t="s">
        <v>1423</v>
      </c>
      <c r="F649" s="195">
        <v>800</v>
      </c>
      <c r="G649" s="197" t="s">
        <v>470</v>
      </c>
      <c r="H649" s="197" t="s">
        <v>471</v>
      </c>
      <c r="J649" s="195">
        <v>1</v>
      </c>
      <c r="K649" s="204" t="s">
        <v>224</v>
      </c>
      <c r="L649" s="199">
        <v>1</v>
      </c>
      <c r="M649" s="200">
        <v>0.5</v>
      </c>
      <c r="N649" s="201">
        <v>31</v>
      </c>
    </row>
    <row r="650" spans="1:14">
      <c r="A650" s="194">
        <v>41298.612881944442</v>
      </c>
      <c r="B650" s="195">
        <v>2051</v>
      </c>
      <c r="C650" s="194"/>
      <c r="D650" s="194"/>
      <c r="E650" s="198"/>
      <c r="G650" s="202"/>
      <c r="J650" s="195">
        <v>2</v>
      </c>
      <c r="K650" s="204" t="s">
        <v>32</v>
      </c>
      <c r="L650" s="199">
        <v>1</v>
      </c>
      <c r="M650" s="200">
        <v>0.9</v>
      </c>
      <c r="N650" s="201">
        <v>20</v>
      </c>
    </row>
    <row r="651" spans="1:14">
      <c r="A651" s="194">
        <v>41289.694386574076</v>
      </c>
      <c r="B651" s="195">
        <v>2051</v>
      </c>
      <c r="C651" s="194"/>
      <c r="D651" s="194"/>
      <c r="E651" s="198"/>
      <c r="G651" s="202"/>
      <c r="J651" s="195">
        <v>2</v>
      </c>
      <c r="K651" s="204" t="s">
        <v>32</v>
      </c>
      <c r="L651" s="199">
        <v>1</v>
      </c>
      <c r="M651" s="200">
        <v>0.4</v>
      </c>
      <c r="N651" s="201">
        <v>22</v>
      </c>
    </row>
    <row r="652" spans="1:14">
      <c r="A652" s="194">
        <v>41283.728958333333</v>
      </c>
      <c r="B652" s="195">
        <v>2051</v>
      </c>
      <c r="C652" s="194"/>
      <c r="D652" s="194"/>
      <c r="E652" s="198"/>
      <c r="G652" s="202"/>
      <c r="J652" s="195">
        <v>3</v>
      </c>
      <c r="K652" s="204" t="s">
        <v>1595</v>
      </c>
      <c r="L652" s="199">
        <v>2</v>
      </c>
      <c r="M652" s="200">
        <v>1.3</v>
      </c>
      <c r="N652" s="201">
        <v>25</v>
      </c>
    </row>
    <row r="653" spans="1:14">
      <c r="A653" s="194">
        <v>41279.784768518519</v>
      </c>
      <c r="B653" s="195">
        <v>2051</v>
      </c>
      <c r="C653" s="194"/>
      <c r="D653" s="194"/>
      <c r="E653" s="196" t="s">
        <v>2164</v>
      </c>
      <c r="G653" s="202"/>
      <c r="J653" s="195">
        <v>7</v>
      </c>
      <c r="K653" s="204" t="s">
        <v>30</v>
      </c>
      <c r="L653" s="199">
        <v>2</v>
      </c>
      <c r="M653" s="200">
        <v>0.8</v>
      </c>
      <c r="N653" s="201">
        <v>26</v>
      </c>
    </row>
    <row r="654" spans="1:14">
      <c r="A654" s="194">
        <v>41285.374942129631</v>
      </c>
      <c r="B654" s="195">
        <v>2051</v>
      </c>
      <c r="C654" s="194"/>
      <c r="D654" s="194"/>
      <c r="E654" s="198"/>
      <c r="G654" s="202"/>
      <c r="J654" s="195">
        <v>10</v>
      </c>
      <c r="K654" s="204" t="s">
        <v>31</v>
      </c>
      <c r="L654" s="199">
        <v>2</v>
      </c>
      <c r="M654" s="200">
        <v>0.4</v>
      </c>
      <c r="N654" s="201">
        <v>16</v>
      </c>
    </row>
    <row r="655" spans="1:14">
      <c r="A655" s="194">
        <v>41298.574016203704</v>
      </c>
      <c r="B655" s="195">
        <v>2051</v>
      </c>
      <c r="C655" s="194"/>
      <c r="D655" s="194"/>
      <c r="E655" s="198"/>
      <c r="G655" s="202"/>
      <c r="J655" s="195">
        <v>10</v>
      </c>
      <c r="K655" s="204" t="s">
        <v>31</v>
      </c>
      <c r="L655" s="199">
        <v>2</v>
      </c>
      <c r="M655" s="200">
        <v>2.4</v>
      </c>
      <c r="N655" s="201">
        <v>16</v>
      </c>
    </row>
    <row r="656" spans="1:14">
      <c r="A656" s="194">
        <v>41278.438935185186</v>
      </c>
      <c r="B656" s="195">
        <v>2051</v>
      </c>
      <c r="C656" s="194"/>
      <c r="D656" s="194"/>
      <c r="E656" s="198"/>
      <c r="G656" s="202"/>
      <c r="J656" s="195">
        <v>10</v>
      </c>
      <c r="K656" s="204" t="s">
        <v>31</v>
      </c>
      <c r="L656" s="199">
        <v>2</v>
      </c>
      <c r="M656" s="200">
        <v>0.5</v>
      </c>
      <c r="N656" s="201">
        <v>17</v>
      </c>
    </row>
    <row r="657" spans="1:14">
      <c r="A657" s="194">
        <v>41297.446898148148</v>
      </c>
      <c r="B657" s="195">
        <v>2051</v>
      </c>
      <c r="C657" s="194"/>
      <c r="D657" s="194"/>
      <c r="E657" s="198"/>
      <c r="G657" s="202"/>
      <c r="J657" s="195">
        <v>10</v>
      </c>
      <c r="K657" s="204" t="s">
        <v>31</v>
      </c>
      <c r="L657" s="199">
        <v>1</v>
      </c>
      <c r="M657" s="200">
        <v>0.3</v>
      </c>
      <c r="N657" s="201">
        <v>20</v>
      </c>
    </row>
    <row r="658" spans="1:14">
      <c r="A658" s="194">
        <v>41299.51153935185</v>
      </c>
      <c r="B658" s="195">
        <v>2051</v>
      </c>
      <c r="C658" s="194"/>
      <c r="D658" s="194"/>
      <c r="E658" s="198"/>
      <c r="G658" s="202"/>
      <c r="J658" s="195">
        <v>10</v>
      </c>
      <c r="K658" s="204" t="s">
        <v>31</v>
      </c>
      <c r="L658" s="199">
        <v>1</v>
      </c>
      <c r="M658" s="200">
        <v>0.9</v>
      </c>
      <c r="N658" s="201">
        <v>27</v>
      </c>
    </row>
    <row r="659" spans="1:14">
      <c r="A659" s="194">
        <v>41290.471909722219</v>
      </c>
      <c r="B659" s="195">
        <v>2051</v>
      </c>
      <c r="C659" s="194"/>
      <c r="D659" s="194"/>
      <c r="E659" s="198"/>
      <c r="G659" s="202"/>
      <c r="J659" s="195">
        <v>10</v>
      </c>
      <c r="K659" s="204" t="s">
        <v>31</v>
      </c>
      <c r="L659" s="199">
        <v>1</v>
      </c>
      <c r="M659" s="200">
        <v>12.9</v>
      </c>
      <c r="N659" s="201">
        <v>29</v>
      </c>
    </row>
    <row r="660" spans="1:14">
      <c r="A660" s="194">
        <v>41277.975914351853</v>
      </c>
      <c r="B660" s="195">
        <v>2051</v>
      </c>
      <c r="C660" s="194"/>
      <c r="D660" s="194"/>
      <c r="E660" s="198"/>
      <c r="G660" s="202"/>
      <c r="J660" s="195">
        <v>12</v>
      </c>
      <c r="K660" s="204" t="s">
        <v>7</v>
      </c>
      <c r="L660" s="199">
        <v>2</v>
      </c>
      <c r="M660" s="200">
        <v>17.3</v>
      </c>
      <c r="N660" s="201">
        <v>16</v>
      </c>
    </row>
    <row r="661" spans="1:14">
      <c r="A661" s="194">
        <v>41287.105196759258</v>
      </c>
      <c r="B661" s="195">
        <v>2051</v>
      </c>
      <c r="C661" s="194"/>
      <c r="D661" s="194"/>
      <c r="E661" s="198"/>
      <c r="G661" s="202"/>
      <c r="J661" s="195">
        <v>12</v>
      </c>
      <c r="K661" s="204" t="s">
        <v>7</v>
      </c>
      <c r="L661" s="199">
        <v>2</v>
      </c>
      <c r="M661" s="200">
        <v>13.6</v>
      </c>
      <c r="N661" s="201">
        <v>17</v>
      </c>
    </row>
    <row r="662" spans="1:14">
      <c r="A662" s="194">
        <v>41301.199849537035</v>
      </c>
      <c r="B662" s="195">
        <v>2051</v>
      </c>
      <c r="C662" s="194"/>
      <c r="D662" s="194"/>
      <c r="E662" s="198"/>
      <c r="G662" s="202"/>
      <c r="J662" s="195">
        <v>12</v>
      </c>
      <c r="K662" s="204" t="s">
        <v>7</v>
      </c>
      <c r="L662" s="199">
        <v>2</v>
      </c>
      <c r="M662" s="200">
        <v>11.5</v>
      </c>
      <c r="N662" s="201">
        <v>18</v>
      </c>
    </row>
    <row r="663" spans="1:14">
      <c r="A663" s="194">
        <v>41276.899398148147</v>
      </c>
      <c r="B663" s="195">
        <v>2051</v>
      </c>
      <c r="C663" s="194"/>
      <c r="D663" s="194"/>
      <c r="E663" s="198"/>
      <c r="G663" s="202"/>
      <c r="J663" s="195">
        <v>12</v>
      </c>
      <c r="K663" s="204" t="s">
        <v>7</v>
      </c>
      <c r="L663" s="199">
        <v>1</v>
      </c>
      <c r="M663" s="200">
        <v>12.4</v>
      </c>
      <c r="N663" s="201">
        <v>26</v>
      </c>
    </row>
    <row r="664" spans="1:14">
      <c r="A664" s="194">
        <v>41285.802233796298</v>
      </c>
      <c r="B664" s="195">
        <v>2051</v>
      </c>
      <c r="C664" s="194"/>
      <c r="D664" s="194"/>
      <c r="E664" s="198"/>
      <c r="G664" s="202"/>
      <c r="J664" s="195">
        <v>12</v>
      </c>
      <c r="K664" s="204" t="s">
        <v>7</v>
      </c>
      <c r="L664" s="199">
        <v>1</v>
      </c>
      <c r="M664" s="200">
        <v>0.3</v>
      </c>
      <c r="N664" s="201">
        <v>29</v>
      </c>
    </row>
    <row r="665" spans="1:14">
      <c r="A665" s="194">
        <v>41287.709351851852</v>
      </c>
      <c r="B665" s="195">
        <v>2051</v>
      </c>
      <c r="C665" s="194"/>
      <c r="D665" s="194"/>
      <c r="E665" s="198"/>
      <c r="G665" s="202"/>
      <c r="J665" s="195">
        <v>12</v>
      </c>
      <c r="K665" s="204" t="s">
        <v>7</v>
      </c>
      <c r="L665" s="199">
        <v>1</v>
      </c>
      <c r="M665" s="200">
        <v>14.8</v>
      </c>
      <c r="N665" s="201">
        <v>34</v>
      </c>
    </row>
    <row r="666" spans="1:14">
      <c r="A666" s="194">
        <v>41297.353645833333</v>
      </c>
      <c r="B666" s="195">
        <v>2051</v>
      </c>
      <c r="C666" s="194"/>
      <c r="D666" s="194"/>
      <c r="E666" s="198"/>
      <c r="G666" s="202"/>
      <c r="J666" s="195">
        <v>14</v>
      </c>
      <c r="K666" s="204" t="s">
        <v>2</v>
      </c>
      <c r="L666" s="199">
        <v>2</v>
      </c>
      <c r="M666" s="200">
        <v>0.8</v>
      </c>
      <c r="N666" s="201">
        <v>16</v>
      </c>
    </row>
    <row r="667" spans="1:14">
      <c r="A667" s="194">
        <v>41282.461226851854</v>
      </c>
      <c r="B667" s="195">
        <v>2051</v>
      </c>
      <c r="C667" s="194"/>
      <c r="D667" s="194"/>
      <c r="E667" s="198"/>
      <c r="G667" s="202"/>
      <c r="J667" s="195">
        <v>15</v>
      </c>
      <c r="K667" s="204" t="s">
        <v>4</v>
      </c>
      <c r="L667" s="199">
        <v>1</v>
      </c>
      <c r="M667" s="200">
        <v>1.4</v>
      </c>
      <c r="N667" s="201">
        <v>29</v>
      </c>
    </row>
    <row r="668" spans="1:14">
      <c r="A668" s="194">
        <v>41276.538842592592</v>
      </c>
      <c r="B668" s="195">
        <v>2051</v>
      </c>
      <c r="C668" s="194"/>
      <c r="D668" s="194"/>
      <c r="E668" s="198"/>
      <c r="G668" s="202"/>
      <c r="J668" s="195">
        <v>17</v>
      </c>
      <c r="K668" s="204" t="s">
        <v>11</v>
      </c>
      <c r="L668" s="199">
        <v>1</v>
      </c>
      <c r="M668" s="200">
        <v>0.8</v>
      </c>
      <c r="N668" s="201">
        <v>16</v>
      </c>
    </row>
    <row r="669" spans="1:14">
      <c r="A669" s="194">
        <v>41280.692523148151</v>
      </c>
      <c r="B669" s="195">
        <v>2051</v>
      </c>
      <c r="C669" s="194"/>
      <c r="D669" s="194"/>
      <c r="E669" s="198"/>
      <c r="G669" s="202"/>
      <c r="J669" s="195">
        <v>17</v>
      </c>
      <c r="K669" s="204" t="s">
        <v>11</v>
      </c>
      <c r="L669" s="199">
        <v>2</v>
      </c>
      <c r="M669" s="200">
        <v>11.4</v>
      </c>
      <c r="N669" s="201">
        <v>16</v>
      </c>
    </row>
    <row r="670" spans="1:14">
      <c r="A670" s="194">
        <v>41286.67465277778</v>
      </c>
      <c r="B670" s="195">
        <v>2051</v>
      </c>
      <c r="C670" s="194"/>
      <c r="D670" s="194"/>
      <c r="E670" s="198"/>
      <c r="G670" s="202"/>
      <c r="J670" s="195">
        <v>17</v>
      </c>
      <c r="K670" s="204" t="s">
        <v>11</v>
      </c>
      <c r="L670" s="199">
        <v>1</v>
      </c>
      <c r="M670" s="200">
        <v>17.2</v>
      </c>
      <c r="N670" s="201">
        <v>19</v>
      </c>
    </row>
    <row r="671" spans="1:14">
      <c r="A671" s="194">
        <v>41290.402187500003</v>
      </c>
      <c r="B671" s="195">
        <v>2051</v>
      </c>
      <c r="C671" s="194"/>
      <c r="D671" s="194"/>
      <c r="E671" s="198"/>
      <c r="G671" s="202"/>
      <c r="J671" s="195">
        <v>17</v>
      </c>
      <c r="K671" s="204" t="s">
        <v>11</v>
      </c>
      <c r="L671" s="199">
        <v>2</v>
      </c>
      <c r="M671" s="200">
        <v>5.5</v>
      </c>
      <c r="N671" s="201">
        <v>22</v>
      </c>
    </row>
    <row r="672" spans="1:14">
      <c r="A672" s="194">
        <v>41285.153240740743</v>
      </c>
      <c r="B672" s="195">
        <v>2051</v>
      </c>
      <c r="C672" s="194"/>
      <c r="D672" s="194"/>
      <c r="E672" s="198"/>
      <c r="G672" s="202"/>
      <c r="J672" s="195">
        <v>17</v>
      </c>
      <c r="K672" s="204" t="s">
        <v>11</v>
      </c>
      <c r="L672" s="199">
        <v>2</v>
      </c>
      <c r="M672" s="200">
        <v>28</v>
      </c>
      <c r="N672" s="201">
        <v>36</v>
      </c>
    </row>
    <row r="673" spans="1:14">
      <c r="A673" s="194">
        <v>41284.480034722219</v>
      </c>
      <c r="B673" s="195">
        <v>2051</v>
      </c>
      <c r="C673" s="194"/>
      <c r="D673" s="194"/>
      <c r="E673" s="198"/>
      <c r="G673" s="202"/>
      <c r="J673" s="195">
        <v>18</v>
      </c>
      <c r="K673" s="204" t="s">
        <v>5</v>
      </c>
      <c r="L673" s="199">
        <v>2</v>
      </c>
      <c r="M673" s="200">
        <v>0.5</v>
      </c>
      <c r="N673" s="201">
        <v>17</v>
      </c>
    </row>
    <row r="674" spans="1:14">
      <c r="A674" s="194">
        <v>41290.284953703704</v>
      </c>
      <c r="B674" s="195">
        <v>2051</v>
      </c>
      <c r="C674" s="194"/>
      <c r="D674" s="194"/>
      <c r="E674" s="198"/>
      <c r="G674" s="202"/>
      <c r="J674" s="195">
        <v>18</v>
      </c>
      <c r="K674" s="204" t="s">
        <v>5</v>
      </c>
      <c r="L674" s="199">
        <v>1</v>
      </c>
      <c r="M674" s="200">
        <v>16.5</v>
      </c>
      <c r="N674" s="201">
        <v>17</v>
      </c>
    </row>
    <row r="675" spans="1:14">
      <c r="A675" s="194">
        <v>41275.150243055556</v>
      </c>
      <c r="B675" s="195">
        <v>2051</v>
      </c>
      <c r="C675" s="194"/>
      <c r="D675" s="194"/>
      <c r="E675" s="198"/>
      <c r="G675" s="202"/>
      <c r="J675" s="195">
        <v>18</v>
      </c>
      <c r="K675" s="204" t="s">
        <v>5</v>
      </c>
      <c r="L675" s="199">
        <v>2</v>
      </c>
      <c r="M675" s="200">
        <v>26.7</v>
      </c>
      <c r="N675" s="201">
        <v>18</v>
      </c>
    </row>
    <row r="676" spans="1:14">
      <c r="A676" s="194">
        <v>41300.834606481483</v>
      </c>
      <c r="B676" s="195">
        <v>2051</v>
      </c>
      <c r="C676" s="194"/>
      <c r="D676" s="194"/>
      <c r="E676" s="198"/>
      <c r="G676" s="202"/>
      <c r="J676" s="195">
        <v>18</v>
      </c>
      <c r="K676" s="204" t="s">
        <v>5</v>
      </c>
      <c r="L676" s="199">
        <v>1</v>
      </c>
      <c r="M676" s="200">
        <v>13.2</v>
      </c>
      <c r="N676" s="201">
        <v>21</v>
      </c>
    </row>
    <row r="677" spans="1:14">
      <c r="A677" s="194">
        <v>41284.729768518519</v>
      </c>
      <c r="B677" s="195">
        <v>2051</v>
      </c>
      <c r="C677" s="194"/>
      <c r="D677" s="194"/>
      <c r="E677" s="198"/>
      <c r="G677" s="202"/>
      <c r="J677" s="195">
        <v>18</v>
      </c>
      <c r="K677" s="204" t="s">
        <v>5</v>
      </c>
      <c r="L677" s="199">
        <v>1</v>
      </c>
      <c r="M677" s="200">
        <v>0.4</v>
      </c>
      <c r="N677" s="201">
        <v>24</v>
      </c>
    </row>
    <row r="678" spans="1:14">
      <c r="A678" s="194">
        <v>41276.456261574072</v>
      </c>
      <c r="B678" s="195">
        <v>2051</v>
      </c>
      <c r="C678" s="194"/>
      <c r="D678" s="194"/>
      <c r="E678" s="196" t="s">
        <v>1911</v>
      </c>
      <c r="G678" s="202"/>
      <c r="J678" s="195">
        <v>24</v>
      </c>
      <c r="K678" s="204" t="s">
        <v>25</v>
      </c>
      <c r="L678" s="199">
        <v>1</v>
      </c>
      <c r="M678" s="200">
        <v>0.8</v>
      </c>
      <c r="N678" s="201">
        <v>24</v>
      </c>
    </row>
    <row r="679" spans="1:14">
      <c r="A679" s="194">
        <v>41296.39943287037</v>
      </c>
      <c r="B679" s="195">
        <v>2051</v>
      </c>
      <c r="C679" s="194"/>
      <c r="D679" s="194"/>
      <c r="E679" s="196" t="s">
        <v>1912</v>
      </c>
      <c r="G679" s="202"/>
      <c r="J679" s="195">
        <v>24</v>
      </c>
      <c r="K679" s="204" t="s">
        <v>25</v>
      </c>
      <c r="L679" s="199">
        <v>1</v>
      </c>
      <c r="M679" s="200">
        <v>0.4</v>
      </c>
      <c r="N679" s="201">
        <v>28</v>
      </c>
    </row>
    <row r="680" spans="1:14">
      <c r="A680" s="194">
        <v>41295.495138888888</v>
      </c>
      <c r="B680" s="195">
        <v>2051</v>
      </c>
      <c r="C680" s="194"/>
      <c r="D680" s="194"/>
      <c r="E680" s="196" t="s">
        <v>2126</v>
      </c>
      <c r="G680" s="202"/>
      <c r="J680" s="195">
        <v>24</v>
      </c>
      <c r="K680" s="204" t="s">
        <v>25</v>
      </c>
      <c r="L680" s="199">
        <v>1</v>
      </c>
      <c r="M680" s="200">
        <v>0.6</v>
      </c>
      <c r="N680" s="201">
        <v>28</v>
      </c>
    </row>
    <row r="681" spans="1:14">
      <c r="A681" s="194">
        <v>41282.605636574073</v>
      </c>
      <c r="B681" s="195">
        <v>2051</v>
      </c>
      <c r="C681" s="194"/>
      <c r="D681" s="194"/>
      <c r="E681" s="198"/>
      <c r="G681" s="202"/>
      <c r="J681" s="195">
        <v>43</v>
      </c>
      <c r="K681" s="204" t="s">
        <v>1596</v>
      </c>
      <c r="L681" s="199">
        <v>2</v>
      </c>
      <c r="M681" s="200">
        <v>0.3</v>
      </c>
      <c r="N681" s="201">
        <v>15</v>
      </c>
    </row>
    <row r="682" spans="1:14">
      <c r="A682" s="194">
        <v>41297.336273148147</v>
      </c>
      <c r="B682" s="195">
        <v>2051</v>
      </c>
      <c r="C682" s="194"/>
      <c r="D682" s="194"/>
      <c r="E682" s="198"/>
      <c r="G682" s="202"/>
      <c r="J682" s="195">
        <v>43</v>
      </c>
      <c r="K682" s="204" t="s">
        <v>1596</v>
      </c>
      <c r="L682" s="199">
        <v>2</v>
      </c>
      <c r="M682" s="200">
        <v>0.5</v>
      </c>
      <c r="N682" s="201">
        <v>16</v>
      </c>
    </row>
    <row r="683" spans="1:14">
      <c r="A683" s="194">
        <v>41283.56050925926</v>
      </c>
      <c r="B683" s="195">
        <v>2051</v>
      </c>
      <c r="C683" s="194"/>
      <c r="D683" s="194"/>
      <c r="E683" s="198"/>
      <c r="G683" s="202"/>
      <c r="J683" s="195">
        <v>43</v>
      </c>
      <c r="K683" s="204" t="s">
        <v>1596</v>
      </c>
      <c r="L683" s="199">
        <v>2</v>
      </c>
      <c r="M683" s="200">
        <v>1.1000000000000001</v>
      </c>
      <c r="N683" s="201">
        <v>16</v>
      </c>
    </row>
    <row r="684" spans="1:14">
      <c r="A684" s="194">
        <v>41295.501388888886</v>
      </c>
      <c r="B684" s="195">
        <v>2051</v>
      </c>
      <c r="C684" s="194"/>
      <c r="D684" s="194"/>
      <c r="E684" s="198"/>
      <c r="G684" s="202"/>
      <c r="J684" s="195">
        <v>43</v>
      </c>
      <c r="K684" s="204" t="s">
        <v>1596</v>
      </c>
      <c r="L684" s="199">
        <v>2</v>
      </c>
      <c r="M684" s="200">
        <v>1.3</v>
      </c>
      <c r="N684" s="201">
        <v>16</v>
      </c>
    </row>
    <row r="685" spans="1:14">
      <c r="A685" s="194">
        <v>41277.816145833334</v>
      </c>
      <c r="B685" s="195">
        <v>2051</v>
      </c>
      <c r="C685" s="194"/>
      <c r="D685" s="194"/>
      <c r="E685" s="198"/>
      <c r="G685" s="202"/>
      <c r="J685" s="195">
        <v>43</v>
      </c>
      <c r="K685" s="204" t="s">
        <v>1596</v>
      </c>
      <c r="L685" s="199">
        <v>2</v>
      </c>
      <c r="M685" s="200">
        <v>12.9</v>
      </c>
      <c r="N685" s="201">
        <v>16</v>
      </c>
    </row>
    <row r="686" spans="1:14">
      <c r="A686" s="194">
        <v>41277.603425925925</v>
      </c>
      <c r="B686" s="195">
        <v>2051</v>
      </c>
      <c r="C686" s="194"/>
      <c r="D686" s="194"/>
      <c r="E686" s="198"/>
      <c r="G686" s="202"/>
      <c r="J686" s="195">
        <v>43</v>
      </c>
      <c r="K686" s="204" t="s">
        <v>1596</v>
      </c>
      <c r="L686" s="199">
        <v>2</v>
      </c>
      <c r="M686" s="200">
        <v>0.5</v>
      </c>
      <c r="N686" s="201">
        <v>17</v>
      </c>
    </row>
    <row r="687" spans="1:14">
      <c r="A687" s="194">
        <v>41280.564745370371</v>
      </c>
      <c r="B687" s="195">
        <v>2051</v>
      </c>
      <c r="C687" s="194"/>
      <c r="D687" s="194"/>
      <c r="E687" s="198"/>
      <c r="G687" s="202"/>
      <c r="J687" s="195">
        <v>43</v>
      </c>
      <c r="K687" s="204" t="s">
        <v>1596</v>
      </c>
      <c r="L687" s="199">
        <v>2</v>
      </c>
      <c r="M687" s="200">
        <v>12.2</v>
      </c>
      <c r="N687" s="201">
        <v>17</v>
      </c>
    </row>
    <row r="688" spans="1:14">
      <c r="A688" s="194">
        <v>41284.063391203701</v>
      </c>
      <c r="B688" s="195">
        <v>2051</v>
      </c>
      <c r="C688" s="194"/>
      <c r="D688" s="194"/>
      <c r="E688" s="198"/>
      <c r="G688" s="202"/>
      <c r="J688" s="195">
        <v>43</v>
      </c>
      <c r="K688" s="204" t="s">
        <v>1596</v>
      </c>
      <c r="L688" s="199">
        <v>2</v>
      </c>
      <c r="M688" s="200">
        <v>13.2</v>
      </c>
      <c r="N688" s="201">
        <v>17</v>
      </c>
    </row>
    <row r="689" spans="1:14">
      <c r="A689" s="194">
        <v>41285.588287037041</v>
      </c>
      <c r="B689" s="195">
        <v>2051</v>
      </c>
      <c r="C689" s="194"/>
      <c r="D689" s="194"/>
      <c r="E689" s="198"/>
      <c r="G689" s="202"/>
      <c r="J689" s="195">
        <v>43</v>
      </c>
      <c r="K689" s="204" t="s">
        <v>1596</v>
      </c>
      <c r="L689" s="199">
        <v>2</v>
      </c>
      <c r="M689" s="200">
        <v>0.5</v>
      </c>
      <c r="N689" s="201">
        <v>19</v>
      </c>
    </row>
    <row r="690" spans="1:14">
      <c r="A690" s="194">
        <v>41305.683576388888</v>
      </c>
      <c r="B690" s="195">
        <v>2051</v>
      </c>
      <c r="C690" s="194"/>
      <c r="D690" s="194"/>
      <c r="E690" s="198"/>
      <c r="G690" s="202"/>
      <c r="J690" s="195">
        <v>4400</v>
      </c>
      <c r="K690" s="204" t="s">
        <v>37</v>
      </c>
      <c r="L690" s="199">
        <v>2</v>
      </c>
      <c r="M690" s="200">
        <v>1.2</v>
      </c>
      <c r="N690" s="201">
        <v>16</v>
      </c>
    </row>
    <row r="691" spans="1:14">
      <c r="A691" s="194">
        <v>41284.425173611111</v>
      </c>
      <c r="B691" s="195">
        <v>2051</v>
      </c>
      <c r="C691" s="194"/>
      <c r="D691" s="194"/>
      <c r="E691" s="198"/>
      <c r="G691" s="202"/>
      <c r="J691" s="195">
        <v>6100</v>
      </c>
      <c r="K691" s="204" t="s">
        <v>38</v>
      </c>
      <c r="L691" s="199">
        <v>1</v>
      </c>
      <c r="M691" s="200">
        <v>0.4</v>
      </c>
      <c r="N691" s="201">
        <v>23</v>
      </c>
    </row>
    <row r="692" spans="1:14">
      <c r="A692" s="194">
        <v>41297.600347222222</v>
      </c>
      <c r="B692" s="195">
        <v>2052</v>
      </c>
      <c r="C692" s="194"/>
      <c r="D692" s="194"/>
      <c r="E692" s="196" t="s">
        <v>347</v>
      </c>
      <c r="F692" s="195">
        <v>456</v>
      </c>
      <c r="G692" s="197" t="s">
        <v>141</v>
      </c>
      <c r="H692" s="197" t="s">
        <v>223</v>
      </c>
      <c r="I692" s="196" t="s">
        <v>226</v>
      </c>
      <c r="J692" s="195">
        <v>1</v>
      </c>
      <c r="K692" s="204" t="s">
        <v>224</v>
      </c>
      <c r="L692" s="199">
        <v>1</v>
      </c>
      <c r="M692" s="200">
        <v>0.4</v>
      </c>
      <c r="N692" s="201">
        <v>18</v>
      </c>
    </row>
    <row r="693" spans="1:14">
      <c r="A693" s="194">
        <v>41292.632650462961</v>
      </c>
      <c r="B693" s="195">
        <v>2052</v>
      </c>
      <c r="C693" s="194"/>
      <c r="D693" s="194"/>
      <c r="E693" s="196" t="s">
        <v>329</v>
      </c>
      <c r="F693" s="195">
        <v>456</v>
      </c>
      <c r="G693" s="197" t="s">
        <v>141</v>
      </c>
      <c r="H693" s="197" t="s">
        <v>223</v>
      </c>
      <c r="I693" s="196" t="s">
        <v>226</v>
      </c>
      <c r="J693" s="195">
        <v>1</v>
      </c>
      <c r="K693" s="204" t="s">
        <v>224</v>
      </c>
      <c r="L693" s="199">
        <v>1</v>
      </c>
      <c r="M693" s="200">
        <v>0.4</v>
      </c>
      <c r="N693" s="201">
        <v>20</v>
      </c>
    </row>
    <row r="694" spans="1:14">
      <c r="A694" s="194">
        <v>41281.489166666666</v>
      </c>
      <c r="B694" s="195">
        <v>2052</v>
      </c>
      <c r="C694" s="194"/>
      <c r="D694" s="194"/>
      <c r="E694" s="196" t="s">
        <v>276</v>
      </c>
      <c r="F694" s="195">
        <v>456</v>
      </c>
      <c r="G694" s="197" t="s">
        <v>141</v>
      </c>
      <c r="H694" s="197" t="s">
        <v>223</v>
      </c>
      <c r="I694" s="196" t="s">
        <v>226</v>
      </c>
      <c r="J694" s="195">
        <v>1</v>
      </c>
      <c r="K694" s="204" t="s">
        <v>224</v>
      </c>
      <c r="L694" s="199">
        <v>1</v>
      </c>
      <c r="M694" s="200">
        <v>0.3</v>
      </c>
      <c r="N694" s="201">
        <v>25</v>
      </c>
    </row>
    <row r="695" spans="1:14">
      <c r="A695" s="194">
        <v>41279.811412037037</v>
      </c>
      <c r="B695" s="195">
        <v>2052</v>
      </c>
      <c r="C695" s="194"/>
      <c r="D695" s="194"/>
      <c r="E695" s="196" t="s">
        <v>271</v>
      </c>
      <c r="F695" s="195">
        <v>456</v>
      </c>
      <c r="G695" s="197" t="s">
        <v>141</v>
      </c>
      <c r="H695" s="197" t="s">
        <v>223</v>
      </c>
      <c r="I695" s="196" t="s">
        <v>226</v>
      </c>
      <c r="J695" s="195">
        <v>1</v>
      </c>
      <c r="K695" s="204" t="s">
        <v>224</v>
      </c>
      <c r="L695" s="199">
        <v>1</v>
      </c>
      <c r="M695" s="200">
        <v>0.4</v>
      </c>
      <c r="N695" s="201">
        <v>28</v>
      </c>
    </row>
    <row r="696" spans="1:14">
      <c r="A696" s="194">
        <v>41284.299467592595</v>
      </c>
      <c r="B696" s="195">
        <v>2052</v>
      </c>
      <c r="C696" s="194"/>
      <c r="D696" s="194"/>
      <c r="E696" s="196" t="s">
        <v>292</v>
      </c>
      <c r="F696" s="195">
        <v>456</v>
      </c>
      <c r="G696" s="197" t="s">
        <v>141</v>
      </c>
      <c r="H696" s="197" t="s">
        <v>223</v>
      </c>
      <c r="I696" s="196" t="s">
        <v>226</v>
      </c>
      <c r="J696" s="195">
        <v>1</v>
      </c>
      <c r="K696" s="204" t="s">
        <v>224</v>
      </c>
      <c r="L696" s="199">
        <v>1</v>
      </c>
      <c r="M696" s="200">
        <v>0.6</v>
      </c>
      <c r="N696" s="201">
        <v>34</v>
      </c>
    </row>
    <row r="697" spans="1:14">
      <c r="A697" s="194">
        <v>41304.755671296298</v>
      </c>
      <c r="B697" s="195">
        <v>2052</v>
      </c>
      <c r="C697" s="194"/>
      <c r="D697" s="194"/>
      <c r="E697" s="196" t="s">
        <v>395</v>
      </c>
      <c r="F697" s="195">
        <v>456</v>
      </c>
      <c r="G697" s="197" t="s">
        <v>141</v>
      </c>
      <c r="H697" s="197" t="s">
        <v>223</v>
      </c>
      <c r="I697" s="196" t="s">
        <v>226</v>
      </c>
      <c r="J697" s="195">
        <v>1</v>
      </c>
      <c r="K697" s="204" t="s">
        <v>224</v>
      </c>
      <c r="L697" s="199">
        <v>1</v>
      </c>
      <c r="M697" s="200">
        <v>0.7</v>
      </c>
      <c r="N697" s="201">
        <v>34</v>
      </c>
    </row>
    <row r="698" spans="1:14">
      <c r="A698" s="194">
        <v>41302.805879629632</v>
      </c>
      <c r="B698" s="195">
        <v>2052</v>
      </c>
      <c r="C698" s="194"/>
      <c r="D698" s="194"/>
      <c r="E698" s="196" t="s">
        <v>376</v>
      </c>
      <c r="F698" s="195">
        <v>456</v>
      </c>
      <c r="G698" s="197" t="s">
        <v>141</v>
      </c>
      <c r="H698" s="197" t="s">
        <v>223</v>
      </c>
      <c r="I698" s="196" t="s">
        <v>226</v>
      </c>
      <c r="J698" s="195">
        <v>1</v>
      </c>
      <c r="K698" s="204" t="s">
        <v>224</v>
      </c>
      <c r="L698" s="199">
        <v>1</v>
      </c>
      <c r="M698" s="200">
        <v>0.3</v>
      </c>
      <c r="N698" s="201">
        <v>43</v>
      </c>
    </row>
    <row r="699" spans="1:14">
      <c r="A699" s="194">
        <v>41282.668055555558</v>
      </c>
      <c r="B699" s="195">
        <v>2052</v>
      </c>
      <c r="C699" s="194"/>
      <c r="D699" s="194"/>
      <c r="E699" s="196" t="s">
        <v>728</v>
      </c>
      <c r="F699" s="195">
        <v>800</v>
      </c>
      <c r="G699" s="197" t="s">
        <v>470</v>
      </c>
      <c r="H699" s="197" t="s">
        <v>471</v>
      </c>
      <c r="J699" s="195">
        <v>1</v>
      </c>
      <c r="K699" s="204" t="s">
        <v>224</v>
      </c>
      <c r="L699" s="199">
        <v>1</v>
      </c>
      <c r="M699" s="200">
        <v>1</v>
      </c>
      <c r="N699" s="201">
        <v>21</v>
      </c>
    </row>
    <row r="700" spans="1:14">
      <c r="A700" s="194">
        <v>41279.684328703705</v>
      </c>
      <c r="B700" s="195">
        <v>2052</v>
      </c>
      <c r="C700" s="194"/>
      <c r="D700" s="194"/>
      <c r="E700" s="196" t="s">
        <v>629</v>
      </c>
      <c r="F700" s="195">
        <v>800</v>
      </c>
      <c r="G700" s="197" t="s">
        <v>470</v>
      </c>
      <c r="H700" s="197" t="s">
        <v>471</v>
      </c>
      <c r="J700" s="195">
        <v>1</v>
      </c>
      <c r="K700" s="204" t="s">
        <v>224</v>
      </c>
      <c r="L700" s="199">
        <v>1</v>
      </c>
      <c r="M700" s="200">
        <v>1.2</v>
      </c>
      <c r="N700" s="201">
        <v>21</v>
      </c>
    </row>
    <row r="701" spans="1:14">
      <c r="A701" s="194">
        <v>41275.564143518517</v>
      </c>
      <c r="B701" s="195">
        <v>2052</v>
      </c>
      <c r="C701" s="194"/>
      <c r="D701" s="194"/>
      <c r="E701" s="196" t="s">
        <v>478</v>
      </c>
      <c r="F701" s="195">
        <v>800</v>
      </c>
      <c r="G701" s="197" t="s">
        <v>470</v>
      </c>
      <c r="H701" s="197" t="s">
        <v>471</v>
      </c>
      <c r="J701" s="195">
        <v>1</v>
      </c>
      <c r="K701" s="204" t="s">
        <v>224</v>
      </c>
      <c r="L701" s="199">
        <v>2</v>
      </c>
      <c r="M701" s="200">
        <v>0.3</v>
      </c>
      <c r="N701" s="201">
        <v>22</v>
      </c>
    </row>
    <row r="702" spans="1:14">
      <c r="A702" s="194">
        <v>41283.623900462961</v>
      </c>
      <c r="B702" s="195">
        <v>2052</v>
      </c>
      <c r="C702" s="194"/>
      <c r="D702" s="194"/>
      <c r="E702" s="196" t="s">
        <v>753</v>
      </c>
      <c r="F702" s="195">
        <v>800</v>
      </c>
      <c r="G702" s="197" t="s">
        <v>470</v>
      </c>
      <c r="H702" s="197" t="s">
        <v>471</v>
      </c>
      <c r="J702" s="195">
        <v>1</v>
      </c>
      <c r="K702" s="204" t="s">
        <v>224</v>
      </c>
      <c r="L702" s="199">
        <v>1</v>
      </c>
      <c r="M702" s="200">
        <v>0.4</v>
      </c>
      <c r="N702" s="201">
        <v>22</v>
      </c>
    </row>
    <row r="703" spans="1:14">
      <c r="A703" s="194">
        <v>41284.399467592593</v>
      </c>
      <c r="B703" s="195">
        <v>2052</v>
      </c>
      <c r="C703" s="194"/>
      <c r="D703" s="194"/>
      <c r="E703" s="196" t="s">
        <v>824</v>
      </c>
      <c r="F703" s="195">
        <v>800</v>
      </c>
      <c r="G703" s="197" t="s">
        <v>470</v>
      </c>
      <c r="H703" s="197" t="s">
        <v>471</v>
      </c>
      <c r="J703" s="195">
        <v>1</v>
      </c>
      <c r="K703" s="204" t="s">
        <v>224</v>
      </c>
      <c r="L703" s="199">
        <v>1</v>
      </c>
      <c r="M703" s="200">
        <v>0.5</v>
      </c>
      <c r="N703" s="201">
        <v>22</v>
      </c>
    </row>
    <row r="704" spans="1:14">
      <c r="A704" s="194">
        <v>41300.698321759257</v>
      </c>
      <c r="B704" s="195">
        <v>2052</v>
      </c>
      <c r="C704" s="194"/>
      <c r="D704" s="194"/>
      <c r="E704" s="196" t="s">
        <v>1427</v>
      </c>
      <c r="F704" s="195">
        <v>800</v>
      </c>
      <c r="G704" s="197" t="s">
        <v>470</v>
      </c>
      <c r="H704" s="197" t="s">
        <v>471</v>
      </c>
      <c r="J704" s="195">
        <v>1</v>
      </c>
      <c r="K704" s="204" t="s">
        <v>224</v>
      </c>
      <c r="L704" s="199">
        <v>1</v>
      </c>
      <c r="M704" s="200">
        <v>0.7</v>
      </c>
      <c r="N704" s="201">
        <v>23</v>
      </c>
    </row>
    <row r="705" spans="1:14">
      <c r="A705" s="194">
        <v>41300.63790509259</v>
      </c>
      <c r="B705" s="195">
        <v>2052</v>
      </c>
      <c r="C705" s="194"/>
      <c r="D705" s="194"/>
      <c r="E705" s="196" t="s">
        <v>1426</v>
      </c>
      <c r="F705" s="195">
        <v>800</v>
      </c>
      <c r="G705" s="197" t="s">
        <v>470</v>
      </c>
      <c r="H705" s="197" t="s">
        <v>471</v>
      </c>
      <c r="J705" s="195">
        <v>1</v>
      </c>
      <c r="K705" s="204" t="s">
        <v>224</v>
      </c>
      <c r="L705" s="199">
        <v>2</v>
      </c>
      <c r="M705" s="200">
        <v>0.7</v>
      </c>
      <c r="N705" s="201">
        <v>25</v>
      </c>
    </row>
    <row r="706" spans="1:14">
      <c r="A706" s="194">
        <v>41279.678773148145</v>
      </c>
      <c r="B706" s="195">
        <v>2052</v>
      </c>
      <c r="C706" s="194"/>
      <c r="D706" s="194"/>
      <c r="E706" s="196" t="s">
        <v>628</v>
      </c>
      <c r="F706" s="195">
        <v>800</v>
      </c>
      <c r="G706" s="197" t="s">
        <v>470</v>
      </c>
      <c r="H706" s="197" t="s">
        <v>471</v>
      </c>
      <c r="J706" s="195">
        <v>1</v>
      </c>
      <c r="K706" s="204" t="s">
        <v>224</v>
      </c>
      <c r="L706" s="199">
        <v>1</v>
      </c>
      <c r="M706" s="200">
        <v>0.8</v>
      </c>
      <c r="N706" s="201">
        <v>25</v>
      </c>
    </row>
    <row r="707" spans="1:14">
      <c r="A707" s="194">
        <v>41286.616261574076</v>
      </c>
      <c r="B707" s="195">
        <v>2052</v>
      </c>
      <c r="C707" s="194"/>
      <c r="D707" s="194"/>
      <c r="E707" s="196" t="s">
        <v>896</v>
      </c>
      <c r="F707" s="195">
        <v>800</v>
      </c>
      <c r="G707" s="197" t="s">
        <v>470</v>
      </c>
      <c r="H707" s="197" t="s">
        <v>471</v>
      </c>
      <c r="J707" s="195">
        <v>1</v>
      </c>
      <c r="K707" s="204" t="s">
        <v>224</v>
      </c>
      <c r="L707" s="199">
        <v>1</v>
      </c>
      <c r="M707" s="200">
        <v>0.8</v>
      </c>
      <c r="N707" s="201">
        <v>25</v>
      </c>
    </row>
    <row r="708" spans="1:14">
      <c r="A708" s="194">
        <v>41305.761805555558</v>
      </c>
      <c r="B708" s="195">
        <v>2052</v>
      </c>
      <c r="C708" s="194"/>
      <c r="D708" s="194"/>
      <c r="E708" s="196" t="s">
        <v>1594</v>
      </c>
      <c r="F708" s="195">
        <v>800</v>
      </c>
      <c r="G708" s="197" t="s">
        <v>470</v>
      </c>
      <c r="H708" s="197" t="s">
        <v>471</v>
      </c>
      <c r="J708" s="195">
        <v>1</v>
      </c>
      <c r="K708" s="204" t="s">
        <v>224</v>
      </c>
      <c r="L708" s="199">
        <v>2</v>
      </c>
      <c r="M708" s="200">
        <v>1.2</v>
      </c>
      <c r="N708" s="201">
        <v>27</v>
      </c>
    </row>
    <row r="709" spans="1:14">
      <c r="A709" s="194">
        <v>41297.690312500003</v>
      </c>
      <c r="B709" s="195">
        <v>2052</v>
      </c>
      <c r="C709" s="194"/>
      <c r="D709" s="194"/>
      <c r="E709" s="196" t="s">
        <v>1296</v>
      </c>
      <c r="F709" s="195">
        <v>800</v>
      </c>
      <c r="G709" s="197" t="s">
        <v>470</v>
      </c>
      <c r="H709" s="197" t="s">
        <v>471</v>
      </c>
      <c r="J709" s="195">
        <v>1</v>
      </c>
      <c r="K709" s="204" t="s">
        <v>224</v>
      </c>
      <c r="L709" s="199">
        <v>2</v>
      </c>
      <c r="M709" s="200">
        <v>0.3</v>
      </c>
      <c r="N709" s="201">
        <v>28</v>
      </c>
    </row>
    <row r="710" spans="1:14">
      <c r="A710" s="194">
        <v>41289.354363425926</v>
      </c>
      <c r="B710" s="195">
        <v>2052</v>
      </c>
      <c r="C710" s="194"/>
      <c r="D710" s="194"/>
      <c r="E710" s="196" t="s">
        <v>960</v>
      </c>
      <c r="F710" s="195">
        <v>800</v>
      </c>
      <c r="G710" s="197" t="s">
        <v>470</v>
      </c>
      <c r="H710" s="197" t="s">
        <v>471</v>
      </c>
      <c r="J710" s="195">
        <v>1</v>
      </c>
      <c r="K710" s="204" t="s">
        <v>224</v>
      </c>
      <c r="L710" s="199">
        <v>1</v>
      </c>
      <c r="M710" s="200">
        <v>0.8</v>
      </c>
      <c r="N710" s="201">
        <v>28</v>
      </c>
    </row>
    <row r="711" spans="1:14">
      <c r="A711" s="194">
        <v>41287.096875000003</v>
      </c>
      <c r="B711" s="195">
        <v>2052</v>
      </c>
      <c r="C711" s="194"/>
      <c r="D711" s="194"/>
      <c r="E711" s="196" t="s">
        <v>834</v>
      </c>
      <c r="F711" s="195">
        <v>800</v>
      </c>
      <c r="G711" s="197" t="s">
        <v>470</v>
      </c>
      <c r="H711" s="197" t="s">
        <v>471</v>
      </c>
      <c r="J711" s="195">
        <v>1</v>
      </c>
      <c r="K711" s="204" t="s">
        <v>224</v>
      </c>
      <c r="L711" s="199">
        <v>2</v>
      </c>
      <c r="M711" s="200">
        <v>0.5</v>
      </c>
      <c r="N711" s="201">
        <v>30</v>
      </c>
    </row>
    <row r="712" spans="1:14">
      <c r="A712" s="194">
        <v>41284.727175925924</v>
      </c>
      <c r="B712" s="195">
        <v>2052</v>
      </c>
      <c r="C712" s="194"/>
      <c r="D712" s="194"/>
      <c r="E712" s="196" t="s">
        <v>825</v>
      </c>
      <c r="F712" s="195">
        <v>800</v>
      </c>
      <c r="G712" s="197" t="s">
        <v>470</v>
      </c>
      <c r="H712" s="197" t="s">
        <v>471</v>
      </c>
      <c r="J712" s="195">
        <v>1</v>
      </c>
      <c r="K712" s="204" t="s">
        <v>224</v>
      </c>
      <c r="L712" s="199">
        <v>1</v>
      </c>
      <c r="M712" s="200">
        <v>1.1000000000000001</v>
      </c>
      <c r="N712" s="201">
        <v>30</v>
      </c>
    </row>
    <row r="713" spans="1:14">
      <c r="A713" s="194">
        <v>41292.339733796296</v>
      </c>
      <c r="B713" s="195">
        <v>2052</v>
      </c>
      <c r="C713" s="194"/>
      <c r="D713" s="194"/>
      <c r="E713" s="196" t="s">
        <v>1142</v>
      </c>
      <c r="F713" s="195">
        <v>800</v>
      </c>
      <c r="G713" s="197" t="s">
        <v>470</v>
      </c>
      <c r="H713" s="197" t="s">
        <v>471</v>
      </c>
      <c r="J713" s="195">
        <v>1</v>
      </c>
      <c r="K713" s="204" t="s">
        <v>224</v>
      </c>
      <c r="L713" s="199">
        <v>1</v>
      </c>
      <c r="M713" s="200">
        <v>0.8</v>
      </c>
      <c r="N713" s="201">
        <v>31</v>
      </c>
    </row>
    <row r="714" spans="1:14">
      <c r="A714" s="194">
        <v>41304.330092592594</v>
      </c>
      <c r="B714" s="195">
        <v>2052</v>
      </c>
      <c r="C714" s="194"/>
      <c r="D714" s="194"/>
      <c r="E714" s="196" t="s">
        <v>1533</v>
      </c>
      <c r="F714" s="195">
        <v>800</v>
      </c>
      <c r="G714" s="197" t="s">
        <v>470</v>
      </c>
      <c r="H714" s="197" t="s">
        <v>471</v>
      </c>
      <c r="J714" s="195">
        <v>1</v>
      </c>
      <c r="K714" s="204" t="s">
        <v>224</v>
      </c>
      <c r="L714" s="199">
        <v>2</v>
      </c>
      <c r="M714" s="200">
        <v>0.3</v>
      </c>
      <c r="N714" s="201">
        <v>32</v>
      </c>
    </row>
    <row r="715" spans="1:14">
      <c r="A715" s="194">
        <v>41291.763252314813</v>
      </c>
      <c r="B715" s="195">
        <v>2052</v>
      </c>
      <c r="C715" s="194"/>
      <c r="D715" s="194"/>
      <c r="E715" s="196" t="s">
        <v>1090</v>
      </c>
      <c r="F715" s="195">
        <v>800</v>
      </c>
      <c r="G715" s="197" t="s">
        <v>470</v>
      </c>
      <c r="H715" s="197" t="s">
        <v>471</v>
      </c>
      <c r="J715" s="195">
        <v>1</v>
      </c>
      <c r="K715" s="204" t="s">
        <v>224</v>
      </c>
      <c r="L715" s="199">
        <v>2</v>
      </c>
      <c r="M715" s="200">
        <v>0.4</v>
      </c>
      <c r="N715" s="201">
        <v>32</v>
      </c>
    </row>
    <row r="716" spans="1:14">
      <c r="A716" s="194">
        <v>41303.417604166665</v>
      </c>
      <c r="B716" s="195">
        <v>2052</v>
      </c>
      <c r="C716" s="194"/>
      <c r="D716" s="194"/>
      <c r="E716" s="196" t="s">
        <v>1483</v>
      </c>
      <c r="F716" s="195">
        <v>800</v>
      </c>
      <c r="G716" s="197" t="s">
        <v>470</v>
      </c>
      <c r="H716" s="197" t="s">
        <v>471</v>
      </c>
      <c r="J716" s="195">
        <v>1</v>
      </c>
      <c r="K716" s="204" t="s">
        <v>224</v>
      </c>
      <c r="L716" s="199">
        <v>2</v>
      </c>
      <c r="M716" s="200">
        <v>0.6</v>
      </c>
      <c r="N716" s="201">
        <v>32</v>
      </c>
    </row>
    <row r="717" spans="1:14">
      <c r="A717" s="194">
        <v>41304.380787037036</v>
      </c>
      <c r="B717" s="195">
        <v>2052</v>
      </c>
      <c r="C717" s="194"/>
      <c r="D717" s="194"/>
      <c r="E717" s="196" t="s">
        <v>1534</v>
      </c>
      <c r="F717" s="195">
        <v>800</v>
      </c>
      <c r="G717" s="197" t="s">
        <v>470</v>
      </c>
      <c r="H717" s="197" t="s">
        <v>471</v>
      </c>
      <c r="J717" s="195">
        <v>1</v>
      </c>
      <c r="K717" s="204" t="s">
        <v>224</v>
      </c>
      <c r="L717" s="199">
        <v>2</v>
      </c>
      <c r="M717" s="200">
        <v>0.7</v>
      </c>
      <c r="N717" s="201">
        <v>32</v>
      </c>
    </row>
    <row r="718" spans="1:14">
      <c r="A718" s="194">
        <v>41290.547546296293</v>
      </c>
      <c r="B718" s="195">
        <v>2052</v>
      </c>
      <c r="C718" s="194"/>
      <c r="D718" s="194"/>
      <c r="E718" s="196" t="s">
        <v>1020</v>
      </c>
      <c r="F718" s="195">
        <v>800</v>
      </c>
      <c r="G718" s="197" t="s">
        <v>470</v>
      </c>
      <c r="H718" s="197" t="s">
        <v>471</v>
      </c>
      <c r="J718" s="195">
        <v>1</v>
      </c>
      <c r="K718" s="204" t="s">
        <v>224</v>
      </c>
      <c r="L718" s="199">
        <v>2</v>
      </c>
      <c r="M718" s="200">
        <v>0.3</v>
      </c>
      <c r="N718" s="201">
        <v>33</v>
      </c>
    </row>
    <row r="719" spans="1:14">
      <c r="A719" s="194">
        <v>41275.728449074071</v>
      </c>
      <c r="B719" s="195">
        <v>2052</v>
      </c>
      <c r="C719" s="194"/>
      <c r="D719" s="194"/>
      <c r="E719" s="196" t="s">
        <v>479</v>
      </c>
      <c r="F719" s="195">
        <v>800</v>
      </c>
      <c r="G719" s="197" t="s">
        <v>470</v>
      </c>
      <c r="H719" s="197" t="s">
        <v>471</v>
      </c>
      <c r="J719" s="195">
        <v>1</v>
      </c>
      <c r="K719" s="204" t="s">
        <v>224</v>
      </c>
      <c r="L719" s="199">
        <v>2</v>
      </c>
      <c r="M719" s="200">
        <v>0.4</v>
      </c>
      <c r="N719" s="201">
        <v>33</v>
      </c>
    </row>
    <row r="720" spans="1:14">
      <c r="A720" s="194">
        <v>41282.684016203704</v>
      </c>
      <c r="B720" s="195">
        <v>2052</v>
      </c>
      <c r="C720" s="194"/>
      <c r="D720" s="194"/>
      <c r="E720" s="196" t="s">
        <v>729</v>
      </c>
      <c r="F720" s="195">
        <v>800</v>
      </c>
      <c r="G720" s="197" t="s">
        <v>470</v>
      </c>
      <c r="H720" s="197" t="s">
        <v>471</v>
      </c>
      <c r="J720" s="195">
        <v>1</v>
      </c>
      <c r="K720" s="204" t="s">
        <v>224</v>
      </c>
      <c r="L720" s="199">
        <v>2</v>
      </c>
      <c r="M720" s="200">
        <v>0.4</v>
      </c>
      <c r="N720" s="201">
        <v>33</v>
      </c>
    </row>
    <row r="721" spans="1:14">
      <c r="A721" s="194">
        <v>41302.426076388889</v>
      </c>
      <c r="B721" s="195">
        <v>2052</v>
      </c>
      <c r="C721" s="194"/>
      <c r="D721" s="194"/>
      <c r="E721" s="196" t="s">
        <v>1456</v>
      </c>
      <c r="F721" s="195">
        <v>800</v>
      </c>
      <c r="G721" s="197" t="s">
        <v>470</v>
      </c>
      <c r="H721" s="197" t="s">
        <v>471</v>
      </c>
      <c r="J721" s="195">
        <v>1</v>
      </c>
      <c r="K721" s="204" t="s">
        <v>224</v>
      </c>
      <c r="L721" s="199">
        <v>1</v>
      </c>
      <c r="M721" s="200">
        <v>0.4</v>
      </c>
      <c r="N721" s="201">
        <v>34</v>
      </c>
    </row>
    <row r="722" spans="1:14">
      <c r="A722" s="194">
        <v>41288.832291666666</v>
      </c>
      <c r="B722" s="195">
        <v>2052</v>
      </c>
      <c r="C722" s="194"/>
      <c r="D722" s="194"/>
      <c r="E722" s="196" t="s">
        <v>946</v>
      </c>
      <c r="F722" s="195">
        <v>800</v>
      </c>
      <c r="G722" s="197" t="s">
        <v>470</v>
      </c>
      <c r="H722" s="197" t="s">
        <v>471</v>
      </c>
      <c r="J722" s="195">
        <v>1</v>
      </c>
      <c r="K722" s="204" t="s">
        <v>224</v>
      </c>
      <c r="L722" s="199">
        <v>1</v>
      </c>
      <c r="M722" s="200">
        <v>0.6</v>
      </c>
      <c r="N722" s="201">
        <v>34</v>
      </c>
    </row>
    <row r="723" spans="1:14">
      <c r="A723" s="194">
        <v>41301.018414351849</v>
      </c>
      <c r="B723" s="195">
        <v>2052</v>
      </c>
      <c r="C723" s="194"/>
      <c r="D723" s="194"/>
      <c r="E723" s="196" t="s">
        <v>1370</v>
      </c>
      <c r="F723" s="195">
        <v>800</v>
      </c>
      <c r="G723" s="197" t="s">
        <v>470</v>
      </c>
      <c r="H723" s="197" t="s">
        <v>471</v>
      </c>
      <c r="J723" s="195">
        <v>1</v>
      </c>
      <c r="K723" s="204" t="s">
        <v>224</v>
      </c>
      <c r="L723" s="199">
        <v>1</v>
      </c>
      <c r="M723" s="200">
        <v>0.3</v>
      </c>
      <c r="N723" s="201">
        <v>35</v>
      </c>
    </row>
    <row r="724" spans="1:14">
      <c r="A724" s="194">
        <v>41294.976655092592</v>
      </c>
      <c r="B724" s="195">
        <v>2052</v>
      </c>
      <c r="C724" s="194"/>
      <c r="D724" s="194"/>
      <c r="E724" s="196" t="s">
        <v>1141</v>
      </c>
      <c r="F724" s="195">
        <v>800</v>
      </c>
      <c r="G724" s="197" t="s">
        <v>470</v>
      </c>
      <c r="H724" s="197" t="s">
        <v>471</v>
      </c>
      <c r="J724" s="195">
        <v>1</v>
      </c>
      <c r="K724" s="204" t="s">
        <v>224</v>
      </c>
      <c r="L724" s="199">
        <v>1</v>
      </c>
      <c r="M724" s="200">
        <v>1.4</v>
      </c>
      <c r="N724" s="201">
        <v>35</v>
      </c>
    </row>
    <row r="725" spans="1:14">
      <c r="A725" s="194">
        <v>41299.935115740744</v>
      </c>
      <c r="B725" s="195">
        <v>2052</v>
      </c>
      <c r="C725" s="194"/>
      <c r="D725" s="194"/>
      <c r="E725" s="196" t="s">
        <v>1365</v>
      </c>
      <c r="F725" s="195">
        <v>800</v>
      </c>
      <c r="G725" s="197" t="s">
        <v>470</v>
      </c>
      <c r="H725" s="197" t="s">
        <v>471</v>
      </c>
      <c r="J725" s="195">
        <v>1</v>
      </c>
      <c r="K725" s="204" t="s">
        <v>224</v>
      </c>
      <c r="L725" s="199">
        <v>1</v>
      </c>
      <c r="M725" s="200">
        <v>0.3</v>
      </c>
      <c r="N725" s="201">
        <v>36</v>
      </c>
    </row>
    <row r="726" spans="1:14">
      <c r="A726" s="194">
        <v>41304.483761574076</v>
      </c>
      <c r="B726" s="195">
        <v>2052</v>
      </c>
      <c r="C726" s="194"/>
      <c r="D726" s="194"/>
      <c r="E726" s="196" t="s">
        <v>1535</v>
      </c>
      <c r="F726" s="195">
        <v>800</v>
      </c>
      <c r="G726" s="197" t="s">
        <v>470</v>
      </c>
      <c r="H726" s="197" t="s">
        <v>471</v>
      </c>
      <c r="J726" s="195">
        <v>1</v>
      </c>
      <c r="K726" s="204" t="s">
        <v>224</v>
      </c>
      <c r="L726" s="199">
        <v>2</v>
      </c>
      <c r="M726" s="200">
        <v>0.4</v>
      </c>
      <c r="N726" s="201">
        <v>36</v>
      </c>
    </row>
    <row r="727" spans="1:14">
      <c r="A727" s="194">
        <v>41305.279166666667</v>
      </c>
      <c r="B727" s="195">
        <v>2052</v>
      </c>
      <c r="C727" s="194"/>
      <c r="D727" s="194"/>
      <c r="E727" s="196" t="s">
        <v>1593</v>
      </c>
      <c r="F727" s="195">
        <v>800</v>
      </c>
      <c r="G727" s="197" t="s">
        <v>470</v>
      </c>
      <c r="H727" s="197" t="s">
        <v>471</v>
      </c>
      <c r="J727" s="195">
        <v>1</v>
      </c>
      <c r="K727" s="204" t="s">
        <v>224</v>
      </c>
      <c r="L727" s="199">
        <v>2</v>
      </c>
      <c r="M727" s="200">
        <v>0.3</v>
      </c>
      <c r="N727" s="201">
        <v>37</v>
      </c>
    </row>
    <row r="728" spans="1:14">
      <c r="A728" s="194">
        <v>41303.935150462959</v>
      </c>
      <c r="B728" s="195">
        <v>2052</v>
      </c>
      <c r="C728" s="194"/>
      <c r="D728" s="194"/>
      <c r="E728" s="196" t="s">
        <v>1486</v>
      </c>
      <c r="F728" s="195">
        <v>800</v>
      </c>
      <c r="G728" s="197" t="s">
        <v>470</v>
      </c>
      <c r="H728" s="197" t="s">
        <v>471</v>
      </c>
      <c r="J728" s="195">
        <v>1</v>
      </c>
      <c r="K728" s="204" t="s">
        <v>224</v>
      </c>
      <c r="L728" s="199">
        <v>2</v>
      </c>
      <c r="M728" s="200">
        <v>0.4</v>
      </c>
      <c r="N728" s="201">
        <v>37</v>
      </c>
    </row>
    <row r="729" spans="1:14">
      <c r="A729" s="194">
        <v>41292.393206018518</v>
      </c>
      <c r="B729" s="195">
        <v>2052</v>
      </c>
      <c r="C729" s="194"/>
      <c r="D729" s="194"/>
      <c r="E729" s="196" t="s">
        <v>1143</v>
      </c>
      <c r="F729" s="195">
        <v>800</v>
      </c>
      <c r="G729" s="197" t="s">
        <v>470</v>
      </c>
      <c r="H729" s="197" t="s">
        <v>471</v>
      </c>
      <c r="J729" s="195">
        <v>1</v>
      </c>
      <c r="K729" s="204" t="s">
        <v>224</v>
      </c>
      <c r="L729" s="199">
        <v>1</v>
      </c>
      <c r="M729" s="200">
        <v>0.6</v>
      </c>
      <c r="N729" s="201">
        <v>37</v>
      </c>
    </row>
    <row r="730" spans="1:14">
      <c r="A730" s="194">
        <v>41301.143414351849</v>
      </c>
      <c r="B730" s="195">
        <v>2052</v>
      </c>
      <c r="C730" s="194"/>
      <c r="D730" s="194"/>
      <c r="E730" s="196" t="s">
        <v>1375</v>
      </c>
      <c r="F730" s="195">
        <v>800</v>
      </c>
      <c r="G730" s="197" t="s">
        <v>470</v>
      </c>
      <c r="H730" s="197" t="s">
        <v>471</v>
      </c>
      <c r="J730" s="195">
        <v>1</v>
      </c>
      <c r="K730" s="204" t="s">
        <v>224</v>
      </c>
      <c r="L730" s="199">
        <v>1</v>
      </c>
      <c r="M730" s="200">
        <v>0.7</v>
      </c>
      <c r="N730" s="201">
        <v>37</v>
      </c>
    </row>
    <row r="731" spans="1:14">
      <c r="A731" s="194">
        <v>41301.04619212963</v>
      </c>
      <c r="B731" s="195">
        <v>2052</v>
      </c>
      <c r="C731" s="194"/>
      <c r="D731" s="194"/>
      <c r="E731" s="196" t="s">
        <v>1372</v>
      </c>
      <c r="F731" s="195">
        <v>800</v>
      </c>
      <c r="G731" s="197" t="s">
        <v>470</v>
      </c>
      <c r="H731" s="197" t="s">
        <v>471</v>
      </c>
      <c r="J731" s="195">
        <v>1</v>
      </c>
      <c r="K731" s="204" t="s">
        <v>224</v>
      </c>
      <c r="L731" s="199">
        <v>1</v>
      </c>
      <c r="M731" s="200">
        <v>0.7</v>
      </c>
      <c r="N731" s="201">
        <v>38</v>
      </c>
    </row>
    <row r="732" spans="1:14">
      <c r="A732" s="194">
        <v>41284.842719907407</v>
      </c>
      <c r="B732" s="195">
        <v>2052</v>
      </c>
      <c r="C732" s="194"/>
      <c r="D732" s="194"/>
      <c r="E732" s="196" t="s">
        <v>827</v>
      </c>
      <c r="F732" s="195">
        <v>800</v>
      </c>
      <c r="G732" s="197" t="s">
        <v>470</v>
      </c>
      <c r="H732" s="197" t="s">
        <v>471</v>
      </c>
      <c r="J732" s="195">
        <v>1</v>
      </c>
      <c r="K732" s="204" t="s">
        <v>224</v>
      </c>
      <c r="L732" s="199">
        <v>1</v>
      </c>
      <c r="M732" s="200">
        <v>0.3</v>
      </c>
      <c r="N732" s="201">
        <v>39</v>
      </c>
    </row>
    <row r="733" spans="1:14">
      <c r="A733" s="194">
        <v>41303.831006944441</v>
      </c>
      <c r="B733" s="195">
        <v>2052</v>
      </c>
      <c r="C733" s="194"/>
      <c r="D733" s="194"/>
      <c r="E733" s="196" t="s">
        <v>1484</v>
      </c>
      <c r="F733" s="195">
        <v>800</v>
      </c>
      <c r="G733" s="197" t="s">
        <v>470</v>
      </c>
      <c r="H733" s="197" t="s">
        <v>471</v>
      </c>
      <c r="J733" s="195">
        <v>1</v>
      </c>
      <c r="K733" s="204" t="s">
        <v>224</v>
      </c>
      <c r="L733" s="199">
        <v>2</v>
      </c>
      <c r="M733" s="200">
        <v>0.6</v>
      </c>
      <c r="N733" s="201">
        <v>39</v>
      </c>
    </row>
    <row r="734" spans="1:14">
      <c r="A734" s="194">
        <v>41288.089861111112</v>
      </c>
      <c r="B734" s="195">
        <v>2052</v>
      </c>
      <c r="C734" s="194"/>
      <c r="D734" s="194"/>
      <c r="E734" s="196" t="s">
        <v>819</v>
      </c>
      <c r="F734" s="195">
        <v>800</v>
      </c>
      <c r="G734" s="197" t="s">
        <v>470</v>
      </c>
      <c r="H734" s="197" t="s">
        <v>471</v>
      </c>
      <c r="J734" s="195">
        <v>1</v>
      </c>
      <c r="K734" s="204" t="s">
        <v>224</v>
      </c>
      <c r="L734" s="199">
        <v>1</v>
      </c>
      <c r="M734" s="200">
        <v>1</v>
      </c>
      <c r="N734" s="201">
        <v>39</v>
      </c>
    </row>
    <row r="735" spans="1:14">
      <c r="A735" s="194">
        <v>41296.475335648145</v>
      </c>
      <c r="B735" s="195">
        <v>2052</v>
      </c>
      <c r="C735" s="194"/>
      <c r="D735" s="194"/>
      <c r="E735" s="196" t="s">
        <v>1274</v>
      </c>
      <c r="F735" s="195">
        <v>800</v>
      </c>
      <c r="G735" s="197" t="s">
        <v>470</v>
      </c>
      <c r="H735" s="197" t="s">
        <v>471</v>
      </c>
      <c r="J735" s="195">
        <v>1</v>
      </c>
      <c r="K735" s="204" t="s">
        <v>224</v>
      </c>
      <c r="L735" s="199">
        <v>2</v>
      </c>
      <c r="M735" s="200">
        <v>0.6</v>
      </c>
      <c r="N735" s="201">
        <v>40</v>
      </c>
    </row>
    <row r="736" spans="1:14">
      <c r="A736" s="194">
        <v>41286.435011574074</v>
      </c>
      <c r="B736" s="195">
        <v>2052</v>
      </c>
      <c r="C736" s="194"/>
      <c r="D736" s="194"/>
      <c r="E736" s="196" t="s">
        <v>895</v>
      </c>
      <c r="F736" s="195">
        <v>800</v>
      </c>
      <c r="G736" s="197" t="s">
        <v>470</v>
      </c>
      <c r="H736" s="197" t="s">
        <v>471</v>
      </c>
      <c r="J736" s="195">
        <v>1</v>
      </c>
      <c r="K736" s="204" t="s">
        <v>224</v>
      </c>
      <c r="L736" s="199">
        <v>1</v>
      </c>
      <c r="M736" s="200">
        <v>0.4</v>
      </c>
      <c r="N736" s="201">
        <v>41</v>
      </c>
    </row>
    <row r="737" spans="1:14">
      <c r="A737" s="194">
        <v>41303.925428240742</v>
      </c>
      <c r="B737" s="195">
        <v>2052</v>
      </c>
      <c r="C737" s="194"/>
      <c r="D737" s="194"/>
      <c r="E737" s="196" t="s">
        <v>1485</v>
      </c>
      <c r="F737" s="195">
        <v>800</v>
      </c>
      <c r="G737" s="197" t="s">
        <v>470</v>
      </c>
      <c r="H737" s="197" t="s">
        <v>471</v>
      </c>
      <c r="J737" s="195">
        <v>1</v>
      </c>
      <c r="K737" s="204" t="s">
        <v>224</v>
      </c>
      <c r="L737" s="199">
        <v>1</v>
      </c>
      <c r="M737" s="200">
        <v>0.4</v>
      </c>
      <c r="N737" s="201">
        <v>41</v>
      </c>
    </row>
    <row r="738" spans="1:14">
      <c r="A738" s="194">
        <v>41281.408449074072</v>
      </c>
      <c r="B738" s="195">
        <v>2052</v>
      </c>
      <c r="C738" s="194"/>
      <c r="D738" s="194"/>
      <c r="E738" s="196" t="s">
        <v>703</v>
      </c>
      <c r="F738" s="195">
        <v>800</v>
      </c>
      <c r="G738" s="197" t="s">
        <v>470</v>
      </c>
      <c r="H738" s="197" t="s">
        <v>471</v>
      </c>
      <c r="J738" s="195">
        <v>1</v>
      </c>
      <c r="K738" s="204" t="s">
        <v>224</v>
      </c>
      <c r="L738" s="199">
        <v>1</v>
      </c>
      <c r="M738" s="200">
        <v>0.6</v>
      </c>
      <c r="N738" s="201">
        <v>41</v>
      </c>
    </row>
    <row r="739" spans="1:14">
      <c r="A739" s="194">
        <v>41302.899606481478</v>
      </c>
      <c r="B739" s="195">
        <v>2052</v>
      </c>
      <c r="C739" s="194"/>
      <c r="D739" s="194"/>
      <c r="E739" s="196" t="s">
        <v>1458</v>
      </c>
      <c r="F739" s="195">
        <v>800</v>
      </c>
      <c r="G739" s="197" t="s">
        <v>470</v>
      </c>
      <c r="H739" s="197" t="s">
        <v>471</v>
      </c>
      <c r="J739" s="195">
        <v>1</v>
      </c>
      <c r="K739" s="204" t="s">
        <v>224</v>
      </c>
      <c r="L739" s="199">
        <v>1</v>
      </c>
      <c r="M739" s="200">
        <v>0.3</v>
      </c>
      <c r="N739" s="201">
        <v>47</v>
      </c>
    </row>
    <row r="740" spans="1:14">
      <c r="A740" s="194">
        <v>41279.969039351854</v>
      </c>
      <c r="B740" s="195">
        <v>2052</v>
      </c>
      <c r="C740" s="194"/>
      <c r="D740" s="194"/>
      <c r="E740" s="196" t="s">
        <v>631</v>
      </c>
      <c r="F740" s="195">
        <v>800</v>
      </c>
      <c r="G740" s="197" t="s">
        <v>470</v>
      </c>
      <c r="H740" s="197" t="s">
        <v>471</v>
      </c>
      <c r="J740" s="195">
        <v>1</v>
      </c>
      <c r="K740" s="204" t="s">
        <v>224</v>
      </c>
      <c r="L740" s="199">
        <v>2</v>
      </c>
      <c r="M740" s="200">
        <v>0.8</v>
      </c>
      <c r="N740" s="201">
        <v>59</v>
      </c>
    </row>
    <row r="741" spans="1:14">
      <c r="A741" s="194">
        <v>41282.607233796298</v>
      </c>
      <c r="B741" s="195">
        <v>2052</v>
      </c>
      <c r="C741" s="194"/>
      <c r="D741" s="194"/>
      <c r="E741" s="198"/>
      <c r="G741" s="202"/>
      <c r="J741" s="195">
        <v>2</v>
      </c>
      <c r="K741" s="204" t="s">
        <v>32</v>
      </c>
      <c r="L741" s="199">
        <v>1</v>
      </c>
      <c r="M741" s="200">
        <v>0.3</v>
      </c>
      <c r="N741" s="201">
        <v>17</v>
      </c>
    </row>
    <row r="742" spans="1:14">
      <c r="A742" s="194">
        <v>41293.108680555553</v>
      </c>
      <c r="B742" s="195">
        <v>2052</v>
      </c>
      <c r="C742" s="194"/>
      <c r="D742" s="194"/>
      <c r="E742" s="198"/>
      <c r="G742" s="202"/>
      <c r="J742" s="195">
        <v>2</v>
      </c>
      <c r="K742" s="204" t="s">
        <v>32</v>
      </c>
      <c r="L742" s="199">
        <v>1</v>
      </c>
      <c r="M742" s="200">
        <v>0.5</v>
      </c>
      <c r="N742" s="201">
        <v>18</v>
      </c>
    </row>
    <row r="743" spans="1:14">
      <c r="A743" s="194">
        <v>41297.728518518517</v>
      </c>
      <c r="B743" s="195">
        <v>2052</v>
      </c>
      <c r="C743" s="194"/>
      <c r="D743" s="194"/>
      <c r="E743" s="198"/>
      <c r="G743" s="202"/>
      <c r="J743" s="195">
        <v>2</v>
      </c>
      <c r="K743" s="204" t="s">
        <v>32</v>
      </c>
      <c r="L743" s="199">
        <v>1</v>
      </c>
      <c r="M743" s="200">
        <v>0.6</v>
      </c>
      <c r="N743" s="201">
        <v>19</v>
      </c>
    </row>
    <row r="744" spans="1:14">
      <c r="A744" s="194">
        <v>41279.7190625</v>
      </c>
      <c r="B744" s="195">
        <v>2052</v>
      </c>
      <c r="C744" s="194"/>
      <c r="D744" s="194"/>
      <c r="E744" s="198"/>
      <c r="G744" s="202"/>
      <c r="J744" s="195">
        <v>2</v>
      </c>
      <c r="K744" s="204" t="s">
        <v>32</v>
      </c>
      <c r="L744" s="199">
        <v>1</v>
      </c>
      <c r="M744" s="200">
        <v>0.4</v>
      </c>
      <c r="N744" s="201">
        <v>20</v>
      </c>
    </row>
    <row r="745" spans="1:14">
      <c r="A745" s="194">
        <v>41291.778831018521</v>
      </c>
      <c r="B745" s="195">
        <v>2052</v>
      </c>
      <c r="C745" s="194"/>
      <c r="D745" s="194"/>
      <c r="E745" s="198"/>
      <c r="G745" s="202"/>
      <c r="J745" s="195">
        <v>2</v>
      </c>
      <c r="K745" s="204" t="s">
        <v>32</v>
      </c>
      <c r="L745" s="199">
        <v>2</v>
      </c>
      <c r="M745" s="200">
        <v>0.4</v>
      </c>
      <c r="N745" s="201">
        <v>21</v>
      </c>
    </row>
    <row r="746" spans="1:14">
      <c r="A746" s="194">
        <v>41278.699317129627</v>
      </c>
      <c r="B746" s="195">
        <v>2052</v>
      </c>
      <c r="C746" s="194"/>
      <c r="D746" s="194"/>
      <c r="E746" s="198"/>
      <c r="G746" s="202"/>
      <c r="J746" s="195">
        <v>2</v>
      </c>
      <c r="K746" s="204" t="s">
        <v>32</v>
      </c>
      <c r="L746" s="199">
        <v>1</v>
      </c>
      <c r="M746" s="200">
        <v>0.7</v>
      </c>
      <c r="N746" s="201">
        <v>24</v>
      </c>
    </row>
    <row r="747" spans="1:14">
      <c r="A747" s="194">
        <v>41291.736180555556</v>
      </c>
      <c r="B747" s="195">
        <v>2052</v>
      </c>
      <c r="C747" s="194"/>
      <c r="D747" s="194"/>
      <c r="E747" s="198"/>
      <c r="G747" s="202"/>
      <c r="J747" s="195">
        <v>2</v>
      </c>
      <c r="K747" s="204" t="s">
        <v>32</v>
      </c>
      <c r="L747" s="199">
        <v>2</v>
      </c>
      <c r="M747" s="200">
        <v>0.6</v>
      </c>
      <c r="N747" s="201">
        <v>25</v>
      </c>
    </row>
    <row r="748" spans="1:14">
      <c r="A748" s="194">
        <v>41304.662615740737</v>
      </c>
      <c r="B748" s="195">
        <v>2052</v>
      </c>
      <c r="C748" s="194"/>
      <c r="D748" s="194"/>
      <c r="E748" s="198"/>
      <c r="G748" s="202"/>
      <c r="J748" s="195">
        <v>2</v>
      </c>
      <c r="K748" s="204" t="s">
        <v>32</v>
      </c>
      <c r="L748" s="199">
        <v>1</v>
      </c>
      <c r="M748" s="200">
        <v>0.4</v>
      </c>
      <c r="N748" s="201">
        <v>27</v>
      </c>
    </row>
    <row r="749" spans="1:14">
      <c r="A749" s="194">
        <v>41294.939155092594</v>
      </c>
      <c r="B749" s="195">
        <v>2052</v>
      </c>
      <c r="C749" s="194"/>
      <c r="D749" s="194"/>
      <c r="E749" s="198"/>
      <c r="G749" s="202"/>
      <c r="J749" s="195">
        <v>2</v>
      </c>
      <c r="K749" s="204" t="s">
        <v>32</v>
      </c>
      <c r="L749" s="199">
        <v>1</v>
      </c>
      <c r="M749" s="200">
        <v>1.3</v>
      </c>
      <c r="N749" s="201">
        <v>27</v>
      </c>
    </row>
    <row r="750" spans="1:14">
      <c r="A750" s="194">
        <v>41286.555138888885</v>
      </c>
      <c r="B750" s="195">
        <v>2052</v>
      </c>
      <c r="C750" s="194"/>
      <c r="D750" s="194"/>
      <c r="E750" s="198"/>
      <c r="G750" s="202"/>
      <c r="J750" s="195">
        <v>2</v>
      </c>
      <c r="K750" s="204" t="s">
        <v>32</v>
      </c>
      <c r="L750" s="199">
        <v>1</v>
      </c>
      <c r="M750" s="200">
        <v>0.3</v>
      </c>
      <c r="N750" s="201">
        <v>28</v>
      </c>
    </row>
    <row r="751" spans="1:14">
      <c r="A751" s="194">
        <v>41286.602384259262</v>
      </c>
      <c r="B751" s="195">
        <v>2052</v>
      </c>
      <c r="C751" s="194"/>
      <c r="D751" s="194"/>
      <c r="E751" s="198"/>
      <c r="G751" s="202"/>
      <c r="J751" s="195">
        <v>2</v>
      </c>
      <c r="K751" s="204" t="s">
        <v>32</v>
      </c>
      <c r="L751" s="199">
        <v>2</v>
      </c>
      <c r="M751" s="200">
        <v>1.3</v>
      </c>
      <c r="N751" s="201">
        <v>28</v>
      </c>
    </row>
    <row r="752" spans="1:14">
      <c r="A752" s="194">
        <v>41299.003113425926</v>
      </c>
      <c r="B752" s="195">
        <v>2052</v>
      </c>
      <c r="C752" s="194"/>
      <c r="D752" s="194"/>
      <c r="E752" s="198"/>
      <c r="G752" s="202"/>
      <c r="J752" s="195">
        <v>2</v>
      </c>
      <c r="K752" s="204" t="s">
        <v>32</v>
      </c>
      <c r="L752" s="199">
        <v>2</v>
      </c>
      <c r="M752" s="200">
        <v>0.4</v>
      </c>
      <c r="N752" s="201">
        <v>32</v>
      </c>
    </row>
    <row r="753" spans="1:14">
      <c r="A753" s="194">
        <v>41287.137800925928</v>
      </c>
      <c r="B753" s="195">
        <v>2052</v>
      </c>
      <c r="C753" s="194"/>
      <c r="D753" s="194"/>
      <c r="E753" s="198"/>
      <c r="G753" s="202"/>
      <c r="J753" s="195">
        <v>2</v>
      </c>
      <c r="K753" s="204" t="s">
        <v>32</v>
      </c>
      <c r="L753" s="199">
        <v>1</v>
      </c>
      <c r="M753" s="200">
        <v>0.3</v>
      </c>
      <c r="N753" s="201">
        <v>36</v>
      </c>
    </row>
    <row r="754" spans="1:14">
      <c r="A754" s="194">
        <v>41301.624722222223</v>
      </c>
      <c r="B754" s="195">
        <v>2052</v>
      </c>
      <c r="C754" s="194"/>
      <c r="D754" s="194"/>
      <c r="E754" s="198"/>
      <c r="G754" s="202"/>
      <c r="J754" s="195">
        <v>2</v>
      </c>
      <c r="K754" s="204" t="s">
        <v>32</v>
      </c>
      <c r="L754" s="199">
        <v>2</v>
      </c>
      <c r="M754" s="200">
        <v>0.7</v>
      </c>
      <c r="N754" s="201">
        <v>36</v>
      </c>
    </row>
    <row r="755" spans="1:14">
      <c r="A755" s="194">
        <v>41280.082233796296</v>
      </c>
      <c r="B755" s="195">
        <v>2052</v>
      </c>
      <c r="C755" s="194"/>
      <c r="D755" s="194"/>
      <c r="E755" s="198"/>
      <c r="G755" s="202"/>
      <c r="J755" s="195">
        <v>2</v>
      </c>
      <c r="K755" s="204" t="s">
        <v>32</v>
      </c>
      <c r="L755" s="199">
        <v>2</v>
      </c>
      <c r="M755" s="200">
        <v>0.5</v>
      </c>
      <c r="N755" s="201">
        <v>38</v>
      </c>
    </row>
    <row r="756" spans="1:14">
      <c r="A756" s="194">
        <v>41303.025983796295</v>
      </c>
      <c r="B756" s="195">
        <v>2052</v>
      </c>
      <c r="C756" s="194"/>
      <c r="D756" s="194"/>
      <c r="E756" s="198"/>
      <c r="G756" s="202"/>
      <c r="J756" s="195">
        <v>2</v>
      </c>
      <c r="K756" s="204" t="s">
        <v>32</v>
      </c>
      <c r="L756" s="199">
        <v>1</v>
      </c>
      <c r="M756" s="200">
        <v>0.3</v>
      </c>
      <c r="N756" s="201">
        <v>39</v>
      </c>
    </row>
    <row r="757" spans="1:14">
      <c r="A757" s="194">
        <v>41300.317071759258</v>
      </c>
      <c r="B757" s="195">
        <v>2052</v>
      </c>
      <c r="C757" s="194"/>
      <c r="D757" s="194"/>
      <c r="E757" s="198"/>
      <c r="G757" s="202"/>
      <c r="J757" s="195">
        <v>2</v>
      </c>
      <c r="K757" s="204" t="s">
        <v>32</v>
      </c>
      <c r="L757" s="199">
        <v>2</v>
      </c>
      <c r="M757" s="200">
        <v>1.2</v>
      </c>
      <c r="N757" s="201">
        <v>51</v>
      </c>
    </row>
    <row r="758" spans="1:14">
      <c r="A758" s="194">
        <v>41278.715289351851</v>
      </c>
      <c r="B758" s="195">
        <v>2052</v>
      </c>
      <c r="C758" s="194"/>
      <c r="D758" s="194"/>
      <c r="E758" s="198"/>
      <c r="G758" s="202"/>
      <c r="J758" s="195">
        <v>3</v>
      </c>
      <c r="K758" s="204" t="s">
        <v>1595</v>
      </c>
      <c r="L758" s="199">
        <v>2</v>
      </c>
      <c r="M758" s="200">
        <v>0.6</v>
      </c>
      <c r="N758" s="201">
        <v>22</v>
      </c>
    </row>
    <row r="759" spans="1:14">
      <c r="A759" s="194">
        <v>41304.73065972222</v>
      </c>
      <c r="B759" s="195">
        <v>2052</v>
      </c>
      <c r="C759" s="194"/>
      <c r="D759" s="194"/>
      <c r="E759" s="198"/>
      <c r="G759" s="202"/>
      <c r="J759" s="195">
        <v>3</v>
      </c>
      <c r="K759" s="204" t="s">
        <v>1595</v>
      </c>
      <c r="L759" s="199">
        <v>2</v>
      </c>
      <c r="M759" s="200">
        <v>0.3</v>
      </c>
      <c r="N759" s="201">
        <v>34</v>
      </c>
    </row>
    <row r="760" spans="1:14">
      <c r="A760" s="194">
        <v>41291.910752314812</v>
      </c>
      <c r="B760" s="195">
        <v>2052</v>
      </c>
      <c r="C760" s="194"/>
      <c r="D760" s="194"/>
      <c r="E760" s="198"/>
      <c r="G760" s="202"/>
      <c r="J760" s="195">
        <v>3</v>
      </c>
      <c r="K760" s="204" t="s">
        <v>1595</v>
      </c>
      <c r="L760" s="199">
        <v>2</v>
      </c>
      <c r="M760" s="200">
        <v>0.5</v>
      </c>
      <c r="N760" s="201">
        <v>38</v>
      </c>
    </row>
    <row r="761" spans="1:14">
      <c r="A761" s="194">
        <v>41283.825254629628</v>
      </c>
      <c r="B761" s="195">
        <v>2052</v>
      </c>
      <c r="C761" s="194"/>
      <c r="D761" s="194"/>
      <c r="E761" s="198"/>
      <c r="G761" s="202"/>
      <c r="J761" s="195">
        <v>3</v>
      </c>
      <c r="K761" s="204" t="s">
        <v>1595</v>
      </c>
      <c r="L761" s="199">
        <v>1</v>
      </c>
      <c r="M761" s="200">
        <v>0.3</v>
      </c>
      <c r="N761" s="201">
        <v>39</v>
      </c>
    </row>
    <row r="762" spans="1:14">
      <c r="A762" s="194">
        <v>41290.471863425926</v>
      </c>
      <c r="B762" s="195">
        <v>2052</v>
      </c>
      <c r="C762" s="194"/>
      <c r="D762" s="194"/>
      <c r="E762" s="196" t="s">
        <v>1918</v>
      </c>
      <c r="G762" s="202"/>
      <c r="J762" s="195">
        <v>10</v>
      </c>
      <c r="K762" s="204" t="s">
        <v>31</v>
      </c>
      <c r="L762" s="199">
        <v>1</v>
      </c>
      <c r="M762" s="200">
        <v>0.8</v>
      </c>
      <c r="N762" s="201">
        <v>26</v>
      </c>
    </row>
    <row r="763" spans="1:14">
      <c r="A763" s="194">
        <v>41304.444872685184</v>
      </c>
      <c r="B763" s="195">
        <v>2052</v>
      </c>
      <c r="C763" s="194"/>
      <c r="D763" s="194"/>
      <c r="E763" s="198"/>
      <c r="G763" s="202"/>
      <c r="J763" s="195">
        <v>11</v>
      </c>
      <c r="K763" s="204" t="s">
        <v>1</v>
      </c>
      <c r="L763" s="199">
        <v>1</v>
      </c>
      <c r="M763" s="200">
        <v>0.3</v>
      </c>
      <c r="N763" s="201">
        <v>15</v>
      </c>
    </row>
    <row r="764" spans="1:14">
      <c r="A764" s="194">
        <v>41281.356388888889</v>
      </c>
      <c r="B764" s="195">
        <v>2052</v>
      </c>
      <c r="C764" s="194"/>
      <c r="D764" s="194"/>
      <c r="E764" s="198"/>
      <c r="G764" s="202"/>
      <c r="J764" s="195">
        <v>11</v>
      </c>
      <c r="K764" s="204" t="s">
        <v>1</v>
      </c>
      <c r="L764" s="199">
        <v>1</v>
      </c>
      <c r="M764" s="200">
        <v>0.3</v>
      </c>
      <c r="N764" s="201">
        <v>19</v>
      </c>
    </row>
    <row r="765" spans="1:14">
      <c r="A765" s="194">
        <v>41301.666400462964</v>
      </c>
      <c r="B765" s="195">
        <v>2052</v>
      </c>
      <c r="C765" s="194"/>
      <c r="D765" s="194"/>
      <c r="E765" s="198"/>
      <c r="G765" s="202"/>
      <c r="J765" s="195">
        <v>11</v>
      </c>
      <c r="K765" s="204" t="s">
        <v>1</v>
      </c>
      <c r="L765" s="199">
        <v>1</v>
      </c>
      <c r="M765" s="200">
        <v>0.4</v>
      </c>
      <c r="N765" s="201">
        <v>19</v>
      </c>
    </row>
    <row r="766" spans="1:14">
      <c r="A766" s="194">
        <v>41296.828125</v>
      </c>
      <c r="B766" s="195">
        <v>2052</v>
      </c>
      <c r="C766" s="194"/>
      <c r="D766" s="194"/>
      <c r="E766" s="198"/>
      <c r="G766" s="202"/>
      <c r="J766" s="195">
        <v>11</v>
      </c>
      <c r="K766" s="204" t="s">
        <v>1</v>
      </c>
      <c r="L766" s="199">
        <v>1</v>
      </c>
      <c r="M766" s="200">
        <v>1.1000000000000001</v>
      </c>
      <c r="N766" s="201">
        <v>20</v>
      </c>
    </row>
    <row r="767" spans="1:14">
      <c r="A767" s="194">
        <v>41275.575266203705</v>
      </c>
      <c r="B767" s="195">
        <v>2052</v>
      </c>
      <c r="C767" s="194"/>
      <c r="D767" s="194"/>
      <c r="E767" s="198"/>
      <c r="G767" s="202"/>
      <c r="J767" s="195">
        <v>11</v>
      </c>
      <c r="K767" s="204" t="s">
        <v>1</v>
      </c>
      <c r="L767" s="199">
        <v>1</v>
      </c>
      <c r="M767" s="200">
        <v>1.1000000000000001</v>
      </c>
      <c r="N767" s="201">
        <v>20</v>
      </c>
    </row>
    <row r="768" spans="1:14">
      <c r="A768" s="194">
        <v>41294.587777777779</v>
      </c>
      <c r="B768" s="195">
        <v>2052</v>
      </c>
      <c r="C768" s="194"/>
      <c r="D768" s="194"/>
      <c r="E768" s="198"/>
      <c r="G768" s="202"/>
      <c r="J768" s="195">
        <v>11</v>
      </c>
      <c r="K768" s="204" t="s">
        <v>1</v>
      </c>
      <c r="L768" s="199">
        <v>1</v>
      </c>
      <c r="M768" s="200">
        <v>0.3</v>
      </c>
      <c r="N768" s="201">
        <v>21</v>
      </c>
    </row>
    <row r="769" spans="1:14">
      <c r="A769" s="194">
        <v>41281.412615740737</v>
      </c>
      <c r="B769" s="195">
        <v>2052</v>
      </c>
      <c r="C769" s="194"/>
      <c r="D769" s="194"/>
      <c r="E769" s="198"/>
      <c r="G769" s="202"/>
      <c r="J769" s="195">
        <v>11</v>
      </c>
      <c r="K769" s="204" t="s">
        <v>1</v>
      </c>
      <c r="L769" s="199">
        <v>1</v>
      </c>
      <c r="M769" s="200">
        <v>0.4</v>
      </c>
      <c r="N769" s="201">
        <v>21</v>
      </c>
    </row>
    <row r="770" spans="1:14">
      <c r="A770" s="194">
        <v>41305.388888888891</v>
      </c>
      <c r="B770" s="195">
        <v>2052</v>
      </c>
      <c r="C770" s="194"/>
      <c r="D770" s="194"/>
      <c r="E770" s="198"/>
      <c r="G770" s="202"/>
      <c r="J770" s="195">
        <v>11</v>
      </c>
      <c r="K770" s="204" t="s">
        <v>1</v>
      </c>
      <c r="L770" s="199">
        <v>1</v>
      </c>
      <c r="M770" s="200">
        <v>0.6</v>
      </c>
      <c r="N770" s="201">
        <v>25</v>
      </c>
    </row>
    <row r="771" spans="1:14">
      <c r="A771" s="194">
        <v>41285.398032407407</v>
      </c>
      <c r="B771" s="195">
        <v>2052</v>
      </c>
      <c r="C771" s="194"/>
      <c r="D771" s="194"/>
      <c r="E771" s="198"/>
      <c r="G771" s="202"/>
      <c r="J771" s="195">
        <v>11</v>
      </c>
      <c r="K771" s="204" t="s">
        <v>1</v>
      </c>
      <c r="L771" s="199">
        <v>2</v>
      </c>
      <c r="M771" s="200">
        <v>0.6</v>
      </c>
      <c r="N771" s="201">
        <v>27</v>
      </c>
    </row>
    <row r="772" spans="1:14">
      <c r="A772" s="194">
        <v>41294.645405092589</v>
      </c>
      <c r="B772" s="195">
        <v>2052</v>
      </c>
      <c r="C772" s="194"/>
      <c r="D772" s="194"/>
      <c r="E772" s="198"/>
      <c r="G772" s="202"/>
      <c r="J772" s="195">
        <v>11</v>
      </c>
      <c r="K772" s="204" t="s">
        <v>1</v>
      </c>
      <c r="L772" s="199">
        <v>2</v>
      </c>
      <c r="M772" s="200">
        <v>0.3</v>
      </c>
      <c r="N772" s="201">
        <v>28</v>
      </c>
    </row>
    <row r="773" spans="1:14">
      <c r="A773" s="194">
        <v>41294.930115740739</v>
      </c>
      <c r="B773" s="195">
        <v>2052</v>
      </c>
      <c r="C773" s="194"/>
      <c r="D773" s="194"/>
      <c r="E773" s="198"/>
      <c r="G773" s="202"/>
      <c r="J773" s="195">
        <v>11</v>
      </c>
      <c r="K773" s="204" t="s">
        <v>1</v>
      </c>
      <c r="L773" s="199">
        <v>1</v>
      </c>
      <c r="M773" s="200">
        <v>0.4</v>
      </c>
      <c r="N773" s="201">
        <v>53</v>
      </c>
    </row>
    <row r="774" spans="1:14">
      <c r="A774" s="194">
        <v>41287.205868055556</v>
      </c>
      <c r="B774" s="195">
        <v>2052</v>
      </c>
      <c r="C774" s="194"/>
      <c r="D774" s="194"/>
      <c r="E774" s="198"/>
      <c r="G774" s="202"/>
      <c r="J774" s="195">
        <v>12</v>
      </c>
      <c r="K774" s="204" t="s">
        <v>7</v>
      </c>
      <c r="L774" s="199">
        <v>1</v>
      </c>
      <c r="M774" s="200">
        <v>0.6</v>
      </c>
      <c r="N774" s="201">
        <v>18</v>
      </c>
    </row>
    <row r="775" spans="1:14">
      <c r="A775" s="194">
        <v>41286.688530092593</v>
      </c>
      <c r="B775" s="195">
        <v>2052</v>
      </c>
      <c r="C775" s="194"/>
      <c r="D775" s="194"/>
      <c r="E775" s="198"/>
      <c r="G775" s="202"/>
      <c r="J775" s="195">
        <v>14</v>
      </c>
      <c r="K775" s="204" t="s">
        <v>2</v>
      </c>
      <c r="L775" s="199">
        <v>1</v>
      </c>
      <c r="M775" s="200">
        <v>1.5</v>
      </c>
      <c r="N775" s="201">
        <v>23</v>
      </c>
    </row>
    <row r="776" spans="1:14">
      <c r="A776" s="194">
        <v>41281.616898148146</v>
      </c>
      <c r="B776" s="195">
        <v>2052</v>
      </c>
      <c r="C776" s="194"/>
      <c r="D776" s="194"/>
      <c r="E776" s="198"/>
      <c r="G776" s="202"/>
      <c r="J776" s="195">
        <v>14</v>
      </c>
      <c r="K776" s="204" t="s">
        <v>2</v>
      </c>
      <c r="L776" s="199">
        <v>1</v>
      </c>
      <c r="M776" s="200">
        <v>0.3</v>
      </c>
      <c r="N776" s="201">
        <v>26</v>
      </c>
    </row>
    <row r="777" spans="1:14">
      <c r="A777" s="194">
        <v>41292.366122685184</v>
      </c>
      <c r="B777" s="195">
        <v>2052</v>
      </c>
      <c r="C777" s="194"/>
      <c r="D777" s="194"/>
      <c r="E777" s="198"/>
      <c r="G777" s="202"/>
      <c r="J777" s="195">
        <v>14</v>
      </c>
      <c r="K777" s="204" t="s">
        <v>2</v>
      </c>
      <c r="L777" s="199">
        <v>1</v>
      </c>
      <c r="M777" s="200">
        <v>0.5</v>
      </c>
      <c r="N777" s="201">
        <v>28</v>
      </c>
    </row>
    <row r="778" spans="1:14">
      <c r="A778" s="194">
        <v>41298.364085648151</v>
      </c>
      <c r="B778" s="195">
        <v>2052</v>
      </c>
      <c r="C778" s="194"/>
      <c r="D778" s="194"/>
      <c r="E778" s="198"/>
      <c r="G778" s="202"/>
      <c r="J778" s="195">
        <v>15</v>
      </c>
      <c r="K778" s="204" t="s">
        <v>4</v>
      </c>
      <c r="L778" s="199">
        <v>2</v>
      </c>
      <c r="M778" s="200">
        <v>0.5</v>
      </c>
      <c r="N778" s="201">
        <v>29</v>
      </c>
    </row>
    <row r="779" spans="1:14">
      <c r="A779" s="194">
        <v>41300.576157407406</v>
      </c>
      <c r="B779" s="195">
        <v>2052</v>
      </c>
      <c r="C779" s="194"/>
      <c r="D779" s="194"/>
      <c r="E779" s="198"/>
      <c r="G779" s="202"/>
      <c r="J779" s="195">
        <v>17</v>
      </c>
      <c r="K779" s="204" t="s">
        <v>11</v>
      </c>
      <c r="L779" s="199">
        <v>1</v>
      </c>
      <c r="M779" s="200">
        <v>5.5</v>
      </c>
      <c r="N779" s="201">
        <v>0</v>
      </c>
    </row>
    <row r="780" spans="1:14">
      <c r="A780" s="194">
        <v>41296.491307870368</v>
      </c>
      <c r="B780" s="195">
        <v>2052</v>
      </c>
      <c r="C780" s="194"/>
      <c r="D780" s="194"/>
      <c r="E780" s="198"/>
      <c r="G780" s="202"/>
      <c r="J780" s="195">
        <v>17</v>
      </c>
      <c r="K780" s="204" t="s">
        <v>11</v>
      </c>
      <c r="L780" s="199">
        <v>1</v>
      </c>
      <c r="M780" s="200">
        <v>0.4</v>
      </c>
      <c r="N780" s="201">
        <v>16</v>
      </c>
    </row>
    <row r="781" spans="1:14">
      <c r="A781" s="194">
        <v>41280.092650462961</v>
      </c>
      <c r="B781" s="195">
        <v>2052</v>
      </c>
      <c r="C781" s="194"/>
      <c r="D781" s="194"/>
      <c r="E781" s="198"/>
      <c r="G781" s="202"/>
      <c r="J781" s="195">
        <v>17</v>
      </c>
      <c r="K781" s="204" t="s">
        <v>11</v>
      </c>
      <c r="L781" s="199">
        <v>1</v>
      </c>
      <c r="M781" s="200">
        <v>0.4</v>
      </c>
      <c r="N781" s="201">
        <v>16</v>
      </c>
    </row>
    <row r="782" spans="1:14">
      <c r="A782" s="194">
        <v>41280.616238425922</v>
      </c>
      <c r="B782" s="195">
        <v>2052</v>
      </c>
      <c r="C782" s="194"/>
      <c r="D782" s="194"/>
      <c r="E782" s="198"/>
      <c r="G782" s="202"/>
      <c r="J782" s="195">
        <v>17</v>
      </c>
      <c r="K782" s="204" t="s">
        <v>11</v>
      </c>
      <c r="L782" s="199">
        <v>2</v>
      </c>
      <c r="M782" s="200">
        <v>0.8</v>
      </c>
      <c r="N782" s="201">
        <v>16</v>
      </c>
    </row>
    <row r="783" spans="1:14">
      <c r="A783" s="194">
        <v>41285.395960648151</v>
      </c>
      <c r="B783" s="195">
        <v>2052</v>
      </c>
      <c r="C783" s="194"/>
      <c r="D783" s="194"/>
      <c r="E783" s="198"/>
      <c r="G783" s="202"/>
      <c r="J783" s="195">
        <v>17</v>
      </c>
      <c r="K783" s="204" t="s">
        <v>11</v>
      </c>
      <c r="L783" s="199">
        <v>1</v>
      </c>
      <c r="M783" s="200">
        <v>1.3</v>
      </c>
      <c r="N783" s="201">
        <v>16</v>
      </c>
    </row>
    <row r="784" spans="1:14">
      <c r="A784" s="194">
        <v>41296.496874999997</v>
      </c>
      <c r="B784" s="195">
        <v>2052</v>
      </c>
      <c r="C784" s="194"/>
      <c r="D784" s="194"/>
      <c r="E784" s="198"/>
      <c r="G784" s="202"/>
      <c r="J784" s="195">
        <v>17</v>
      </c>
      <c r="K784" s="204" t="s">
        <v>11</v>
      </c>
      <c r="L784" s="199">
        <v>1</v>
      </c>
      <c r="M784" s="200">
        <v>1.5</v>
      </c>
      <c r="N784" s="201">
        <v>16</v>
      </c>
    </row>
    <row r="785" spans="1:14">
      <c r="A785" s="194">
        <v>41300.066365740742</v>
      </c>
      <c r="B785" s="195">
        <v>2052</v>
      </c>
      <c r="C785" s="194"/>
      <c r="D785" s="194"/>
      <c r="E785" s="198"/>
      <c r="G785" s="202"/>
      <c r="J785" s="195">
        <v>17</v>
      </c>
      <c r="K785" s="204" t="s">
        <v>11</v>
      </c>
      <c r="L785" s="199">
        <v>2</v>
      </c>
      <c r="M785" s="200">
        <v>2.1</v>
      </c>
      <c r="N785" s="201">
        <v>16</v>
      </c>
    </row>
    <row r="786" spans="1:14">
      <c r="A786" s="194">
        <v>41279.547534722224</v>
      </c>
      <c r="B786" s="195">
        <v>2052</v>
      </c>
      <c r="C786" s="194"/>
      <c r="D786" s="194"/>
      <c r="E786" s="198"/>
      <c r="G786" s="202"/>
      <c r="J786" s="195">
        <v>17</v>
      </c>
      <c r="K786" s="204" t="s">
        <v>11</v>
      </c>
      <c r="L786" s="199">
        <v>2</v>
      </c>
      <c r="M786" s="200">
        <v>2.2000000000000002</v>
      </c>
      <c r="N786" s="201">
        <v>16</v>
      </c>
    </row>
    <row r="787" spans="1:14">
      <c r="A787" s="194">
        <v>41299.587233796294</v>
      </c>
      <c r="B787" s="195">
        <v>2052</v>
      </c>
      <c r="C787" s="194"/>
      <c r="D787" s="194"/>
      <c r="E787" s="198"/>
      <c r="G787" s="202"/>
      <c r="J787" s="195">
        <v>17</v>
      </c>
      <c r="K787" s="204" t="s">
        <v>11</v>
      </c>
      <c r="L787" s="199">
        <v>2</v>
      </c>
      <c r="M787" s="200">
        <v>3.6</v>
      </c>
      <c r="N787" s="201">
        <v>16</v>
      </c>
    </row>
    <row r="788" spans="1:14">
      <c r="A788" s="194">
        <v>41301.210173611114</v>
      </c>
      <c r="B788" s="195">
        <v>2052</v>
      </c>
      <c r="C788" s="194"/>
      <c r="D788" s="194"/>
      <c r="E788" s="198"/>
      <c r="G788" s="202"/>
      <c r="J788" s="195">
        <v>17</v>
      </c>
      <c r="K788" s="204" t="s">
        <v>11</v>
      </c>
      <c r="L788" s="199">
        <v>1</v>
      </c>
      <c r="M788" s="200">
        <v>8</v>
      </c>
      <c r="N788" s="201">
        <v>16</v>
      </c>
    </row>
    <row r="789" spans="1:14">
      <c r="A789" s="194">
        <v>41279.981631944444</v>
      </c>
      <c r="B789" s="195">
        <v>2052</v>
      </c>
      <c r="C789" s="194"/>
      <c r="D789" s="194"/>
      <c r="E789" s="198"/>
      <c r="G789" s="202"/>
      <c r="J789" s="195">
        <v>17</v>
      </c>
      <c r="K789" s="204" t="s">
        <v>11</v>
      </c>
      <c r="L789" s="199">
        <v>2</v>
      </c>
      <c r="M789" s="200">
        <v>8.1999999999999993</v>
      </c>
      <c r="N789" s="201">
        <v>16</v>
      </c>
    </row>
    <row r="790" spans="1:14">
      <c r="A790" s="194">
        <v>41284.100347222222</v>
      </c>
      <c r="B790" s="195">
        <v>2052</v>
      </c>
      <c r="C790" s="194"/>
      <c r="D790" s="194"/>
      <c r="E790" s="198"/>
      <c r="G790" s="202"/>
      <c r="J790" s="195">
        <v>17</v>
      </c>
      <c r="K790" s="204" t="s">
        <v>11</v>
      </c>
      <c r="L790" s="199">
        <v>2</v>
      </c>
      <c r="M790" s="200">
        <v>8.6999999999999993</v>
      </c>
      <c r="N790" s="201">
        <v>16</v>
      </c>
    </row>
    <row r="791" spans="1:14">
      <c r="A791" s="194">
        <v>41279.601678240739</v>
      </c>
      <c r="B791" s="195">
        <v>2052</v>
      </c>
      <c r="C791" s="194"/>
      <c r="D791" s="194"/>
      <c r="E791" s="198"/>
      <c r="G791" s="202"/>
      <c r="J791" s="195">
        <v>17</v>
      </c>
      <c r="K791" s="204" t="s">
        <v>11</v>
      </c>
      <c r="L791" s="199">
        <v>1</v>
      </c>
      <c r="M791" s="200">
        <v>0.7</v>
      </c>
      <c r="N791" s="201">
        <v>17</v>
      </c>
    </row>
    <row r="792" spans="1:14">
      <c r="A792" s="194">
        <v>41281.375127314815</v>
      </c>
      <c r="B792" s="195">
        <v>2052</v>
      </c>
      <c r="C792" s="194"/>
      <c r="D792" s="194"/>
      <c r="E792" s="198"/>
      <c r="G792" s="202"/>
      <c r="J792" s="195">
        <v>17</v>
      </c>
      <c r="K792" s="204" t="s">
        <v>11</v>
      </c>
      <c r="L792" s="199">
        <v>1</v>
      </c>
      <c r="M792" s="200">
        <v>0.8</v>
      </c>
      <c r="N792" s="201">
        <v>17</v>
      </c>
    </row>
    <row r="793" spans="1:14">
      <c r="A793" s="194">
        <v>41285.905868055554</v>
      </c>
      <c r="B793" s="195">
        <v>2052</v>
      </c>
      <c r="C793" s="194"/>
      <c r="D793" s="194"/>
      <c r="E793" s="198"/>
      <c r="G793" s="202"/>
      <c r="J793" s="195">
        <v>17</v>
      </c>
      <c r="K793" s="204" t="s">
        <v>11</v>
      </c>
      <c r="L793" s="199">
        <v>2</v>
      </c>
      <c r="M793" s="200">
        <v>1</v>
      </c>
      <c r="N793" s="201">
        <v>17</v>
      </c>
    </row>
    <row r="794" spans="1:14">
      <c r="A794" s="194">
        <v>41298.122557870367</v>
      </c>
      <c r="B794" s="195">
        <v>2052</v>
      </c>
      <c r="C794" s="194"/>
      <c r="D794" s="194"/>
      <c r="E794" s="198"/>
      <c r="G794" s="202"/>
      <c r="J794" s="195">
        <v>17</v>
      </c>
      <c r="K794" s="204" t="s">
        <v>11</v>
      </c>
      <c r="L794" s="199">
        <v>1</v>
      </c>
      <c r="M794" s="200">
        <v>1.1000000000000001</v>
      </c>
      <c r="N794" s="201">
        <v>17</v>
      </c>
    </row>
    <row r="795" spans="1:14">
      <c r="A795" s="194">
        <v>41292.971203703702</v>
      </c>
      <c r="B795" s="195">
        <v>2052</v>
      </c>
      <c r="C795" s="194"/>
      <c r="D795" s="194"/>
      <c r="E795" s="198"/>
      <c r="G795" s="202"/>
      <c r="J795" s="195">
        <v>17</v>
      </c>
      <c r="K795" s="204" t="s">
        <v>11</v>
      </c>
      <c r="L795" s="199">
        <v>1</v>
      </c>
      <c r="M795" s="200">
        <v>1.5</v>
      </c>
      <c r="N795" s="201">
        <v>17</v>
      </c>
    </row>
    <row r="796" spans="1:14">
      <c r="A796" s="194">
        <v>41284.002488425926</v>
      </c>
      <c r="B796" s="195">
        <v>2052</v>
      </c>
      <c r="C796" s="194"/>
      <c r="D796" s="194"/>
      <c r="E796" s="198"/>
      <c r="G796" s="202"/>
      <c r="J796" s="195">
        <v>17</v>
      </c>
      <c r="K796" s="204" t="s">
        <v>11</v>
      </c>
      <c r="L796" s="199">
        <v>2</v>
      </c>
      <c r="M796" s="200">
        <v>15.6</v>
      </c>
      <c r="N796" s="201">
        <v>18</v>
      </c>
    </row>
    <row r="797" spans="1:14">
      <c r="A797" s="194">
        <v>41301.410810185182</v>
      </c>
      <c r="B797" s="195">
        <v>2052</v>
      </c>
      <c r="C797" s="194"/>
      <c r="D797" s="194"/>
      <c r="E797" s="198"/>
      <c r="G797" s="202"/>
      <c r="J797" s="195">
        <v>17</v>
      </c>
      <c r="K797" s="204" t="s">
        <v>11</v>
      </c>
      <c r="L797" s="199">
        <v>1</v>
      </c>
      <c r="M797" s="200">
        <v>0.4</v>
      </c>
      <c r="N797" s="201">
        <v>19</v>
      </c>
    </row>
    <row r="798" spans="1:14">
      <c r="A798" s="194">
        <v>41287.380185185182</v>
      </c>
      <c r="B798" s="195">
        <v>2052</v>
      </c>
      <c r="C798" s="194"/>
      <c r="D798" s="194"/>
      <c r="E798" s="198"/>
      <c r="G798" s="202"/>
      <c r="J798" s="195">
        <v>17</v>
      </c>
      <c r="K798" s="204" t="s">
        <v>11</v>
      </c>
      <c r="L798" s="199">
        <v>2</v>
      </c>
      <c r="M798" s="200">
        <v>1</v>
      </c>
      <c r="N798" s="201">
        <v>19</v>
      </c>
    </row>
    <row r="799" spans="1:14">
      <c r="A799" s="194">
        <v>41275.379247685189</v>
      </c>
      <c r="B799" s="195">
        <v>2052</v>
      </c>
      <c r="C799" s="194"/>
      <c r="D799" s="194"/>
      <c r="E799" s="198"/>
      <c r="G799" s="202"/>
      <c r="J799" s="195">
        <v>17</v>
      </c>
      <c r="K799" s="204" t="s">
        <v>11</v>
      </c>
      <c r="L799" s="199">
        <v>1</v>
      </c>
      <c r="M799" s="200">
        <v>1.2</v>
      </c>
      <c r="N799" s="201">
        <v>19</v>
      </c>
    </row>
    <row r="800" spans="1:14">
      <c r="A800" s="194">
        <v>41297.706296296295</v>
      </c>
      <c r="B800" s="195">
        <v>2052</v>
      </c>
      <c r="C800" s="194"/>
      <c r="D800" s="194"/>
      <c r="E800" s="198"/>
      <c r="G800" s="202"/>
      <c r="J800" s="195">
        <v>17</v>
      </c>
      <c r="K800" s="204" t="s">
        <v>11</v>
      </c>
      <c r="L800" s="199">
        <v>1</v>
      </c>
      <c r="M800" s="200">
        <v>0.9</v>
      </c>
      <c r="N800" s="201">
        <v>20</v>
      </c>
    </row>
    <row r="801" spans="1:14">
      <c r="A801" s="194">
        <v>41298.625358796293</v>
      </c>
      <c r="B801" s="195">
        <v>2052</v>
      </c>
      <c r="C801" s="194"/>
      <c r="D801" s="194"/>
      <c r="E801" s="198"/>
      <c r="G801" s="202"/>
      <c r="J801" s="195">
        <v>17</v>
      </c>
      <c r="K801" s="204" t="s">
        <v>11</v>
      </c>
      <c r="L801" s="199">
        <v>2</v>
      </c>
      <c r="M801" s="200">
        <v>0.3</v>
      </c>
      <c r="N801" s="201">
        <v>22</v>
      </c>
    </row>
    <row r="802" spans="1:14">
      <c r="A802" s="194">
        <v>41283.795405092591</v>
      </c>
      <c r="B802" s="195">
        <v>2052</v>
      </c>
      <c r="C802" s="194"/>
      <c r="D802" s="194"/>
      <c r="E802" s="198"/>
      <c r="G802" s="202"/>
      <c r="J802" s="195">
        <v>17</v>
      </c>
      <c r="K802" s="204" t="s">
        <v>11</v>
      </c>
      <c r="L802" s="199">
        <v>2</v>
      </c>
      <c r="M802" s="200">
        <v>0.7</v>
      </c>
      <c r="N802" s="201">
        <v>22</v>
      </c>
    </row>
    <row r="803" spans="1:14">
      <c r="A803" s="194">
        <v>41290.419803240744</v>
      </c>
      <c r="B803" s="195">
        <v>2052</v>
      </c>
      <c r="C803" s="194"/>
      <c r="D803" s="194"/>
      <c r="E803" s="198"/>
      <c r="G803" s="202"/>
      <c r="J803" s="195">
        <v>17</v>
      </c>
      <c r="K803" s="204" t="s">
        <v>11</v>
      </c>
      <c r="L803" s="199">
        <v>1</v>
      </c>
      <c r="M803" s="200">
        <v>1.7</v>
      </c>
      <c r="N803" s="201">
        <v>27</v>
      </c>
    </row>
    <row r="804" spans="1:14">
      <c r="A804" s="194">
        <v>41278.171226851853</v>
      </c>
      <c r="B804" s="195">
        <v>2052</v>
      </c>
      <c r="C804" s="194"/>
      <c r="D804" s="194"/>
      <c r="E804" s="198"/>
      <c r="G804" s="202"/>
      <c r="J804" s="195">
        <v>17</v>
      </c>
      <c r="K804" s="204" t="s">
        <v>11</v>
      </c>
      <c r="L804" s="199">
        <v>2</v>
      </c>
      <c r="M804" s="200">
        <v>10.199999999999999</v>
      </c>
      <c r="N804" s="201">
        <v>30</v>
      </c>
    </row>
    <row r="805" spans="1:14">
      <c r="A805" s="194">
        <v>41299.287777777776</v>
      </c>
      <c r="B805" s="195">
        <v>2052</v>
      </c>
      <c r="C805" s="194"/>
      <c r="D805" s="194"/>
      <c r="E805" s="198"/>
      <c r="G805" s="202"/>
      <c r="J805" s="195">
        <v>18</v>
      </c>
      <c r="K805" s="204" t="s">
        <v>5</v>
      </c>
      <c r="L805" s="199">
        <v>1</v>
      </c>
      <c r="M805" s="200">
        <v>6.6</v>
      </c>
      <c r="N805" s="201">
        <v>16</v>
      </c>
    </row>
    <row r="806" spans="1:14">
      <c r="A806" s="194">
        <v>41287.020624999997</v>
      </c>
      <c r="B806" s="195">
        <v>2052</v>
      </c>
      <c r="C806" s="194"/>
      <c r="D806" s="194"/>
      <c r="E806" s="198"/>
      <c r="G806" s="202"/>
      <c r="J806" s="195">
        <v>18</v>
      </c>
      <c r="K806" s="204" t="s">
        <v>5</v>
      </c>
      <c r="L806" s="199">
        <v>1</v>
      </c>
      <c r="M806" s="200">
        <v>12.9</v>
      </c>
      <c r="N806" s="201">
        <v>17</v>
      </c>
    </row>
    <row r="807" spans="1:14">
      <c r="A807" s="194">
        <v>41294.695636574077</v>
      </c>
      <c r="B807" s="195">
        <v>2052</v>
      </c>
      <c r="C807" s="194"/>
      <c r="D807" s="194"/>
      <c r="E807" s="198"/>
      <c r="G807" s="202"/>
      <c r="J807" s="195">
        <v>18</v>
      </c>
      <c r="K807" s="204" t="s">
        <v>5</v>
      </c>
      <c r="L807" s="199">
        <v>2</v>
      </c>
      <c r="M807" s="200">
        <v>20.6</v>
      </c>
      <c r="N807" s="201">
        <v>17</v>
      </c>
    </row>
    <row r="808" spans="1:14">
      <c r="A808" s="194">
        <v>41280.187858796293</v>
      </c>
      <c r="B808" s="195">
        <v>2052</v>
      </c>
      <c r="C808" s="194"/>
      <c r="D808" s="194"/>
      <c r="E808" s="198"/>
      <c r="G808" s="202"/>
      <c r="J808" s="195">
        <v>18</v>
      </c>
      <c r="K808" s="204" t="s">
        <v>5</v>
      </c>
      <c r="L808" s="199">
        <v>1</v>
      </c>
      <c r="M808" s="200">
        <v>7.7</v>
      </c>
      <c r="N808" s="201">
        <v>18</v>
      </c>
    </row>
    <row r="809" spans="1:14">
      <c r="A809" s="194">
        <v>41280.40730324074</v>
      </c>
      <c r="B809" s="195">
        <v>2052</v>
      </c>
      <c r="C809" s="194"/>
      <c r="D809" s="194"/>
      <c r="E809" s="198"/>
      <c r="G809" s="202"/>
      <c r="J809" s="195">
        <v>18</v>
      </c>
      <c r="K809" s="204" t="s">
        <v>5</v>
      </c>
      <c r="L809" s="199">
        <v>1</v>
      </c>
      <c r="M809" s="200">
        <v>7.8</v>
      </c>
      <c r="N809" s="201">
        <v>19</v>
      </c>
    </row>
    <row r="810" spans="1:14">
      <c r="A810" s="194">
        <v>41298.052546296298</v>
      </c>
      <c r="B810" s="195">
        <v>2052</v>
      </c>
      <c r="C810" s="194"/>
      <c r="D810" s="194"/>
      <c r="E810" s="198"/>
      <c r="G810" s="202"/>
      <c r="J810" s="195">
        <v>18</v>
      </c>
      <c r="K810" s="204" t="s">
        <v>5</v>
      </c>
      <c r="L810" s="199">
        <v>1</v>
      </c>
      <c r="M810" s="200">
        <v>14.6</v>
      </c>
      <c r="N810" s="201">
        <v>25</v>
      </c>
    </row>
    <row r="811" spans="1:14">
      <c r="A811" s="194">
        <v>41300.60665509259</v>
      </c>
      <c r="B811" s="195">
        <v>2052</v>
      </c>
      <c r="C811" s="194"/>
      <c r="D811" s="194"/>
      <c r="E811" s="196" t="s">
        <v>1662</v>
      </c>
      <c r="G811" s="202"/>
      <c r="J811" s="195">
        <v>24</v>
      </c>
      <c r="K811" s="204" t="s">
        <v>25</v>
      </c>
      <c r="L811" s="199">
        <v>1</v>
      </c>
      <c r="M811" s="200">
        <v>1.4</v>
      </c>
      <c r="N811" s="201">
        <v>16</v>
      </c>
    </row>
    <row r="812" spans="1:14">
      <c r="A812" s="194">
        <v>41286.559317129628</v>
      </c>
      <c r="B812" s="195">
        <v>2052</v>
      </c>
      <c r="C812" s="194"/>
      <c r="D812" s="194"/>
      <c r="E812" s="196" t="s">
        <v>2104</v>
      </c>
      <c r="G812" s="202"/>
      <c r="J812" s="195">
        <v>24</v>
      </c>
      <c r="K812" s="204" t="s">
        <v>25</v>
      </c>
      <c r="L812" s="199">
        <v>1</v>
      </c>
      <c r="M812" s="200">
        <v>0.6</v>
      </c>
      <c r="N812" s="201">
        <v>27</v>
      </c>
    </row>
    <row r="813" spans="1:14">
      <c r="A813" s="194">
        <v>41286.514166666668</v>
      </c>
      <c r="B813" s="195">
        <v>2052</v>
      </c>
      <c r="C813" s="194"/>
      <c r="D813" s="194"/>
      <c r="E813" s="196" t="s">
        <v>1699</v>
      </c>
      <c r="G813" s="202"/>
      <c r="J813" s="195">
        <v>24</v>
      </c>
      <c r="K813" s="204" t="s">
        <v>25</v>
      </c>
      <c r="L813" s="199">
        <v>2</v>
      </c>
      <c r="M813" s="200">
        <v>0.6</v>
      </c>
      <c r="N813" s="201">
        <v>28</v>
      </c>
    </row>
    <row r="814" spans="1:14">
      <c r="A814" s="194">
        <v>41277.660381944443</v>
      </c>
      <c r="B814" s="195">
        <v>2052</v>
      </c>
      <c r="C814" s="194"/>
      <c r="D814" s="194"/>
      <c r="E814" s="196" t="s">
        <v>2065</v>
      </c>
      <c r="G814" s="202"/>
      <c r="J814" s="195">
        <v>24</v>
      </c>
      <c r="K814" s="204" t="s">
        <v>25</v>
      </c>
      <c r="L814" s="199">
        <v>2</v>
      </c>
      <c r="M814" s="200">
        <v>0.6</v>
      </c>
      <c r="N814" s="201">
        <v>30</v>
      </c>
    </row>
    <row r="815" spans="1:14">
      <c r="A815" s="194">
        <v>41300.449745370373</v>
      </c>
      <c r="B815" s="195">
        <v>2052</v>
      </c>
      <c r="C815" s="194"/>
      <c r="D815" s="194"/>
      <c r="E815" s="196" t="s">
        <v>1910</v>
      </c>
      <c r="G815" s="202"/>
      <c r="J815" s="195">
        <v>24</v>
      </c>
      <c r="K815" s="204" t="s">
        <v>25</v>
      </c>
      <c r="L815" s="199">
        <v>2</v>
      </c>
      <c r="M815" s="200">
        <v>1</v>
      </c>
      <c r="N815" s="201">
        <v>31</v>
      </c>
    </row>
    <row r="816" spans="1:14">
      <c r="A816" s="194">
        <v>41281.715902777774</v>
      </c>
      <c r="B816" s="195">
        <v>2052</v>
      </c>
      <c r="C816" s="194"/>
      <c r="D816" s="194"/>
      <c r="E816" s="196" t="s">
        <v>1916</v>
      </c>
      <c r="G816" s="202"/>
      <c r="J816" s="195">
        <v>24</v>
      </c>
      <c r="K816" s="204" t="s">
        <v>25</v>
      </c>
      <c r="L816" s="199">
        <v>1</v>
      </c>
      <c r="M816" s="200">
        <v>0.3</v>
      </c>
      <c r="N816" s="201">
        <v>32</v>
      </c>
    </row>
    <row r="817" spans="1:14">
      <c r="A817" s="194">
        <v>41285.921157407407</v>
      </c>
      <c r="B817" s="195">
        <v>2052</v>
      </c>
      <c r="C817" s="194"/>
      <c r="D817" s="194"/>
      <c r="E817" s="196" t="s">
        <v>1673</v>
      </c>
      <c r="G817" s="202"/>
      <c r="J817" s="195">
        <v>24</v>
      </c>
      <c r="K817" s="204" t="s">
        <v>25</v>
      </c>
      <c r="L817" s="199">
        <v>2</v>
      </c>
      <c r="M817" s="200">
        <v>2</v>
      </c>
      <c r="N817" s="201">
        <v>40</v>
      </c>
    </row>
    <row r="818" spans="1:14">
      <c r="A818" s="194">
        <v>41275.541921296295</v>
      </c>
      <c r="B818" s="195">
        <v>2052</v>
      </c>
      <c r="C818" s="194"/>
      <c r="D818" s="194"/>
      <c r="E818" s="196" t="s">
        <v>1637</v>
      </c>
      <c r="G818" s="202"/>
      <c r="J818" s="195">
        <v>24</v>
      </c>
      <c r="K818" s="204" t="s">
        <v>25</v>
      </c>
      <c r="L818" s="199">
        <v>1</v>
      </c>
      <c r="M818" s="200">
        <v>0.4</v>
      </c>
      <c r="N818" s="201">
        <v>42</v>
      </c>
    </row>
    <row r="819" spans="1:14">
      <c r="A819" s="194">
        <v>41277.334097222221</v>
      </c>
      <c r="B819" s="195">
        <v>2052</v>
      </c>
      <c r="C819" s="194"/>
      <c r="D819" s="194"/>
      <c r="E819" s="196" t="s">
        <v>1909</v>
      </c>
      <c r="G819" s="202"/>
      <c r="J819" s="195">
        <v>24</v>
      </c>
      <c r="K819" s="204" t="s">
        <v>25</v>
      </c>
      <c r="L819" s="199">
        <v>1</v>
      </c>
      <c r="M819" s="200">
        <v>0.7</v>
      </c>
      <c r="N819" s="201">
        <v>42</v>
      </c>
    </row>
    <row r="820" spans="1:14">
      <c r="A820" s="194">
        <v>41295.442777777775</v>
      </c>
      <c r="B820" s="195">
        <v>2052</v>
      </c>
      <c r="C820" s="194"/>
      <c r="D820" s="194"/>
      <c r="E820" s="196" t="s">
        <v>1754</v>
      </c>
      <c r="G820" s="202"/>
      <c r="J820" s="195">
        <v>24</v>
      </c>
      <c r="K820" s="204" t="s">
        <v>25</v>
      </c>
      <c r="L820" s="199">
        <v>1</v>
      </c>
      <c r="M820" s="200">
        <v>0.3</v>
      </c>
      <c r="N820" s="201">
        <v>43</v>
      </c>
    </row>
    <row r="821" spans="1:14">
      <c r="A821" s="194">
        <v>41280.587766203702</v>
      </c>
      <c r="B821" s="195">
        <v>2052</v>
      </c>
      <c r="C821" s="194"/>
      <c r="D821" s="194"/>
      <c r="E821" s="196" t="s">
        <v>2161</v>
      </c>
      <c r="G821" s="202"/>
      <c r="J821" s="195">
        <v>29</v>
      </c>
      <c r="K821" s="204" t="s">
        <v>39</v>
      </c>
      <c r="L821" s="199">
        <v>2</v>
      </c>
      <c r="M821" s="200">
        <v>0.6</v>
      </c>
      <c r="N821" s="201">
        <v>35</v>
      </c>
    </row>
    <row r="822" spans="1:14">
      <c r="A822" s="194">
        <v>41298.912835648145</v>
      </c>
      <c r="B822" s="195">
        <v>2052</v>
      </c>
      <c r="C822" s="194"/>
      <c r="D822" s="194"/>
      <c r="E822" s="196" t="s">
        <v>1885</v>
      </c>
      <c r="G822" s="202"/>
      <c r="J822" s="195">
        <v>29</v>
      </c>
      <c r="K822" s="204" t="s">
        <v>39</v>
      </c>
      <c r="L822" s="199">
        <v>2</v>
      </c>
      <c r="M822" s="200">
        <v>0.4</v>
      </c>
      <c r="N822" s="201">
        <v>38</v>
      </c>
    </row>
    <row r="823" spans="1:14">
      <c r="A823" s="194">
        <v>41291.900335648148</v>
      </c>
      <c r="B823" s="195">
        <v>2052</v>
      </c>
      <c r="C823" s="194"/>
      <c r="D823" s="194"/>
      <c r="E823" s="196" t="s">
        <v>1631</v>
      </c>
      <c r="G823" s="202"/>
      <c r="J823" s="195">
        <v>29</v>
      </c>
      <c r="K823" s="204" t="s">
        <v>39</v>
      </c>
      <c r="L823" s="199">
        <v>2</v>
      </c>
      <c r="M823" s="200">
        <v>0.5</v>
      </c>
      <c r="N823" s="201">
        <v>38</v>
      </c>
    </row>
    <row r="824" spans="1:14">
      <c r="A824" s="194">
        <v>41288.253611111111</v>
      </c>
      <c r="B824" s="195">
        <v>2052</v>
      </c>
      <c r="C824" s="194"/>
      <c r="D824" s="194"/>
      <c r="E824" s="196" t="s">
        <v>1978</v>
      </c>
      <c r="G824" s="202"/>
      <c r="J824" s="195">
        <v>29</v>
      </c>
      <c r="K824" s="204" t="s">
        <v>39</v>
      </c>
      <c r="L824" s="199">
        <v>2</v>
      </c>
      <c r="M824" s="200">
        <v>0.3</v>
      </c>
      <c r="N824" s="201">
        <v>40</v>
      </c>
    </row>
    <row r="825" spans="1:14">
      <c r="A825" s="194">
        <v>41295.028020833335</v>
      </c>
      <c r="B825" s="195">
        <v>2052</v>
      </c>
      <c r="C825" s="194"/>
      <c r="D825" s="194"/>
      <c r="E825" s="196" t="s">
        <v>1926</v>
      </c>
      <c r="G825" s="202"/>
      <c r="J825" s="195">
        <v>29</v>
      </c>
      <c r="K825" s="204" t="s">
        <v>39</v>
      </c>
      <c r="L825" s="199">
        <v>2</v>
      </c>
      <c r="M825" s="200">
        <v>0.4</v>
      </c>
      <c r="N825" s="201">
        <v>40</v>
      </c>
    </row>
    <row r="826" spans="1:14">
      <c r="A826" s="194">
        <v>41299.522719907407</v>
      </c>
      <c r="B826" s="195">
        <v>2052</v>
      </c>
      <c r="C826" s="194"/>
      <c r="D826" s="194"/>
      <c r="E826" s="198"/>
      <c r="G826" s="202"/>
      <c r="J826" s="195">
        <v>41</v>
      </c>
      <c r="K826" s="204" t="s">
        <v>40</v>
      </c>
      <c r="L826" s="199">
        <v>1</v>
      </c>
      <c r="M826" s="200">
        <v>8.6999999999999993</v>
      </c>
      <c r="N826" s="201">
        <v>16</v>
      </c>
    </row>
    <row r="827" spans="1:14">
      <c r="A827" s="194">
        <v>41287.640752314815</v>
      </c>
      <c r="B827" s="195">
        <v>2052</v>
      </c>
      <c r="C827" s="194"/>
      <c r="D827" s="194"/>
      <c r="E827" s="198"/>
      <c r="G827" s="202"/>
      <c r="J827" s="195">
        <v>41</v>
      </c>
      <c r="K827" s="204" t="s">
        <v>40</v>
      </c>
      <c r="L827" s="199">
        <v>1</v>
      </c>
      <c r="M827" s="200">
        <v>17.3</v>
      </c>
      <c r="N827" s="201">
        <v>17</v>
      </c>
    </row>
    <row r="828" spans="1:14">
      <c r="A828" s="194">
        <v>41302.582499999997</v>
      </c>
      <c r="B828" s="195">
        <v>2052</v>
      </c>
      <c r="C828" s="194"/>
      <c r="D828" s="194"/>
      <c r="E828" s="198"/>
      <c r="G828" s="202"/>
      <c r="J828" s="195">
        <v>41</v>
      </c>
      <c r="K828" s="204" t="s">
        <v>40</v>
      </c>
      <c r="L828" s="199">
        <v>1</v>
      </c>
      <c r="M828" s="200">
        <v>21</v>
      </c>
      <c r="N828" s="201">
        <v>17</v>
      </c>
    </row>
    <row r="829" spans="1:14">
      <c r="A829" s="194">
        <v>41299.522777777776</v>
      </c>
      <c r="B829" s="195">
        <v>2052</v>
      </c>
      <c r="C829" s="194"/>
      <c r="D829" s="194"/>
      <c r="E829" s="198"/>
      <c r="G829" s="202"/>
      <c r="J829" s="195">
        <v>41</v>
      </c>
      <c r="K829" s="204" t="s">
        <v>40</v>
      </c>
      <c r="L829" s="199">
        <v>1</v>
      </c>
      <c r="M829" s="200">
        <v>13.4</v>
      </c>
      <c r="N829" s="201">
        <v>18</v>
      </c>
    </row>
    <row r="830" spans="1:14">
      <c r="A830" s="194">
        <v>41287.6405787037</v>
      </c>
      <c r="B830" s="195">
        <v>2052</v>
      </c>
      <c r="C830" s="194"/>
      <c r="D830" s="194"/>
      <c r="E830" s="198"/>
      <c r="G830" s="202"/>
      <c r="J830" s="195">
        <v>41</v>
      </c>
      <c r="K830" s="204" t="s">
        <v>40</v>
      </c>
      <c r="L830" s="199">
        <v>1</v>
      </c>
      <c r="M830" s="200">
        <v>2.1</v>
      </c>
      <c r="N830" s="201">
        <v>21</v>
      </c>
    </row>
    <row r="831" spans="1:14">
      <c r="A831" s="194">
        <v>41299.522824074076</v>
      </c>
      <c r="B831" s="195">
        <v>2052</v>
      </c>
      <c r="C831" s="194"/>
      <c r="D831" s="194"/>
      <c r="E831" s="198"/>
      <c r="G831" s="202"/>
      <c r="J831" s="195">
        <v>41</v>
      </c>
      <c r="K831" s="204" t="s">
        <v>40</v>
      </c>
      <c r="L831" s="199">
        <v>1</v>
      </c>
      <c r="M831" s="200">
        <v>17.899999999999999</v>
      </c>
      <c r="N831" s="201">
        <v>22</v>
      </c>
    </row>
    <row r="832" spans="1:14">
      <c r="A832" s="194">
        <v>41287.640636574077</v>
      </c>
      <c r="B832" s="195">
        <v>2052</v>
      </c>
      <c r="C832" s="194"/>
      <c r="D832" s="194"/>
      <c r="E832" s="198"/>
      <c r="G832" s="202"/>
      <c r="J832" s="195">
        <v>41</v>
      </c>
      <c r="K832" s="204" t="s">
        <v>40</v>
      </c>
      <c r="L832" s="199">
        <v>1</v>
      </c>
      <c r="M832" s="200">
        <v>6.5</v>
      </c>
      <c r="N832" s="201">
        <v>23</v>
      </c>
    </row>
    <row r="833" spans="1:14">
      <c r="A833" s="194">
        <v>41299.522858796299</v>
      </c>
      <c r="B833" s="195">
        <v>2052</v>
      </c>
      <c r="C833" s="194"/>
      <c r="D833" s="194"/>
      <c r="E833" s="198"/>
      <c r="G833" s="202"/>
      <c r="J833" s="195">
        <v>41</v>
      </c>
      <c r="K833" s="204" t="s">
        <v>40</v>
      </c>
      <c r="L833" s="199">
        <v>1</v>
      </c>
      <c r="M833" s="200">
        <v>20.9</v>
      </c>
      <c r="N833" s="201">
        <v>23</v>
      </c>
    </row>
    <row r="834" spans="1:14">
      <c r="A834" s="194">
        <v>41287.6406712963</v>
      </c>
      <c r="B834" s="195">
        <v>2052</v>
      </c>
      <c r="C834" s="194"/>
      <c r="D834" s="194"/>
      <c r="E834" s="198"/>
      <c r="G834" s="202"/>
      <c r="J834" s="195">
        <v>41</v>
      </c>
      <c r="K834" s="204" t="s">
        <v>40</v>
      </c>
      <c r="L834" s="199">
        <v>1</v>
      </c>
      <c r="M834" s="200">
        <v>9.6999999999999993</v>
      </c>
      <c r="N834" s="201">
        <v>24</v>
      </c>
    </row>
    <row r="835" spans="1:14">
      <c r="A835" s="194">
        <v>41283.328587962962</v>
      </c>
      <c r="B835" s="195">
        <v>2052</v>
      </c>
      <c r="C835" s="194"/>
      <c r="D835" s="194"/>
      <c r="E835" s="198"/>
      <c r="G835" s="202"/>
      <c r="J835" s="195">
        <v>43</v>
      </c>
      <c r="K835" s="204" t="s">
        <v>1596</v>
      </c>
      <c r="L835" s="199">
        <v>1</v>
      </c>
      <c r="M835" s="200">
        <v>0.3</v>
      </c>
      <c r="N835" s="201">
        <v>16</v>
      </c>
    </row>
    <row r="836" spans="1:14">
      <c r="A836" s="194">
        <v>41285.784351851849</v>
      </c>
      <c r="B836" s="195">
        <v>2052</v>
      </c>
      <c r="C836" s="194"/>
      <c r="D836" s="194"/>
      <c r="E836" s="198"/>
      <c r="G836" s="202"/>
      <c r="J836" s="195">
        <v>43</v>
      </c>
      <c r="K836" s="204" t="s">
        <v>1596</v>
      </c>
      <c r="L836" s="199">
        <v>1</v>
      </c>
      <c r="M836" s="200">
        <v>0.5</v>
      </c>
      <c r="N836" s="201">
        <v>16</v>
      </c>
    </row>
    <row r="837" spans="1:14">
      <c r="A837" s="194">
        <v>41296.395289351851</v>
      </c>
      <c r="B837" s="195">
        <v>2052</v>
      </c>
      <c r="C837" s="194"/>
      <c r="D837" s="194"/>
      <c r="E837" s="198"/>
      <c r="G837" s="202"/>
      <c r="J837" s="195">
        <v>43</v>
      </c>
      <c r="K837" s="204" t="s">
        <v>1596</v>
      </c>
      <c r="L837" s="199">
        <v>1</v>
      </c>
      <c r="M837" s="200">
        <v>0.6</v>
      </c>
      <c r="N837" s="201">
        <v>16</v>
      </c>
    </row>
    <row r="838" spans="1:14">
      <c r="A838" s="194">
        <v>41279.539189814815</v>
      </c>
      <c r="B838" s="195">
        <v>2052</v>
      </c>
      <c r="C838" s="194"/>
      <c r="D838" s="194"/>
      <c r="E838" s="198"/>
      <c r="G838" s="202"/>
      <c r="J838" s="195">
        <v>43</v>
      </c>
      <c r="K838" s="204" t="s">
        <v>1596</v>
      </c>
      <c r="L838" s="199">
        <v>1</v>
      </c>
      <c r="M838" s="200">
        <v>0.6</v>
      </c>
      <c r="N838" s="201">
        <v>16</v>
      </c>
    </row>
    <row r="839" spans="1:14">
      <c r="A839" s="194">
        <v>41291.789942129632</v>
      </c>
      <c r="B839" s="195">
        <v>2052</v>
      </c>
      <c r="C839" s="194"/>
      <c r="D839" s="194"/>
      <c r="E839" s="198"/>
      <c r="G839" s="202"/>
      <c r="J839" s="195">
        <v>43</v>
      </c>
      <c r="K839" s="204" t="s">
        <v>1596</v>
      </c>
      <c r="L839" s="199">
        <v>1</v>
      </c>
      <c r="M839" s="200">
        <v>0.7</v>
      </c>
      <c r="N839" s="201">
        <v>16</v>
      </c>
    </row>
    <row r="840" spans="1:14">
      <c r="A840" s="194">
        <v>41289.459409722222</v>
      </c>
      <c r="B840" s="195">
        <v>2052</v>
      </c>
      <c r="C840" s="194"/>
      <c r="D840" s="194"/>
      <c r="E840" s="198"/>
      <c r="G840" s="202"/>
      <c r="J840" s="195">
        <v>43</v>
      </c>
      <c r="K840" s="204" t="s">
        <v>1596</v>
      </c>
      <c r="L840" s="199">
        <v>1</v>
      </c>
      <c r="M840" s="200">
        <v>0.8</v>
      </c>
      <c r="N840" s="201">
        <v>16</v>
      </c>
    </row>
    <row r="841" spans="1:14">
      <c r="A841" s="194">
        <v>41298.617719907408</v>
      </c>
      <c r="B841" s="195">
        <v>2052</v>
      </c>
      <c r="C841" s="194"/>
      <c r="D841" s="194"/>
      <c r="E841" s="198"/>
      <c r="G841" s="202"/>
      <c r="J841" s="195">
        <v>43</v>
      </c>
      <c r="K841" s="204" t="s">
        <v>1596</v>
      </c>
      <c r="L841" s="199">
        <v>1</v>
      </c>
      <c r="M841" s="200">
        <v>0.3</v>
      </c>
      <c r="N841" s="201">
        <v>17</v>
      </c>
    </row>
    <row r="842" spans="1:14">
      <c r="A842" s="194">
        <v>41302.820462962962</v>
      </c>
      <c r="B842" s="195">
        <v>2052</v>
      </c>
      <c r="C842" s="194"/>
      <c r="D842" s="194"/>
      <c r="E842" s="198"/>
      <c r="G842" s="202"/>
      <c r="J842" s="195">
        <v>43</v>
      </c>
      <c r="K842" s="204" t="s">
        <v>1596</v>
      </c>
      <c r="L842" s="199">
        <v>1</v>
      </c>
      <c r="M842" s="200">
        <v>0.4</v>
      </c>
      <c r="N842" s="201">
        <v>17</v>
      </c>
    </row>
    <row r="843" spans="1:14">
      <c r="A843" s="194">
        <v>41300.640682870369</v>
      </c>
      <c r="B843" s="195">
        <v>2052</v>
      </c>
      <c r="C843" s="194"/>
      <c r="D843" s="194"/>
      <c r="E843" s="198"/>
      <c r="G843" s="202"/>
      <c r="J843" s="195">
        <v>43</v>
      </c>
      <c r="K843" s="204" t="s">
        <v>1596</v>
      </c>
      <c r="L843" s="199">
        <v>1</v>
      </c>
      <c r="M843" s="200">
        <v>0.4</v>
      </c>
      <c r="N843" s="201">
        <v>17</v>
      </c>
    </row>
    <row r="844" spans="1:14">
      <c r="A844" s="194">
        <v>41279.519745370373</v>
      </c>
      <c r="B844" s="195">
        <v>2052</v>
      </c>
      <c r="C844" s="194"/>
      <c r="D844" s="194"/>
      <c r="E844" s="198"/>
      <c r="G844" s="202"/>
      <c r="J844" s="195">
        <v>43</v>
      </c>
      <c r="K844" s="204" t="s">
        <v>1596</v>
      </c>
      <c r="L844" s="199">
        <v>1</v>
      </c>
      <c r="M844" s="200">
        <v>0.8</v>
      </c>
      <c r="N844" s="201">
        <v>17</v>
      </c>
    </row>
    <row r="845" spans="1:14">
      <c r="A845" s="194">
        <v>41300.54277777778</v>
      </c>
      <c r="B845" s="195">
        <v>2052</v>
      </c>
      <c r="C845" s="194"/>
      <c r="D845" s="194"/>
      <c r="E845" s="198"/>
      <c r="G845" s="202"/>
      <c r="J845" s="195">
        <v>43</v>
      </c>
      <c r="K845" s="204" t="s">
        <v>1596</v>
      </c>
      <c r="L845" s="199">
        <v>1</v>
      </c>
      <c r="M845" s="200">
        <v>1.2</v>
      </c>
      <c r="N845" s="201">
        <v>17</v>
      </c>
    </row>
    <row r="846" spans="1:14">
      <c r="A846" s="194">
        <v>41301.641412037039</v>
      </c>
      <c r="B846" s="195">
        <v>2052</v>
      </c>
      <c r="C846" s="194"/>
      <c r="D846" s="194"/>
      <c r="E846" s="198"/>
      <c r="G846" s="202"/>
      <c r="J846" s="195">
        <v>43</v>
      </c>
      <c r="K846" s="204" t="s">
        <v>1596</v>
      </c>
      <c r="L846" s="199">
        <v>1</v>
      </c>
      <c r="M846" s="200">
        <v>2.4</v>
      </c>
      <c r="N846" s="201">
        <v>17</v>
      </c>
    </row>
    <row r="847" spans="1:14">
      <c r="A847" s="194">
        <v>41304.826805555553</v>
      </c>
      <c r="B847" s="195">
        <v>2052</v>
      </c>
      <c r="C847" s="194"/>
      <c r="D847" s="194"/>
      <c r="E847" s="198"/>
      <c r="G847" s="202"/>
      <c r="J847" s="195">
        <v>43</v>
      </c>
      <c r="K847" s="204" t="s">
        <v>1596</v>
      </c>
      <c r="L847" s="199">
        <v>1</v>
      </c>
      <c r="M847" s="200">
        <v>0.3</v>
      </c>
      <c r="N847" s="201">
        <v>18</v>
      </c>
    </row>
    <row r="848" spans="1:14">
      <c r="A848" s="194">
        <v>41278.504490740743</v>
      </c>
      <c r="B848" s="195">
        <v>2052</v>
      </c>
      <c r="C848" s="194"/>
      <c r="D848" s="194"/>
      <c r="E848" s="198"/>
      <c r="G848" s="202"/>
      <c r="J848" s="195">
        <v>43</v>
      </c>
      <c r="K848" s="204" t="s">
        <v>1596</v>
      </c>
      <c r="L848" s="199">
        <v>1</v>
      </c>
      <c r="M848" s="200">
        <v>0.4</v>
      </c>
      <c r="N848" s="201">
        <v>18</v>
      </c>
    </row>
    <row r="849" spans="1:14">
      <c r="A849" s="194">
        <v>41289.825370370374</v>
      </c>
      <c r="B849" s="195">
        <v>2052</v>
      </c>
      <c r="C849" s="194"/>
      <c r="D849" s="194"/>
      <c r="E849" s="198"/>
      <c r="G849" s="202"/>
      <c r="J849" s="195">
        <v>43</v>
      </c>
      <c r="K849" s="204" t="s">
        <v>1596</v>
      </c>
      <c r="L849" s="199">
        <v>1</v>
      </c>
      <c r="M849" s="200">
        <v>0.5</v>
      </c>
      <c r="N849" s="201">
        <v>18</v>
      </c>
    </row>
    <row r="850" spans="1:14">
      <c r="A850" s="194">
        <v>41289.388379629629</v>
      </c>
      <c r="B850" s="195">
        <v>2052</v>
      </c>
      <c r="C850" s="194"/>
      <c r="D850" s="194"/>
      <c r="E850" s="198"/>
      <c r="G850" s="202"/>
      <c r="J850" s="195">
        <v>43</v>
      </c>
      <c r="K850" s="204" t="s">
        <v>1596</v>
      </c>
      <c r="L850" s="199">
        <v>1</v>
      </c>
      <c r="M850" s="200">
        <v>0.3</v>
      </c>
      <c r="N850" s="201">
        <v>19</v>
      </c>
    </row>
    <row r="851" spans="1:14">
      <c r="A851" s="194">
        <v>41279.663483796299</v>
      </c>
      <c r="B851" s="195">
        <v>2052</v>
      </c>
      <c r="C851" s="194"/>
      <c r="D851" s="194"/>
      <c r="E851" s="198"/>
      <c r="G851" s="202"/>
      <c r="J851" s="195">
        <v>43</v>
      </c>
      <c r="K851" s="204" t="s">
        <v>1596</v>
      </c>
      <c r="L851" s="199">
        <v>1</v>
      </c>
      <c r="M851" s="200">
        <v>0.3</v>
      </c>
      <c r="N851" s="201">
        <v>19</v>
      </c>
    </row>
    <row r="852" spans="1:14">
      <c r="A852" s="194">
        <v>41297.808668981481</v>
      </c>
      <c r="B852" s="195">
        <v>2052</v>
      </c>
      <c r="C852" s="194"/>
      <c r="D852" s="194"/>
      <c r="E852" s="198"/>
      <c r="G852" s="202"/>
      <c r="J852" s="195">
        <v>43</v>
      </c>
      <c r="K852" s="204" t="s">
        <v>1596</v>
      </c>
      <c r="L852" s="199">
        <v>1</v>
      </c>
      <c r="M852" s="200">
        <v>0.4</v>
      </c>
      <c r="N852" s="201">
        <v>19</v>
      </c>
    </row>
    <row r="853" spans="1:14">
      <c r="A853" s="194">
        <v>41296.684756944444</v>
      </c>
      <c r="B853" s="195">
        <v>2052</v>
      </c>
      <c r="C853" s="194"/>
      <c r="D853" s="194"/>
      <c r="E853" s="198"/>
      <c r="G853" s="202"/>
      <c r="J853" s="195">
        <v>43</v>
      </c>
      <c r="K853" s="204" t="s">
        <v>1596</v>
      </c>
      <c r="L853" s="199">
        <v>1</v>
      </c>
      <c r="M853" s="200">
        <v>0.5</v>
      </c>
      <c r="N853" s="201">
        <v>19</v>
      </c>
    </row>
    <row r="854" spans="1:14">
      <c r="A854" s="194">
        <v>41289.516342592593</v>
      </c>
      <c r="B854" s="195">
        <v>2052</v>
      </c>
      <c r="C854" s="194"/>
      <c r="D854" s="194"/>
      <c r="E854" s="198"/>
      <c r="G854" s="202"/>
      <c r="J854" s="195">
        <v>43</v>
      </c>
      <c r="K854" s="204" t="s">
        <v>1596</v>
      </c>
      <c r="L854" s="199">
        <v>1</v>
      </c>
      <c r="M854" s="200">
        <v>0.5</v>
      </c>
      <c r="N854" s="201">
        <v>19</v>
      </c>
    </row>
    <row r="855" spans="1:14">
      <c r="A855" s="194">
        <v>41280.288472222222</v>
      </c>
      <c r="B855" s="195">
        <v>2052</v>
      </c>
      <c r="C855" s="194"/>
      <c r="D855" s="194"/>
      <c r="E855" s="198"/>
      <c r="G855" s="202"/>
      <c r="J855" s="195">
        <v>43</v>
      </c>
      <c r="K855" s="204" t="s">
        <v>1596</v>
      </c>
      <c r="L855" s="199">
        <v>1</v>
      </c>
      <c r="M855" s="200">
        <v>0.7</v>
      </c>
      <c r="N855" s="201">
        <v>19</v>
      </c>
    </row>
    <row r="856" spans="1:14">
      <c r="A856" s="194">
        <v>41278.419756944444</v>
      </c>
      <c r="B856" s="195">
        <v>2052</v>
      </c>
      <c r="C856" s="194"/>
      <c r="D856" s="194"/>
      <c r="E856" s="198"/>
      <c r="G856" s="202"/>
      <c r="J856" s="195">
        <v>43</v>
      </c>
      <c r="K856" s="204" t="s">
        <v>1596</v>
      </c>
      <c r="L856" s="199">
        <v>1</v>
      </c>
      <c r="M856" s="200">
        <v>0.7</v>
      </c>
      <c r="N856" s="201">
        <v>19</v>
      </c>
    </row>
    <row r="857" spans="1:14">
      <c r="A857" s="194">
        <v>41302.446203703701</v>
      </c>
      <c r="B857" s="195">
        <v>2052</v>
      </c>
      <c r="C857" s="194"/>
      <c r="D857" s="194"/>
      <c r="E857" s="198"/>
      <c r="G857" s="202"/>
      <c r="J857" s="195">
        <v>43</v>
      </c>
      <c r="K857" s="204" t="s">
        <v>1596</v>
      </c>
      <c r="L857" s="199">
        <v>1</v>
      </c>
      <c r="M857" s="200">
        <v>0.4</v>
      </c>
      <c r="N857" s="201">
        <v>20</v>
      </c>
    </row>
    <row r="858" spans="1:14">
      <c r="A858" s="194">
        <v>41289.395324074074</v>
      </c>
      <c r="B858" s="195">
        <v>2052</v>
      </c>
      <c r="C858" s="194"/>
      <c r="D858" s="194"/>
      <c r="E858" s="198"/>
      <c r="G858" s="202"/>
      <c r="J858" s="195">
        <v>43</v>
      </c>
      <c r="K858" s="204" t="s">
        <v>1596</v>
      </c>
      <c r="L858" s="199">
        <v>1</v>
      </c>
      <c r="M858" s="200">
        <v>0.9</v>
      </c>
      <c r="N858" s="201">
        <v>20</v>
      </c>
    </row>
    <row r="859" spans="1:14">
      <c r="A859" s="194">
        <v>41300.771226851852</v>
      </c>
      <c r="B859" s="195">
        <v>2052</v>
      </c>
      <c r="C859" s="194"/>
      <c r="D859" s="194"/>
      <c r="E859" s="198"/>
      <c r="G859" s="202"/>
      <c r="J859" s="195">
        <v>43</v>
      </c>
      <c r="K859" s="204" t="s">
        <v>1596</v>
      </c>
      <c r="L859" s="199">
        <v>1</v>
      </c>
      <c r="M859" s="200">
        <v>0.3</v>
      </c>
      <c r="N859" s="201">
        <v>21</v>
      </c>
    </row>
    <row r="860" spans="1:14">
      <c r="A860" s="194">
        <v>41297.340451388889</v>
      </c>
      <c r="B860" s="195">
        <v>2052</v>
      </c>
      <c r="C860" s="194"/>
      <c r="D860" s="194"/>
      <c r="E860" s="198"/>
      <c r="G860" s="202"/>
      <c r="J860" s="195">
        <v>43</v>
      </c>
      <c r="K860" s="204" t="s">
        <v>1596</v>
      </c>
      <c r="L860" s="199">
        <v>1</v>
      </c>
      <c r="M860" s="200">
        <v>0.7</v>
      </c>
      <c r="N860" s="201">
        <v>21</v>
      </c>
    </row>
    <row r="861" spans="1:14">
      <c r="A861" s="194">
        <v>41279.484340277777</v>
      </c>
      <c r="B861" s="195">
        <v>2052</v>
      </c>
      <c r="C861" s="194"/>
      <c r="D861" s="194"/>
      <c r="E861" s="198"/>
      <c r="G861" s="202"/>
      <c r="J861" s="195">
        <v>43</v>
      </c>
      <c r="K861" s="204" t="s">
        <v>1596</v>
      </c>
      <c r="L861" s="199">
        <v>1</v>
      </c>
      <c r="M861" s="200">
        <v>1.1000000000000001</v>
      </c>
      <c r="N861" s="201">
        <v>21</v>
      </c>
    </row>
    <row r="862" spans="1:14">
      <c r="A862" s="194">
        <v>41283.531539351854</v>
      </c>
      <c r="B862" s="195">
        <v>2052</v>
      </c>
      <c r="C862" s="194"/>
      <c r="D862" s="194"/>
      <c r="E862" s="198"/>
      <c r="G862" s="202"/>
      <c r="J862" s="195">
        <v>43</v>
      </c>
      <c r="K862" s="204" t="s">
        <v>1596</v>
      </c>
      <c r="L862" s="199">
        <v>1</v>
      </c>
      <c r="M862" s="200">
        <v>0.3</v>
      </c>
      <c r="N862" s="201">
        <v>22</v>
      </c>
    </row>
    <row r="863" spans="1:14">
      <c r="A863" s="194">
        <v>41298.407835648148</v>
      </c>
      <c r="B863" s="195">
        <v>2052</v>
      </c>
      <c r="C863" s="194"/>
      <c r="D863" s="194"/>
      <c r="E863" s="198"/>
      <c r="G863" s="202"/>
      <c r="J863" s="195">
        <v>43</v>
      </c>
      <c r="K863" s="204" t="s">
        <v>1596</v>
      </c>
      <c r="L863" s="199">
        <v>1</v>
      </c>
      <c r="M863" s="200">
        <v>0.5</v>
      </c>
      <c r="N863" s="201">
        <v>22</v>
      </c>
    </row>
    <row r="864" spans="1:14">
      <c r="A864" s="194">
        <v>41291.450370370374</v>
      </c>
      <c r="B864" s="195">
        <v>2052</v>
      </c>
      <c r="C864" s="194"/>
      <c r="D864" s="194"/>
      <c r="E864" s="198"/>
      <c r="G864" s="202"/>
      <c r="J864" s="195">
        <v>43</v>
      </c>
      <c r="K864" s="204" t="s">
        <v>1596</v>
      </c>
      <c r="L864" s="199">
        <v>1</v>
      </c>
      <c r="M864" s="200">
        <v>0.4</v>
      </c>
      <c r="N864" s="201">
        <v>23</v>
      </c>
    </row>
    <row r="865" spans="1:14">
      <c r="A865" s="194">
        <v>41279.591967592591</v>
      </c>
      <c r="B865" s="195">
        <v>2052</v>
      </c>
      <c r="C865" s="194"/>
      <c r="D865" s="194"/>
      <c r="E865" s="198"/>
      <c r="G865" s="202"/>
      <c r="J865" s="195">
        <v>43</v>
      </c>
      <c r="K865" s="204" t="s">
        <v>1596</v>
      </c>
      <c r="L865" s="199">
        <v>1</v>
      </c>
      <c r="M865" s="200">
        <v>1.4</v>
      </c>
      <c r="N865" s="201">
        <v>23</v>
      </c>
    </row>
    <row r="866" spans="1:14">
      <c r="A866" s="194">
        <v>41283.640960648147</v>
      </c>
      <c r="B866" s="195">
        <v>2052</v>
      </c>
      <c r="C866" s="194"/>
      <c r="D866" s="194"/>
      <c r="E866" s="198"/>
      <c r="G866" s="202"/>
      <c r="J866" s="195">
        <v>4400</v>
      </c>
      <c r="K866" s="204" t="s">
        <v>37</v>
      </c>
      <c r="L866" s="199">
        <v>2</v>
      </c>
      <c r="M866" s="200">
        <v>0.7</v>
      </c>
      <c r="N866" s="201">
        <v>17</v>
      </c>
    </row>
    <row r="867" spans="1:14">
      <c r="A867" s="194">
        <v>41289.325879629629</v>
      </c>
      <c r="B867" s="195">
        <v>2052</v>
      </c>
      <c r="C867" s="194"/>
      <c r="D867" s="194"/>
      <c r="E867" s="198"/>
      <c r="G867" s="202"/>
      <c r="J867" s="195">
        <v>4400</v>
      </c>
      <c r="K867" s="204" t="s">
        <v>37</v>
      </c>
      <c r="L867" s="199">
        <v>2</v>
      </c>
      <c r="M867" s="200">
        <v>0.4</v>
      </c>
      <c r="N867" s="201">
        <v>27</v>
      </c>
    </row>
    <row r="868" spans="1:14">
      <c r="A868" s="194">
        <v>41288.595520833333</v>
      </c>
      <c r="B868" s="195">
        <v>2053</v>
      </c>
      <c r="C868" s="194"/>
      <c r="D868" s="194"/>
      <c r="E868" s="196" t="s">
        <v>309</v>
      </c>
      <c r="F868" s="195">
        <v>456</v>
      </c>
      <c r="G868" s="197" t="s">
        <v>141</v>
      </c>
      <c r="H868" s="197" t="s">
        <v>223</v>
      </c>
      <c r="I868" s="196" t="s">
        <v>226</v>
      </c>
      <c r="J868" s="195">
        <v>1</v>
      </c>
      <c r="K868" s="204" t="s">
        <v>224</v>
      </c>
      <c r="L868" s="199">
        <v>2</v>
      </c>
      <c r="M868" s="200">
        <v>0.3</v>
      </c>
      <c r="N868" s="201">
        <v>25</v>
      </c>
    </row>
    <row r="869" spans="1:14">
      <c r="A869" s="194">
        <v>41290.469143518516</v>
      </c>
      <c r="B869" s="195">
        <v>2053</v>
      </c>
      <c r="C869" s="194"/>
      <c r="D869" s="194"/>
      <c r="E869" s="196" t="s">
        <v>314</v>
      </c>
      <c r="F869" s="195">
        <v>456</v>
      </c>
      <c r="G869" s="197" t="s">
        <v>141</v>
      </c>
      <c r="H869" s="197" t="s">
        <v>223</v>
      </c>
      <c r="I869" s="196" t="s">
        <v>226</v>
      </c>
      <c r="J869" s="195">
        <v>1</v>
      </c>
      <c r="K869" s="204" t="s">
        <v>224</v>
      </c>
      <c r="L869" s="199">
        <v>1</v>
      </c>
      <c r="M869" s="200">
        <v>0.6</v>
      </c>
      <c r="N869" s="201">
        <v>25</v>
      </c>
    </row>
    <row r="870" spans="1:14">
      <c r="A870" s="194">
        <v>41280.632962962962</v>
      </c>
      <c r="B870" s="195">
        <v>2053</v>
      </c>
      <c r="C870" s="194"/>
      <c r="D870" s="194"/>
      <c r="E870" s="196" t="s">
        <v>251</v>
      </c>
      <c r="F870" s="195">
        <v>456</v>
      </c>
      <c r="G870" s="197" t="s">
        <v>141</v>
      </c>
      <c r="H870" s="197" t="s">
        <v>223</v>
      </c>
      <c r="I870" s="196" t="s">
        <v>226</v>
      </c>
      <c r="J870" s="195">
        <v>1</v>
      </c>
      <c r="K870" s="204" t="s">
        <v>224</v>
      </c>
      <c r="L870" s="199">
        <v>3</v>
      </c>
      <c r="M870" s="200">
        <v>0.3</v>
      </c>
      <c r="N870" s="201">
        <v>28</v>
      </c>
    </row>
    <row r="871" spans="1:14">
      <c r="A871" s="194">
        <v>41299.613611111112</v>
      </c>
      <c r="B871" s="195">
        <v>2053</v>
      </c>
      <c r="C871" s="194"/>
      <c r="D871" s="194"/>
      <c r="E871" s="196" t="s">
        <v>359</v>
      </c>
      <c r="F871" s="195">
        <v>456</v>
      </c>
      <c r="G871" s="197" t="s">
        <v>141</v>
      </c>
      <c r="H871" s="197" t="s">
        <v>223</v>
      </c>
      <c r="I871" s="196" t="s">
        <v>226</v>
      </c>
      <c r="J871" s="195">
        <v>1</v>
      </c>
      <c r="K871" s="204" t="s">
        <v>224</v>
      </c>
      <c r="L871" s="199">
        <v>2</v>
      </c>
      <c r="M871" s="200">
        <v>0.5</v>
      </c>
      <c r="N871" s="201">
        <v>31</v>
      </c>
    </row>
    <row r="872" spans="1:14">
      <c r="A872" s="194">
        <v>41277.615578703706</v>
      </c>
      <c r="B872" s="195">
        <v>2053</v>
      </c>
      <c r="C872" s="194"/>
      <c r="D872" s="194"/>
      <c r="E872" s="196" t="s">
        <v>267</v>
      </c>
      <c r="F872" s="195">
        <v>456</v>
      </c>
      <c r="G872" s="197" t="s">
        <v>141</v>
      </c>
      <c r="H872" s="197" t="s">
        <v>223</v>
      </c>
      <c r="I872" s="196" t="s">
        <v>226</v>
      </c>
      <c r="J872" s="195">
        <v>1</v>
      </c>
      <c r="K872" s="204" t="s">
        <v>224</v>
      </c>
      <c r="L872" s="199">
        <v>2</v>
      </c>
      <c r="M872" s="200">
        <v>0.6</v>
      </c>
      <c r="N872" s="201">
        <v>31</v>
      </c>
    </row>
    <row r="873" spans="1:14">
      <c r="A873" s="194">
        <v>41282.615624999999</v>
      </c>
      <c r="B873" s="195">
        <v>2053</v>
      </c>
      <c r="C873" s="194"/>
      <c r="D873" s="194"/>
      <c r="E873" s="196" t="s">
        <v>279</v>
      </c>
      <c r="F873" s="195">
        <v>456</v>
      </c>
      <c r="G873" s="197" t="s">
        <v>141</v>
      </c>
      <c r="H873" s="197" t="s">
        <v>223</v>
      </c>
      <c r="I873" s="196" t="s">
        <v>226</v>
      </c>
      <c r="J873" s="195">
        <v>1</v>
      </c>
      <c r="K873" s="204" t="s">
        <v>224</v>
      </c>
      <c r="L873" s="199">
        <v>2</v>
      </c>
      <c r="M873" s="200">
        <v>0.7</v>
      </c>
      <c r="N873" s="201">
        <v>31</v>
      </c>
    </row>
    <row r="874" spans="1:14">
      <c r="A874" s="194">
        <v>41301.775451388887</v>
      </c>
      <c r="B874" s="195">
        <v>2053</v>
      </c>
      <c r="C874" s="194"/>
      <c r="D874" s="194"/>
      <c r="E874" s="196" t="s">
        <v>360</v>
      </c>
      <c r="F874" s="195">
        <v>456</v>
      </c>
      <c r="G874" s="197" t="s">
        <v>141</v>
      </c>
      <c r="H874" s="197" t="s">
        <v>223</v>
      </c>
      <c r="I874" s="196" t="s">
        <v>226</v>
      </c>
      <c r="J874" s="195">
        <v>1</v>
      </c>
      <c r="K874" s="204" t="s">
        <v>224</v>
      </c>
      <c r="L874" s="199">
        <v>2</v>
      </c>
      <c r="M874" s="200">
        <v>0.5</v>
      </c>
      <c r="N874" s="201">
        <v>33</v>
      </c>
    </row>
    <row r="875" spans="1:14">
      <c r="A875" s="194">
        <v>41276.857256944444</v>
      </c>
      <c r="B875" s="195">
        <v>2053</v>
      </c>
      <c r="C875" s="194"/>
      <c r="D875" s="194"/>
      <c r="E875" s="196" t="s">
        <v>234</v>
      </c>
      <c r="F875" s="195">
        <v>456</v>
      </c>
      <c r="G875" s="197" t="s">
        <v>141</v>
      </c>
      <c r="H875" s="197" t="s">
        <v>223</v>
      </c>
      <c r="I875" s="196" t="s">
        <v>226</v>
      </c>
      <c r="J875" s="195">
        <v>1</v>
      </c>
      <c r="K875" s="204" t="s">
        <v>224</v>
      </c>
      <c r="L875" s="199">
        <v>2</v>
      </c>
      <c r="M875" s="200">
        <v>0.5</v>
      </c>
      <c r="N875" s="201">
        <v>34</v>
      </c>
    </row>
    <row r="876" spans="1:14">
      <c r="A876" s="194">
        <v>41287.496180555558</v>
      </c>
      <c r="B876" s="195">
        <v>2053</v>
      </c>
      <c r="C876" s="194"/>
      <c r="D876" s="194"/>
      <c r="E876" s="196" t="s">
        <v>294</v>
      </c>
      <c r="F876" s="195">
        <v>456</v>
      </c>
      <c r="G876" s="197" t="s">
        <v>141</v>
      </c>
      <c r="H876" s="197" t="s">
        <v>223</v>
      </c>
      <c r="I876" s="196" t="s">
        <v>226</v>
      </c>
      <c r="J876" s="195">
        <v>1</v>
      </c>
      <c r="K876" s="204" t="s">
        <v>224</v>
      </c>
      <c r="L876" s="199">
        <v>1</v>
      </c>
      <c r="M876" s="200">
        <v>0.3</v>
      </c>
      <c r="N876" s="201">
        <v>36</v>
      </c>
    </row>
    <row r="877" spans="1:14">
      <c r="A877" s="194">
        <v>41276.837824074071</v>
      </c>
      <c r="B877" s="195">
        <v>2053</v>
      </c>
      <c r="C877" s="194"/>
      <c r="D877" s="194"/>
      <c r="E877" s="196" t="s">
        <v>233</v>
      </c>
      <c r="F877" s="195">
        <v>456</v>
      </c>
      <c r="G877" s="197" t="s">
        <v>141</v>
      </c>
      <c r="H877" s="197" t="s">
        <v>223</v>
      </c>
      <c r="I877" s="196" t="s">
        <v>226</v>
      </c>
      <c r="J877" s="195">
        <v>1</v>
      </c>
      <c r="K877" s="204" t="s">
        <v>224</v>
      </c>
      <c r="L877" s="199">
        <v>2</v>
      </c>
      <c r="M877" s="200">
        <v>0.3</v>
      </c>
      <c r="N877" s="201">
        <v>37</v>
      </c>
    </row>
    <row r="878" spans="1:14">
      <c r="A878" s="194">
        <v>41280.418391203704</v>
      </c>
      <c r="B878" s="195">
        <v>2053</v>
      </c>
      <c r="C878" s="194"/>
      <c r="D878" s="194"/>
      <c r="E878" s="196" t="s">
        <v>249</v>
      </c>
      <c r="F878" s="195">
        <v>456</v>
      </c>
      <c r="G878" s="197" t="s">
        <v>141</v>
      </c>
      <c r="H878" s="197" t="s">
        <v>223</v>
      </c>
      <c r="I878" s="196" t="s">
        <v>226</v>
      </c>
      <c r="J878" s="195">
        <v>1</v>
      </c>
      <c r="K878" s="204" t="s">
        <v>224</v>
      </c>
      <c r="L878" s="199">
        <v>2</v>
      </c>
      <c r="M878" s="200">
        <v>0.7</v>
      </c>
      <c r="N878" s="201">
        <v>37</v>
      </c>
    </row>
    <row r="879" spans="1:14">
      <c r="A879" s="194">
        <v>41280.498263888891</v>
      </c>
      <c r="B879" s="195">
        <v>2053</v>
      </c>
      <c r="C879" s="194"/>
      <c r="D879" s="194"/>
      <c r="E879" s="196" t="s">
        <v>250</v>
      </c>
      <c r="F879" s="195">
        <v>456</v>
      </c>
      <c r="G879" s="197" t="s">
        <v>141</v>
      </c>
      <c r="H879" s="197" t="s">
        <v>223</v>
      </c>
      <c r="I879" s="196" t="s">
        <v>226</v>
      </c>
      <c r="J879" s="195">
        <v>1</v>
      </c>
      <c r="K879" s="204" t="s">
        <v>224</v>
      </c>
      <c r="L879" s="199">
        <v>3</v>
      </c>
      <c r="M879" s="200">
        <v>0.4</v>
      </c>
      <c r="N879" s="201">
        <v>39</v>
      </c>
    </row>
    <row r="880" spans="1:14">
      <c r="A880" s="194">
        <v>41294.50104166667</v>
      </c>
      <c r="B880" s="195">
        <v>2053</v>
      </c>
      <c r="C880" s="194"/>
      <c r="D880" s="194"/>
      <c r="E880" s="196" t="s">
        <v>328</v>
      </c>
      <c r="F880" s="195">
        <v>456</v>
      </c>
      <c r="G880" s="197" t="s">
        <v>141</v>
      </c>
      <c r="H880" s="197" t="s">
        <v>223</v>
      </c>
      <c r="I880" s="196" t="s">
        <v>226</v>
      </c>
      <c r="J880" s="195">
        <v>1</v>
      </c>
      <c r="K880" s="204" t="s">
        <v>224</v>
      </c>
      <c r="L880" s="199">
        <v>2</v>
      </c>
      <c r="M880" s="200">
        <v>0.5</v>
      </c>
      <c r="N880" s="201">
        <v>41</v>
      </c>
    </row>
    <row r="881" spans="1:14">
      <c r="A881" s="194">
        <v>41278.261261574073</v>
      </c>
      <c r="B881" s="195">
        <v>2053</v>
      </c>
      <c r="C881" s="194"/>
      <c r="D881" s="194"/>
      <c r="E881" s="196" t="s">
        <v>258</v>
      </c>
      <c r="F881" s="195">
        <v>456</v>
      </c>
      <c r="G881" s="197" t="s">
        <v>141</v>
      </c>
      <c r="H881" s="197" t="s">
        <v>223</v>
      </c>
      <c r="I881" s="196" t="s">
        <v>226</v>
      </c>
      <c r="J881" s="195">
        <v>1</v>
      </c>
      <c r="K881" s="204" t="s">
        <v>224</v>
      </c>
      <c r="L881" s="199">
        <v>2</v>
      </c>
      <c r="M881" s="200">
        <v>0.6</v>
      </c>
      <c r="N881" s="201">
        <v>42</v>
      </c>
    </row>
    <row r="882" spans="1:14">
      <c r="A882" s="194">
        <v>41278.819108796299</v>
      </c>
      <c r="B882" s="195">
        <v>2053</v>
      </c>
      <c r="C882" s="194"/>
      <c r="D882" s="194"/>
      <c r="E882" s="196" t="s">
        <v>260</v>
      </c>
      <c r="F882" s="195">
        <v>456</v>
      </c>
      <c r="G882" s="197" t="s">
        <v>141</v>
      </c>
      <c r="H882" s="197" t="s">
        <v>223</v>
      </c>
      <c r="I882" s="196" t="s">
        <v>226</v>
      </c>
      <c r="J882" s="195">
        <v>1</v>
      </c>
      <c r="K882" s="204" t="s">
        <v>224</v>
      </c>
      <c r="L882" s="199">
        <v>2</v>
      </c>
      <c r="M882" s="200">
        <v>0.4</v>
      </c>
      <c r="N882" s="201">
        <v>46</v>
      </c>
    </row>
    <row r="883" spans="1:14">
      <c r="A883" s="194">
        <v>41300.495625000003</v>
      </c>
      <c r="B883" s="195">
        <v>2053</v>
      </c>
      <c r="C883" s="194"/>
      <c r="D883" s="194"/>
      <c r="E883" s="196" t="s">
        <v>400</v>
      </c>
      <c r="F883" s="195">
        <v>460</v>
      </c>
      <c r="G883" s="197" t="s">
        <v>5</v>
      </c>
      <c r="H883" s="197" t="s">
        <v>223</v>
      </c>
      <c r="J883" s="195">
        <v>1</v>
      </c>
      <c r="K883" s="204" t="s">
        <v>224</v>
      </c>
      <c r="L883" s="199">
        <v>2</v>
      </c>
      <c r="M883" s="200">
        <v>4.2</v>
      </c>
      <c r="N883" s="201">
        <v>17</v>
      </c>
    </row>
    <row r="884" spans="1:14">
      <c r="A884" s="194">
        <v>41279.96979166667</v>
      </c>
      <c r="B884" s="195">
        <v>2053</v>
      </c>
      <c r="C884" s="194"/>
      <c r="D884" s="194"/>
      <c r="E884" s="196" t="s">
        <v>401</v>
      </c>
      <c r="F884" s="195">
        <v>462</v>
      </c>
      <c r="G884" s="197" t="s">
        <v>144</v>
      </c>
      <c r="H884" s="197" t="s">
        <v>223</v>
      </c>
      <c r="I884" s="196" t="s">
        <v>402</v>
      </c>
      <c r="J884" s="195">
        <v>1</v>
      </c>
      <c r="K884" s="204" t="s">
        <v>224</v>
      </c>
      <c r="L884" s="199">
        <v>2</v>
      </c>
      <c r="M884" s="200">
        <v>0.4</v>
      </c>
      <c r="N884" s="201">
        <v>40</v>
      </c>
    </row>
    <row r="885" spans="1:14">
      <c r="A885" s="194">
        <v>41298.490682870368</v>
      </c>
      <c r="B885" s="195">
        <v>2053</v>
      </c>
      <c r="C885" s="194"/>
      <c r="D885" s="194"/>
      <c r="E885" s="196" t="s">
        <v>456</v>
      </c>
      <c r="F885" s="195">
        <v>466</v>
      </c>
      <c r="G885" s="197" t="s">
        <v>142</v>
      </c>
      <c r="H885" s="197" t="s">
        <v>223</v>
      </c>
      <c r="I885" s="196" t="s">
        <v>402</v>
      </c>
      <c r="J885" s="195">
        <v>1</v>
      </c>
      <c r="K885" s="204" t="s">
        <v>224</v>
      </c>
      <c r="L885" s="199">
        <v>2</v>
      </c>
      <c r="M885" s="200">
        <v>0.3</v>
      </c>
      <c r="N885" s="201">
        <v>34</v>
      </c>
    </row>
    <row r="886" spans="1:14">
      <c r="A886" s="194">
        <v>41292.604537037034</v>
      </c>
      <c r="B886" s="195">
        <v>2053</v>
      </c>
      <c r="C886" s="194"/>
      <c r="D886" s="194"/>
      <c r="E886" s="196" t="s">
        <v>1146</v>
      </c>
      <c r="F886" s="195">
        <v>800</v>
      </c>
      <c r="G886" s="197" t="s">
        <v>470</v>
      </c>
      <c r="H886" s="197" t="s">
        <v>471</v>
      </c>
      <c r="J886" s="195">
        <v>1</v>
      </c>
      <c r="K886" s="204" t="s">
        <v>224</v>
      </c>
      <c r="L886" s="199">
        <v>1</v>
      </c>
      <c r="M886" s="200">
        <v>1.4</v>
      </c>
      <c r="N886" s="201">
        <v>17</v>
      </c>
    </row>
    <row r="887" spans="1:14">
      <c r="A887" s="194">
        <v>41289.615682870368</v>
      </c>
      <c r="B887" s="195">
        <v>2053</v>
      </c>
      <c r="C887" s="194"/>
      <c r="D887" s="194"/>
      <c r="E887" s="196" t="s">
        <v>961</v>
      </c>
      <c r="F887" s="195">
        <v>800</v>
      </c>
      <c r="G887" s="197" t="s">
        <v>470</v>
      </c>
      <c r="H887" s="197" t="s">
        <v>471</v>
      </c>
      <c r="J887" s="195">
        <v>1</v>
      </c>
      <c r="K887" s="204" t="s">
        <v>224</v>
      </c>
      <c r="L887" s="199">
        <v>3</v>
      </c>
      <c r="M887" s="200">
        <v>0.3</v>
      </c>
      <c r="N887" s="201">
        <v>18</v>
      </c>
    </row>
    <row r="888" spans="1:14">
      <c r="A888" s="194">
        <v>41293.457361111112</v>
      </c>
      <c r="B888" s="195">
        <v>2053</v>
      </c>
      <c r="C888" s="194"/>
      <c r="D888" s="194"/>
      <c r="E888" s="196" t="s">
        <v>1189</v>
      </c>
      <c r="F888" s="195">
        <v>800</v>
      </c>
      <c r="G888" s="197" t="s">
        <v>470</v>
      </c>
      <c r="H888" s="197" t="s">
        <v>471</v>
      </c>
      <c r="J888" s="195">
        <v>1</v>
      </c>
      <c r="K888" s="204" t="s">
        <v>224</v>
      </c>
      <c r="L888" s="199">
        <v>3</v>
      </c>
      <c r="M888" s="200">
        <v>0.5</v>
      </c>
      <c r="N888" s="201">
        <v>18</v>
      </c>
    </row>
    <row r="889" spans="1:14">
      <c r="A889" s="194">
        <v>41292.827511574076</v>
      </c>
      <c r="B889" s="195">
        <v>2053</v>
      </c>
      <c r="C889" s="194"/>
      <c r="D889" s="194"/>
      <c r="E889" s="196" t="s">
        <v>1147</v>
      </c>
      <c r="F889" s="195">
        <v>800</v>
      </c>
      <c r="G889" s="197" t="s">
        <v>470</v>
      </c>
      <c r="H889" s="197" t="s">
        <v>471</v>
      </c>
      <c r="J889" s="195">
        <v>1</v>
      </c>
      <c r="K889" s="204" t="s">
        <v>224</v>
      </c>
      <c r="L889" s="199">
        <v>3</v>
      </c>
      <c r="M889" s="200">
        <v>1.3</v>
      </c>
      <c r="N889" s="201">
        <v>19</v>
      </c>
    </row>
    <row r="890" spans="1:14">
      <c r="A890" s="194">
        <v>41304.375243055554</v>
      </c>
      <c r="B890" s="195">
        <v>2053</v>
      </c>
      <c r="C890" s="194"/>
      <c r="D890" s="194"/>
      <c r="E890" s="196" t="s">
        <v>1536</v>
      </c>
      <c r="F890" s="195">
        <v>800</v>
      </c>
      <c r="G890" s="197" t="s">
        <v>470</v>
      </c>
      <c r="H890" s="197" t="s">
        <v>471</v>
      </c>
      <c r="J890" s="195">
        <v>1</v>
      </c>
      <c r="K890" s="204" t="s">
        <v>224</v>
      </c>
      <c r="L890" s="199">
        <v>3</v>
      </c>
      <c r="M890" s="200">
        <v>0.4</v>
      </c>
      <c r="N890" s="201">
        <v>22</v>
      </c>
    </row>
    <row r="891" spans="1:14">
      <c r="A891" s="194">
        <v>41305.781678240739</v>
      </c>
      <c r="B891" s="195">
        <v>2053</v>
      </c>
      <c r="C891" s="194"/>
      <c r="D891" s="194"/>
      <c r="E891" s="196" t="s">
        <v>1567</v>
      </c>
      <c r="F891" s="195">
        <v>800</v>
      </c>
      <c r="G891" s="197" t="s">
        <v>470</v>
      </c>
      <c r="H891" s="197" t="s">
        <v>471</v>
      </c>
      <c r="J891" s="195">
        <v>1</v>
      </c>
      <c r="K891" s="204" t="s">
        <v>224</v>
      </c>
      <c r="L891" s="199">
        <v>2</v>
      </c>
      <c r="M891" s="200">
        <v>0.4</v>
      </c>
      <c r="N891" s="201">
        <v>28</v>
      </c>
    </row>
    <row r="892" spans="1:14">
      <c r="A892" s="194">
        <v>41302.611446759256</v>
      </c>
      <c r="B892" s="195">
        <v>2053</v>
      </c>
      <c r="C892" s="194"/>
      <c r="D892" s="194"/>
      <c r="E892" s="196" t="s">
        <v>1459</v>
      </c>
      <c r="F892" s="195">
        <v>800</v>
      </c>
      <c r="G892" s="197" t="s">
        <v>470</v>
      </c>
      <c r="H892" s="197" t="s">
        <v>471</v>
      </c>
      <c r="J892" s="195">
        <v>1</v>
      </c>
      <c r="K892" s="204" t="s">
        <v>224</v>
      </c>
      <c r="L892" s="199">
        <v>2</v>
      </c>
      <c r="M892" s="200">
        <v>0.5</v>
      </c>
      <c r="N892" s="201">
        <v>29</v>
      </c>
    </row>
    <row r="893" spans="1:14">
      <c r="A893" s="194">
        <v>41300.574050925927</v>
      </c>
      <c r="B893" s="195">
        <v>2053</v>
      </c>
      <c r="C893" s="194"/>
      <c r="D893" s="194"/>
      <c r="E893" s="196" t="s">
        <v>1428</v>
      </c>
      <c r="F893" s="195">
        <v>800</v>
      </c>
      <c r="G893" s="197" t="s">
        <v>470</v>
      </c>
      <c r="H893" s="197" t="s">
        <v>471</v>
      </c>
      <c r="J893" s="195">
        <v>1</v>
      </c>
      <c r="K893" s="204" t="s">
        <v>224</v>
      </c>
      <c r="L893" s="199">
        <v>3</v>
      </c>
      <c r="M893" s="200">
        <v>1.4</v>
      </c>
      <c r="N893" s="201">
        <v>29</v>
      </c>
    </row>
    <row r="894" spans="1:14">
      <c r="A894" s="194">
        <v>41278.458715277775</v>
      </c>
      <c r="B894" s="195">
        <v>2053</v>
      </c>
      <c r="C894" s="194"/>
      <c r="D894" s="194"/>
      <c r="E894" s="196" t="s">
        <v>582</v>
      </c>
      <c r="F894" s="195">
        <v>800</v>
      </c>
      <c r="G894" s="197" t="s">
        <v>470</v>
      </c>
      <c r="H894" s="197" t="s">
        <v>471</v>
      </c>
      <c r="J894" s="195">
        <v>1</v>
      </c>
      <c r="K894" s="204" t="s">
        <v>224</v>
      </c>
      <c r="L894" s="199">
        <v>2</v>
      </c>
      <c r="M894" s="200">
        <v>1.3</v>
      </c>
      <c r="N894" s="201">
        <v>30</v>
      </c>
    </row>
    <row r="895" spans="1:14">
      <c r="A895" s="194">
        <v>41276.571828703702</v>
      </c>
      <c r="B895" s="195">
        <v>2053</v>
      </c>
      <c r="C895" s="194"/>
      <c r="D895" s="194"/>
      <c r="E895" s="196" t="s">
        <v>501</v>
      </c>
      <c r="F895" s="195">
        <v>800</v>
      </c>
      <c r="G895" s="197" t="s">
        <v>470</v>
      </c>
      <c r="H895" s="197" t="s">
        <v>471</v>
      </c>
      <c r="J895" s="195">
        <v>1</v>
      </c>
      <c r="K895" s="204" t="s">
        <v>224</v>
      </c>
      <c r="L895" s="199">
        <v>3</v>
      </c>
      <c r="M895" s="200">
        <v>0.7</v>
      </c>
      <c r="N895" s="201">
        <v>33</v>
      </c>
    </row>
    <row r="896" spans="1:14">
      <c r="A896" s="194">
        <v>41279.800358796296</v>
      </c>
      <c r="B896" s="195">
        <v>2053</v>
      </c>
      <c r="C896" s="194"/>
      <c r="D896" s="194"/>
      <c r="E896" s="196" t="s">
        <v>632</v>
      </c>
      <c r="F896" s="195">
        <v>800</v>
      </c>
      <c r="G896" s="197" t="s">
        <v>470</v>
      </c>
      <c r="H896" s="197" t="s">
        <v>471</v>
      </c>
      <c r="J896" s="195">
        <v>1</v>
      </c>
      <c r="K896" s="204" t="s">
        <v>224</v>
      </c>
      <c r="L896" s="199">
        <v>2</v>
      </c>
      <c r="M896" s="200">
        <v>0.6</v>
      </c>
      <c r="N896" s="201">
        <v>34</v>
      </c>
    </row>
    <row r="897" spans="1:14">
      <c r="A897" s="194">
        <v>41286.723310185182</v>
      </c>
      <c r="B897" s="195">
        <v>2053</v>
      </c>
      <c r="C897" s="194"/>
      <c r="D897" s="194"/>
      <c r="E897" s="196" t="s">
        <v>897</v>
      </c>
      <c r="F897" s="195">
        <v>800</v>
      </c>
      <c r="G897" s="197" t="s">
        <v>470</v>
      </c>
      <c r="H897" s="197" t="s">
        <v>471</v>
      </c>
      <c r="J897" s="195">
        <v>1</v>
      </c>
      <c r="K897" s="204" t="s">
        <v>224</v>
      </c>
      <c r="L897" s="199">
        <v>3</v>
      </c>
      <c r="M897" s="200">
        <v>0.5</v>
      </c>
      <c r="N897" s="201">
        <v>35</v>
      </c>
    </row>
    <row r="898" spans="1:14">
      <c r="A898" s="194">
        <v>41292.911527777775</v>
      </c>
      <c r="B898" s="195">
        <v>2053</v>
      </c>
      <c r="C898" s="194"/>
      <c r="D898" s="194"/>
      <c r="E898" s="196" t="s">
        <v>1148</v>
      </c>
      <c r="F898" s="195">
        <v>800</v>
      </c>
      <c r="G898" s="197" t="s">
        <v>470</v>
      </c>
      <c r="H898" s="197" t="s">
        <v>471</v>
      </c>
      <c r="J898" s="195">
        <v>1</v>
      </c>
      <c r="K898" s="204" t="s">
        <v>224</v>
      </c>
      <c r="L898" s="199">
        <v>2</v>
      </c>
      <c r="M898" s="200">
        <v>0.8</v>
      </c>
      <c r="N898" s="201">
        <v>35</v>
      </c>
    </row>
    <row r="899" spans="1:14">
      <c r="A899" s="194">
        <v>41300.629583333335</v>
      </c>
      <c r="B899" s="195">
        <v>2053</v>
      </c>
      <c r="C899" s="194"/>
      <c r="D899" s="194"/>
      <c r="E899" s="196" t="s">
        <v>1429</v>
      </c>
      <c r="F899" s="195">
        <v>800</v>
      </c>
      <c r="G899" s="197" t="s">
        <v>470</v>
      </c>
      <c r="H899" s="197" t="s">
        <v>471</v>
      </c>
      <c r="J899" s="195">
        <v>1</v>
      </c>
      <c r="K899" s="204" t="s">
        <v>224</v>
      </c>
      <c r="L899" s="199">
        <v>3</v>
      </c>
      <c r="M899" s="200">
        <v>0.3</v>
      </c>
      <c r="N899" s="201">
        <v>36</v>
      </c>
    </row>
    <row r="900" spans="1:14">
      <c r="A900" s="194">
        <v>41304.941388888888</v>
      </c>
      <c r="B900" s="195">
        <v>2053</v>
      </c>
      <c r="C900" s="194"/>
      <c r="D900" s="194"/>
      <c r="E900" s="196" t="s">
        <v>1537</v>
      </c>
      <c r="F900" s="195">
        <v>800</v>
      </c>
      <c r="G900" s="197" t="s">
        <v>470</v>
      </c>
      <c r="H900" s="197" t="s">
        <v>471</v>
      </c>
      <c r="J900" s="195">
        <v>1</v>
      </c>
      <c r="K900" s="204" t="s">
        <v>224</v>
      </c>
      <c r="L900" s="199">
        <v>3</v>
      </c>
      <c r="M900" s="200">
        <v>0.3</v>
      </c>
      <c r="N900" s="201">
        <v>37</v>
      </c>
    </row>
    <row r="901" spans="1:14">
      <c r="A901" s="194">
        <v>41293.389305555553</v>
      </c>
      <c r="B901" s="195">
        <v>2053</v>
      </c>
      <c r="C901" s="194"/>
      <c r="D901" s="194"/>
      <c r="E901" s="196" t="s">
        <v>1188</v>
      </c>
      <c r="F901" s="195">
        <v>800</v>
      </c>
      <c r="G901" s="197" t="s">
        <v>470</v>
      </c>
      <c r="H901" s="197" t="s">
        <v>471</v>
      </c>
      <c r="J901" s="195">
        <v>1</v>
      </c>
      <c r="K901" s="204" t="s">
        <v>224</v>
      </c>
      <c r="L901" s="199">
        <v>3</v>
      </c>
      <c r="M901" s="200">
        <v>0.4</v>
      </c>
      <c r="N901" s="201">
        <v>38</v>
      </c>
    </row>
    <row r="902" spans="1:14">
      <c r="A902" s="194">
        <v>41296.536481481482</v>
      </c>
      <c r="B902" s="195">
        <v>2053</v>
      </c>
      <c r="C902" s="194"/>
      <c r="D902" s="194"/>
      <c r="E902" s="196" t="s">
        <v>1275</v>
      </c>
      <c r="F902" s="195">
        <v>800</v>
      </c>
      <c r="G902" s="197" t="s">
        <v>470</v>
      </c>
      <c r="H902" s="197" t="s">
        <v>471</v>
      </c>
      <c r="J902" s="195">
        <v>1</v>
      </c>
      <c r="K902" s="204" t="s">
        <v>224</v>
      </c>
      <c r="L902" s="199">
        <v>3</v>
      </c>
      <c r="M902" s="200">
        <v>0.7</v>
      </c>
      <c r="N902" s="201">
        <v>38</v>
      </c>
    </row>
    <row r="903" spans="1:14">
      <c r="A903" s="194">
        <v>41305.524039351854</v>
      </c>
      <c r="B903" s="195">
        <v>2053</v>
      </c>
      <c r="C903" s="194"/>
      <c r="D903" s="194"/>
      <c r="E903" s="196" t="s">
        <v>1566</v>
      </c>
      <c r="F903" s="195">
        <v>800</v>
      </c>
      <c r="G903" s="197" t="s">
        <v>470</v>
      </c>
      <c r="H903" s="197" t="s">
        <v>471</v>
      </c>
      <c r="J903" s="195">
        <v>1</v>
      </c>
      <c r="K903" s="204" t="s">
        <v>224</v>
      </c>
      <c r="L903" s="199">
        <v>1</v>
      </c>
      <c r="M903" s="200">
        <v>0.6</v>
      </c>
      <c r="N903" s="201">
        <v>39</v>
      </c>
    </row>
    <row r="904" spans="1:14">
      <c r="A904" s="194">
        <v>41280.882291666669</v>
      </c>
      <c r="B904" s="195">
        <v>2053</v>
      </c>
      <c r="C904" s="194"/>
      <c r="D904" s="194"/>
      <c r="E904" s="196" t="s">
        <v>562</v>
      </c>
      <c r="F904" s="195">
        <v>800</v>
      </c>
      <c r="G904" s="197" t="s">
        <v>470</v>
      </c>
      <c r="H904" s="197" t="s">
        <v>471</v>
      </c>
      <c r="J904" s="195">
        <v>1</v>
      </c>
      <c r="K904" s="204" t="s">
        <v>224</v>
      </c>
      <c r="L904" s="199">
        <v>2</v>
      </c>
      <c r="M904" s="200">
        <v>0.5</v>
      </c>
      <c r="N904" s="201">
        <v>40</v>
      </c>
    </row>
    <row r="905" spans="1:14">
      <c r="A905" s="194">
        <v>41275.232268518521</v>
      </c>
      <c r="B905" s="195">
        <v>2053</v>
      </c>
      <c r="C905" s="194"/>
      <c r="D905" s="194"/>
      <c r="E905" s="196" t="s">
        <v>480</v>
      </c>
      <c r="F905" s="195">
        <v>800</v>
      </c>
      <c r="G905" s="197" t="s">
        <v>470</v>
      </c>
      <c r="H905" s="197" t="s">
        <v>471</v>
      </c>
      <c r="J905" s="195">
        <v>1</v>
      </c>
      <c r="K905" s="204" t="s">
        <v>224</v>
      </c>
      <c r="L905" s="199">
        <v>2</v>
      </c>
      <c r="M905" s="200">
        <v>1.5</v>
      </c>
      <c r="N905" s="201">
        <v>40</v>
      </c>
    </row>
    <row r="906" spans="1:14">
      <c r="A906" s="194">
        <v>41300.970532407409</v>
      </c>
      <c r="B906" s="195">
        <v>2053</v>
      </c>
      <c r="C906" s="194"/>
      <c r="D906" s="194"/>
      <c r="E906" s="196" t="s">
        <v>1430</v>
      </c>
      <c r="F906" s="195">
        <v>800</v>
      </c>
      <c r="G906" s="197" t="s">
        <v>470</v>
      </c>
      <c r="H906" s="197" t="s">
        <v>471</v>
      </c>
      <c r="J906" s="195">
        <v>1</v>
      </c>
      <c r="K906" s="204" t="s">
        <v>224</v>
      </c>
      <c r="L906" s="199">
        <v>3</v>
      </c>
      <c r="M906" s="200">
        <v>0.5</v>
      </c>
      <c r="N906" s="201">
        <v>44</v>
      </c>
    </row>
    <row r="907" spans="1:14">
      <c r="A907" s="194">
        <v>41279.477453703701</v>
      </c>
      <c r="B907" s="195">
        <v>2053</v>
      </c>
      <c r="C907" s="194"/>
      <c r="D907" s="194"/>
      <c r="E907" s="198"/>
      <c r="G907" s="202"/>
      <c r="J907" s="195">
        <v>2</v>
      </c>
      <c r="K907" s="204" t="s">
        <v>32</v>
      </c>
      <c r="L907" s="199">
        <v>1</v>
      </c>
      <c r="M907" s="200">
        <v>1.4</v>
      </c>
      <c r="N907" s="201">
        <v>22</v>
      </c>
    </row>
    <row r="908" spans="1:14">
      <c r="A908" s="194">
        <v>41300.770567129628</v>
      </c>
      <c r="B908" s="195">
        <v>2053</v>
      </c>
      <c r="C908" s="194"/>
      <c r="D908" s="194"/>
      <c r="E908" s="198"/>
      <c r="G908" s="202"/>
      <c r="J908" s="195">
        <v>2</v>
      </c>
      <c r="K908" s="204" t="s">
        <v>32</v>
      </c>
      <c r="L908" s="199">
        <v>1</v>
      </c>
      <c r="M908" s="200">
        <v>0.8</v>
      </c>
      <c r="N908" s="201">
        <v>23</v>
      </c>
    </row>
    <row r="909" spans="1:14">
      <c r="A909" s="194">
        <v>41299.471956018519</v>
      </c>
      <c r="B909" s="195">
        <v>2053</v>
      </c>
      <c r="C909" s="194"/>
      <c r="D909" s="194"/>
      <c r="E909" s="198"/>
      <c r="G909" s="202"/>
      <c r="J909" s="195">
        <v>2</v>
      </c>
      <c r="K909" s="204" t="s">
        <v>32</v>
      </c>
      <c r="L909" s="199">
        <v>1</v>
      </c>
      <c r="M909" s="200">
        <v>0.6</v>
      </c>
      <c r="N909" s="201">
        <v>24</v>
      </c>
    </row>
    <row r="910" spans="1:14">
      <c r="A910" s="194">
        <v>41279.640625</v>
      </c>
      <c r="B910" s="195">
        <v>2053</v>
      </c>
      <c r="C910" s="194"/>
      <c r="D910" s="194"/>
      <c r="E910" s="198"/>
      <c r="G910" s="202"/>
      <c r="J910" s="195">
        <v>2</v>
      </c>
      <c r="K910" s="204" t="s">
        <v>32</v>
      </c>
      <c r="L910" s="199">
        <v>1</v>
      </c>
      <c r="M910" s="200">
        <v>0.6</v>
      </c>
      <c r="N910" s="201">
        <v>28</v>
      </c>
    </row>
    <row r="911" spans="1:14">
      <c r="A911" s="194">
        <v>41301.771284722221</v>
      </c>
      <c r="B911" s="195">
        <v>2053</v>
      </c>
      <c r="C911" s="194"/>
      <c r="D911" s="194"/>
      <c r="E911" s="198"/>
      <c r="G911" s="202"/>
      <c r="J911" s="195">
        <v>2</v>
      </c>
      <c r="K911" s="204" t="s">
        <v>32</v>
      </c>
      <c r="L911" s="199">
        <v>2</v>
      </c>
      <c r="M911" s="200">
        <v>0.4</v>
      </c>
      <c r="N911" s="201">
        <v>31</v>
      </c>
    </row>
    <row r="912" spans="1:14">
      <c r="A912" s="194">
        <v>41293.571238425924</v>
      </c>
      <c r="B912" s="195">
        <v>2053</v>
      </c>
      <c r="C912" s="194"/>
      <c r="D912" s="194"/>
      <c r="E912" s="198"/>
      <c r="G912" s="202"/>
      <c r="J912" s="195">
        <v>2</v>
      </c>
      <c r="K912" s="204" t="s">
        <v>32</v>
      </c>
      <c r="L912" s="199">
        <v>3</v>
      </c>
      <c r="M912" s="200">
        <v>0.3</v>
      </c>
      <c r="N912" s="201">
        <v>33</v>
      </c>
    </row>
    <row r="913" spans="1:14">
      <c r="A913" s="194">
        <v>41297.614965277775</v>
      </c>
      <c r="B913" s="195">
        <v>2053</v>
      </c>
      <c r="C913" s="194"/>
      <c r="D913" s="194"/>
      <c r="E913" s="198"/>
      <c r="G913" s="202"/>
      <c r="J913" s="195">
        <v>2</v>
      </c>
      <c r="K913" s="204" t="s">
        <v>32</v>
      </c>
      <c r="L913" s="199">
        <v>1</v>
      </c>
      <c r="M913" s="200">
        <v>0.5</v>
      </c>
      <c r="N913" s="201">
        <v>33</v>
      </c>
    </row>
    <row r="914" spans="1:14">
      <c r="A914" s="194">
        <v>41278.545543981483</v>
      </c>
      <c r="B914" s="195">
        <v>2053</v>
      </c>
      <c r="C914" s="194"/>
      <c r="D914" s="194"/>
      <c r="E914" s="198"/>
      <c r="G914" s="202"/>
      <c r="J914" s="195">
        <v>2</v>
      </c>
      <c r="K914" s="204" t="s">
        <v>32</v>
      </c>
      <c r="L914" s="199">
        <v>1</v>
      </c>
      <c r="M914" s="200">
        <v>2.9</v>
      </c>
      <c r="N914" s="201">
        <v>33</v>
      </c>
    </row>
    <row r="915" spans="1:14">
      <c r="A915" s="194">
        <v>41277.589189814818</v>
      </c>
      <c r="B915" s="195">
        <v>2053</v>
      </c>
      <c r="C915" s="194"/>
      <c r="D915" s="194"/>
      <c r="E915" s="198"/>
      <c r="G915" s="202"/>
      <c r="J915" s="195">
        <v>2</v>
      </c>
      <c r="K915" s="204" t="s">
        <v>32</v>
      </c>
      <c r="L915" s="199">
        <v>1</v>
      </c>
      <c r="M915" s="200">
        <v>0.4</v>
      </c>
      <c r="N915" s="201">
        <v>34</v>
      </c>
    </row>
    <row r="916" spans="1:14">
      <c r="A916" s="194">
        <v>41305.601817129631</v>
      </c>
      <c r="B916" s="195">
        <v>2053</v>
      </c>
      <c r="C916" s="194"/>
      <c r="D916" s="194"/>
      <c r="E916" s="198"/>
      <c r="G916" s="202"/>
      <c r="J916" s="195">
        <v>2</v>
      </c>
      <c r="K916" s="204" t="s">
        <v>32</v>
      </c>
      <c r="L916" s="199">
        <v>1</v>
      </c>
      <c r="M916" s="200">
        <v>0.3</v>
      </c>
      <c r="N916" s="201">
        <v>35</v>
      </c>
    </row>
    <row r="917" spans="1:14">
      <c r="A917" s="194">
        <v>41286.631597222222</v>
      </c>
      <c r="B917" s="195">
        <v>2053</v>
      </c>
      <c r="C917" s="194"/>
      <c r="D917" s="194"/>
      <c r="E917" s="198"/>
      <c r="G917" s="202"/>
      <c r="J917" s="195">
        <v>2</v>
      </c>
      <c r="K917" s="204" t="s">
        <v>32</v>
      </c>
      <c r="L917" s="199">
        <v>2</v>
      </c>
      <c r="M917" s="200">
        <v>0.5</v>
      </c>
      <c r="N917" s="201">
        <v>35</v>
      </c>
    </row>
    <row r="918" spans="1:14">
      <c r="A918" s="194">
        <v>41288.449687499997</v>
      </c>
      <c r="B918" s="195">
        <v>2053</v>
      </c>
      <c r="C918" s="194"/>
      <c r="D918" s="194"/>
      <c r="E918" s="198"/>
      <c r="G918" s="202"/>
      <c r="J918" s="195">
        <v>3</v>
      </c>
      <c r="K918" s="204" t="s">
        <v>1595</v>
      </c>
      <c r="L918" s="199">
        <v>2</v>
      </c>
      <c r="M918" s="200">
        <v>0.3</v>
      </c>
      <c r="N918" s="201">
        <v>18</v>
      </c>
    </row>
    <row r="919" spans="1:14">
      <c r="A919" s="194">
        <v>41287.680902777778</v>
      </c>
      <c r="B919" s="195">
        <v>2053</v>
      </c>
      <c r="C919" s="194"/>
      <c r="D919" s="194"/>
      <c r="E919" s="198"/>
      <c r="G919" s="202"/>
      <c r="J919" s="195">
        <v>3</v>
      </c>
      <c r="K919" s="204" t="s">
        <v>1595</v>
      </c>
      <c r="L919" s="199">
        <v>1</v>
      </c>
      <c r="M919" s="200">
        <v>0.6</v>
      </c>
      <c r="N919" s="201">
        <v>28</v>
      </c>
    </row>
    <row r="920" spans="1:14">
      <c r="A920" s="194">
        <v>41291.550416666665</v>
      </c>
      <c r="B920" s="195">
        <v>2053</v>
      </c>
      <c r="C920" s="194"/>
      <c r="D920" s="194"/>
      <c r="E920" s="198"/>
      <c r="G920" s="202"/>
      <c r="J920" s="195">
        <v>3</v>
      </c>
      <c r="K920" s="204" t="s">
        <v>1595</v>
      </c>
      <c r="L920" s="199">
        <v>2</v>
      </c>
      <c r="M920" s="200">
        <v>0.8</v>
      </c>
      <c r="N920" s="201">
        <v>30</v>
      </c>
    </row>
    <row r="921" spans="1:14">
      <c r="A921" s="194">
        <v>41278.868414351855</v>
      </c>
      <c r="B921" s="195">
        <v>2053</v>
      </c>
      <c r="C921" s="194"/>
      <c r="D921" s="194"/>
      <c r="E921" s="198"/>
      <c r="G921" s="202"/>
      <c r="J921" s="195">
        <v>3</v>
      </c>
      <c r="K921" s="204" t="s">
        <v>1595</v>
      </c>
      <c r="L921" s="199">
        <v>3</v>
      </c>
      <c r="M921" s="200">
        <v>0.8</v>
      </c>
      <c r="N921" s="201">
        <v>32</v>
      </c>
    </row>
    <row r="922" spans="1:14">
      <c r="A922" s="194">
        <v>41279.356620370374</v>
      </c>
      <c r="B922" s="195">
        <v>2053</v>
      </c>
      <c r="C922" s="194"/>
      <c r="D922" s="194"/>
      <c r="E922" s="198"/>
      <c r="G922" s="202"/>
      <c r="J922" s="195">
        <v>3</v>
      </c>
      <c r="K922" s="204" t="s">
        <v>1595</v>
      </c>
      <c r="L922" s="199">
        <v>2</v>
      </c>
      <c r="M922" s="200">
        <v>1.3</v>
      </c>
      <c r="N922" s="201">
        <v>35</v>
      </c>
    </row>
    <row r="923" spans="1:14">
      <c r="A923" s="194">
        <v>41287.785787037035</v>
      </c>
      <c r="B923" s="195">
        <v>2053</v>
      </c>
      <c r="C923" s="194"/>
      <c r="D923" s="194"/>
      <c r="E923" s="198"/>
      <c r="G923" s="202"/>
      <c r="J923" s="195">
        <v>3</v>
      </c>
      <c r="K923" s="204" t="s">
        <v>1595</v>
      </c>
      <c r="L923" s="199">
        <v>2</v>
      </c>
      <c r="M923" s="200">
        <v>0.6</v>
      </c>
      <c r="N923" s="201">
        <v>37</v>
      </c>
    </row>
    <row r="924" spans="1:14">
      <c r="A924" s="194">
        <v>41300.015694444446</v>
      </c>
      <c r="B924" s="195">
        <v>2053</v>
      </c>
      <c r="C924" s="194"/>
      <c r="D924" s="194"/>
      <c r="E924" s="198"/>
      <c r="G924" s="202"/>
      <c r="J924" s="195">
        <v>7</v>
      </c>
      <c r="K924" s="204" t="s">
        <v>30</v>
      </c>
      <c r="L924" s="199">
        <v>1</v>
      </c>
      <c r="M924" s="200">
        <v>0.9</v>
      </c>
      <c r="N924" s="201">
        <v>23</v>
      </c>
    </row>
    <row r="925" spans="1:14">
      <c r="A925" s="194">
        <v>41293.660196759258</v>
      </c>
      <c r="B925" s="195">
        <v>2053</v>
      </c>
      <c r="C925" s="194"/>
      <c r="D925" s="194"/>
      <c r="E925" s="198"/>
      <c r="G925" s="202"/>
      <c r="J925" s="195">
        <v>7</v>
      </c>
      <c r="K925" s="204" t="s">
        <v>30</v>
      </c>
      <c r="L925" s="199">
        <v>1</v>
      </c>
      <c r="M925" s="200">
        <v>4.5999999999999996</v>
      </c>
      <c r="N925" s="201">
        <v>27</v>
      </c>
    </row>
    <row r="926" spans="1:14">
      <c r="A926" s="194">
        <v>41287.667719907404</v>
      </c>
      <c r="B926" s="195">
        <v>2053</v>
      </c>
      <c r="C926" s="194"/>
      <c r="D926" s="194"/>
      <c r="E926" s="198"/>
      <c r="G926" s="202"/>
      <c r="J926" s="195">
        <v>7</v>
      </c>
      <c r="K926" s="204" t="s">
        <v>30</v>
      </c>
      <c r="L926" s="199">
        <v>1</v>
      </c>
      <c r="M926" s="200">
        <v>1.5</v>
      </c>
      <c r="N926" s="201">
        <v>32</v>
      </c>
    </row>
    <row r="927" spans="1:14">
      <c r="A927" s="194">
        <v>41276.779490740744</v>
      </c>
      <c r="B927" s="195">
        <v>2053</v>
      </c>
      <c r="C927" s="194"/>
      <c r="D927" s="194"/>
      <c r="E927" s="198"/>
      <c r="G927" s="202"/>
      <c r="J927" s="195">
        <v>7</v>
      </c>
      <c r="K927" s="204" t="s">
        <v>30</v>
      </c>
      <c r="L927" s="199">
        <v>1</v>
      </c>
      <c r="M927" s="200">
        <v>0.5</v>
      </c>
      <c r="N927" s="201">
        <v>34</v>
      </c>
    </row>
    <row r="928" spans="1:14">
      <c r="A928" s="194">
        <v>41293.660162037035</v>
      </c>
      <c r="B928" s="195">
        <v>2053</v>
      </c>
      <c r="C928" s="194"/>
      <c r="D928" s="194"/>
      <c r="E928" s="196" t="s">
        <v>2048</v>
      </c>
      <c r="G928" s="202"/>
      <c r="J928" s="195">
        <v>7</v>
      </c>
      <c r="K928" s="204" t="s">
        <v>30</v>
      </c>
      <c r="L928" s="199">
        <v>2</v>
      </c>
      <c r="M928" s="200">
        <v>1.5</v>
      </c>
      <c r="N928" s="201">
        <v>40</v>
      </c>
    </row>
    <row r="929" spans="1:14">
      <c r="A929" s="194">
        <v>41298.487210648149</v>
      </c>
      <c r="B929" s="195">
        <v>2053</v>
      </c>
      <c r="C929" s="194"/>
      <c r="D929" s="194"/>
      <c r="E929" s="198"/>
      <c r="G929" s="202"/>
      <c r="J929" s="195">
        <v>10</v>
      </c>
      <c r="K929" s="204" t="s">
        <v>31</v>
      </c>
      <c r="L929" s="199">
        <v>1</v>
      </c>
      <c r="M929" s="200">
        <v>0.4</v>
      </c>
      <c r="N929" s="201">
        <v>23</v>
      </c>
    </row>
    <row r="930" spans="1:14">
      <c r="A930" s="194">
        <v>41286.667025462964</v>
      </c>
      <c r="B930" s="195">
        <v>2053</v>
      </c>
      <c r="C930" s="194"/>
      <c r="D930" s="194"/>
      <c r="E930" s="198"/>
      <c r="G930" s="202"/>
      <c r="J930" s="195">
        <v>10</v>
      </c>
      <c r="K930" s="204" t="s">
        <v>31</v>
      </c>
      <c r="L930" s="199">
        <v>1</v>
      </c>
      <c r="M930" s="200">
        <v>0.4</v>
      </c>
      <c r="N930" s="201">
        <v>29</v>
      </c>
    </row>
    <row r="931" spans="1:14">
      <c r="A931" s="194">
        <v>41280.582974537036</v>
      </c>
      <c r="B931" s="195">
        <v>2053</v>
      </c>
      <c r="C931" s="194"/>
      <c r="D931" s="194"/>
      <c r="E931" s="198"/>
      <c r="G931" s="202"/>
      <c r="J931" s="195">
        <v>10</v>
      </c>
      <c r="K931" s="204" t="s">
        <v>31</v>
      </c>
      <c r="L931" s="199">
        <v>2</v>
      </c>
      <c r="M931" s="200">
        <v>1.6</v>
      </c>
      <c r="N931" s="201">
        <v>37</v>
      </c>
    </row>
    <row r="932" spans="1:14">
      <c r="A932" s="194">
        <v>41278.390451388892</v>
      </c>
      <c r="B932" s="195">
        <v>2053</v>
      </c>
      <c r="C932" s="194"/>
      <c r="D932" s="194"/>
      <c r="E932" s="198"/>
      <c r="G932" s="202"/>
      <c r="J932" s="195">
        <v>11</v>
      </c>
      <c r="K932" s="204" t="s">
        <v>1</v>
      </c>
      <c r="L932" s="199">
        <v>1</v>
      </c>
      <c r="M932" s="200">
        <v>0.5</v>
      </c>
      <c r="N932" s="201">
        <v>16</v>
      </c>
    </row>
    <row r="933" spans="1:14">
      <c r="A933" s="194">
        <v>41304.579606481479</v>
      </c>
      <c r="B933" s="195">
        <v>2053</v>
      </c>
      <c r="C933" s="194"/>
      <c r="D933" s="194"/>
      <c r="E933" s="198"/>
      <c r="G933" s="202"/>
      <c r="J933" s="195">
        <v>11</v>
      </c>
      <c r="K933" s="204" t="s">
        <v>1</v>
      </c>
      <c r="L933" s="199">
        <v>1</v>
      </c>
      <c r="M933" s="200">
        <v>0.6</v>
      </c>
      <c r="N933" s="201">
        <v>16</v>
      </c>
    </row>
    <row r="934" spans="1:14">
      <c r="A934" s="194">
        <v>41305.452523148146</v>
      </c>
      <c r="B934" s="195">
        <v>2053</v>
      </c>
      <c r="C934" s="194"/>
      <c r="D934" s="194"/>
      <c r="E934" s="198"/>
      <c r="G934" s="202"/>
      <c r="J934" s="195">
        <v>11</v>
      </c>
      <c r="K934" s="204" t="s">
        <v>1</v>
      </c>
      <c r="L934" s="199">
        <v>2</v>
      </c>
      <c r="M934" s="200">
        <v>1.8</v>
      </c>
      <c r="N934" s="201">
        <v>23</v>
      </c>
    </row>
    <row r="935" spans="1:14">
      <c r="A935" s="194">
        <v>41290.558715277781</v>
      </c>
      <c r="B935" s="195">
        <v>2053</v>
      </c>
      <c r="C935" s="194"/>
      <c r="D935" s="194"/>
      <c r="E935" s="198"/>
      <c r="G935" s="202"/>
      <c r="J935" s="195">
        <v>11</v>
      </c>
      <c r="K935" s="204" t="s">
        <v>1</v>
      </c>
      <c r="L935" s="199">
        <v>2</v>
      </c>
      <c r="M935" s="200">
        <v>0.3</v>
      </c>
      <c r="N935" s="201">
        <v>24</v>
      </c>
    </row>
    <row r="936" spans="1:14">
      <c r="A936" s="194">
        <v>41285.905914351853</v>
      </c>
      <c r="B936" s="195">
        <v>2053</v>
      </c>
      <c r="C936" s="194"/>
      <c r="D936" s="194"/>
      <c r="E936" s="198"/>
      <c r="G936" s="202"/>
      <c r="J936" s="195">
        <v>11</v>
      </c>
      <c r="K936" s="204" t="s">
        <v>1</v>
      </c>
      <c r="L936" s="199">
        <v>1</v>
      </c>
      <c r="M936" s="200">
        <v>0.4</v>
      </c>
      <c r="N936" s="201">
        <v>28</v>
      </c>
    </row>
    <row r="937" spans="1:14">
      <c r="A937" s="194">
        <v>41277.378611111111</v>
      </c>
      <c r="B937" s="195">
        <v>2053</v>
      </c>
      <c r="C937" s="194"/>
      <c r="D937" s="194"/>
      <c r="E937" s="196" t="s">
        <v>1655</v>
      </c>
      <c r="G937" s="202"/>
      <c r="J937" s="195">
        <v>11</v>
      </c>
      <c r="K937" s="204" t="s">
        <v>1</v>
      </c>
      <c r="L937" s="199">
        <v>1</v>
      </c>
      <c r="M937" s="200">
        <v>0.4</v>
      </c>
      <c r="N937" s="201">
        <v>29</v>
      </c>
    </row>
    <row r="938" spans="1:14">
      <c r="A938" s="194">
        <v>41278.820497685185</v>
      </c>
      <c r="B938" s="195">
        <v>2053</v>
      </c>
      <c r="C938" s="194"/>
      <c r="D938" s="194"/>
      <c r="E938" s="198"/>
      <c r="G938" s="202"/>
      <c r="J938" s="195">
        <v>11</v>
      </c>
      <c r="K938" s="204" t="s">
        <v>1</v>
      </c>
      <c r="L938" s="199">
        <v>1</v>
      </c>
      <c r="M938" s="200">
        <v>0.8</v>
      </c>
      <c r="N938" s="201">
        <v>29</v>
      </c>
    </row>
    <row r="939" spans="1:14">
      <c r="A939" s="194">
        <v>41294.840590277781</v>
      </c>
      <c r="B939" s="195">
        <v>2053</v>
      </c>
      <c r="C939" s="194"/>
      <c r="D939" s="194"/>
      <c r="E939" s="198"/>
      <c r="G939" s="202"/>
      <c r="J939" s="195">
        <v>11</v>
      </c>
      <c r="K939" s="204" t="s">
        <v>1</v>
      </c>
      <c r="L939" s="199">
        <v>2</v>
      </c>
      <c r="M939" s="200">
        <v>0.3</v>
      </c>
      <c r="N939" s="201">
        <v>31</v>
      </c>
    </row>
    <row r="940" spans="1:14">
      <c r="A940" s="194">
        <v>41279.65729166667</v>
      </c>
      <c r="B940" s="195">
        <v>2053</v>
      </c>
      <c r="C940" s="194"/>
      <c r="D940" s="194"/>
      <c r="E940" s="198"/>
      <c r="G940" s="202"/>
      <c r="J940" s="195">
        <v>11</v>
      </c>
      <c r="K940" s="204" t="s">
        <v>1</v>
      </c>
      <c r="L940" s="199">
        <v>2</v>
      </c>
      <c r="M940" s="200">
        <v>0.6</v>
      </c>
      <c r="N940" s="201">
        <v>31</v>
      </c>
    </row>
    <row r="941" spans="1:14">
      <c r="A941" s="194">
        <v>41288.500405092593</v>
      </c>
      <c r="B941" s="195">
        <v>2053</v>
      </c>
      <c r="C941" s="194"/>
      <c r="D941" s="194"/>
      <c r="E941" s="198"/>
      <c r="G941" s="202"/>
      <c r="J941" s="195">
        <v>11</v>
      </c>
      <c r="K941" s="204" t="s">
        <v>1</v>
      </c>
      <c r="L941" s="199">
        <v>1</v>
      </c>
      <c r="M941" s="200">
        <v>1</v>
      </c>
      <c r="N941" s="201">
        <v>31</v>
      </c>
    </row>
    <row r="942" spans="1:14">
      <c r="A942" s="194">
        <v>41305.624039351853</v>
      </c>
      <c r="B942" s="195">
        <v>2053</v>
      </c>
      <c r="C942" s="194"/>
      <c r="D942" s="194"/>
      <c r="E942" s="198"/>
      <c r="G942" s="202"/>
      <c r="J942" s="195">
        <v>11</v>
      </c>
      <c r="K942" s="204" t="s">
        <v>1</v>
      </c>
      <c r="L942" s="199">
        <v>2</v>
      </c>
      <c r="M942" s="200">
        <v>0.3</v>
      </c>
      <c r="N942" s="201">
        <v>32</v>
      </c>
    </row>
    <row r="943" spans="1:14">
      <c r="A943" s="194">
        <v>41288.489976851852</v>
      </c>
      <c r="B943" s="195">
        <v>2053</v>
      </c>
      <c r="C943" s="194"/>
      <c r="D943" s="194"/>
      <c r="E943" s="196" t="s">
        <v>2043</v>
      </c>
      <c r="G943" s="202"/>
      <c r="J943" s="195">
        <v>11</v>
      </c>
      <c r="K943" s="204" t="s">
        <v>1</v>
      </c>
      <c r="L943" s="199">
        <v>1</v>
      </c>
      <c r="M943" s="200">
        <v>0.4</v>
      </c>
      <c r="N943" s="201">
        <v>32</v>
      </c>
    </row>
    <row r="944" spans="1:14">
      <c r="A944" s="194">
        <v>41295.570590277777</v>
      </c>
      <c r="B944" s="195">
        <v>2053</v>
      </c>
      <c r="C944" s="194"/>
      <c r="D944" s="194"/>
      <c r="E944" s="198"/>
      <c r="G944" s="202"/>
      <c r="J944" s="195">
        <v>11</v>
      </c>
      <c r="K944" s="204" t="s">
        <v>1</v>
      </c>
      <c r="L944" s="199">
        <v>2</v>
      </c>
      <c r="M944" s="200">
        <v>0.6</v>
      </c>
      <c r="N944" s="201">
        <v>32</v>
      </c>
    </row>
    <row r="945" spans="1:14">
      <c r="A945" s="194">
        <v>41300.608749999999</v>
      </c>
      <c r="B945" s="195">
        <v>2053</v>
      </c>
      <c r="C945" s="194"/>
      <c r="D945" s="194"/>
      <c r="E945" s="198"/>
      <c r="G945" s="202"/>
      <c r="J945" s="195">
        <v>11</v>
      </c>
      <c r="K945" s="204" t="s">
        <v>1</v>
      </c>
      <c r="L945" s="199">
        <v>2</v>
      </c>
      <c r="M945" s="200">
        <v>0.3</v>
      </c>
      <c r="N945" s="201">
        <v>33</v>
      </c>
    </row>
    <row r="946" spans="1:14">
      <c r="A946" s="194">
        <v>41283.405011574076</v>
      </c>
      <c r="B946" s="195">
        <v>2053</v>
      </c>
      <c r="C946" s="194"/>
      <c r="D946" s="194"/>
      <c r="E946" s="198"/>
      <c r="G946" s="202"/>
      <c r="J946" s="195">
        <v>11</v>
      </c>
      <c r="K946" s="204" t="s">
        <v>1</v>
      </c>
      <c r="L946" s="199">
        <v>2</v>
      </c>
      <c r="M946" s="200">
        <v>0.3</v>
      </c>
      <c r="N946" s="201">
        <v>34</v>
      </c>
    </row>
    <row r="947" spans="1:14">
      <c r="A947" s="194">
        <v>41283.866273148145</v>
      </c>
      <c r="B947" s="195">
        <v>2053</v>
      </c>
      <c r="C947" s="194"/>
      <c r="D947" s="194"/>
      <c r="E947" s="198"/>
      <c r="G947" s="202"/>
      <c r="J947" s="195">
        <v>11</v>
      </c>
      <c r="K947" s="204" t="s">
        <v>1</v>
      </c>
      <c r="L947" s="199">
        <v>2</v>
      </c>
      <c r="M947" s="200">
        <v>0.3</v>
      </c>
      <c r="N947" s="201">
        <v>35</v>
      </c>
    </row>
    <row r="948" spans="1:14">
      <c r="A948" s="194">
        <v>41295.587256944447</v>
      </c>
      <c r="B948" s="195">
        <v>2053</v>
      </c>
      <c r="C948" s="194"/>
      <c r="D948" s="194"/>
      <c r="E948" s="198"/>
      <c r="G948" s="202"/>
      <c r="J948" s="195">
        <v>11</v>
      </c>
      <c r="K948" s="204" t="s">
        <v>1</v>
      </c>
      <c r="L948" s="199">
        <v>2</v>
      </c>
      <c r="M948" s="200">
        <v>0.8</v>
      </c>
      <c r="N948" s="201">
        <v>35</v>
      </c>
    </row>
    <row r="949" spans="1:14">
      <c r="A949" s="194">
        <v>41301.545555555553</v>
      </c>
      <c r="B949" s="195">
        <v>2053</v>
      </c>
      <c r="C949" s="194"/>
      <c r="D949" s="194"/>
      <c r="E949" s="198"/>
      <c r="G949" s="202"/>
      <c r="J949" s="195">
        <v>11</v>
      </c>
      <c r="K949" s="204" t="s">
        <v>1</v>
      </c>
      <c r="L949" s="199">
        <v>2</v>
      </c>
      <c r="M949" s="200">
        <v>0.4</v>
      </c>
      <c r="N949" s="201">
        <v>36</v>
      </c>
    </row>
    <row r="950" spans="1:14">
      <c r="A950" s="194">
        <v>41305.571261574078</v>
      </c>
      <c r="B950" s="195">
        <v>2053</v>
      </c>
      <c r="C950" s="194"/>
      <c r="D950" s="194"/>
      <c r="E950" s="198"/>
      <c r="G950" s="202"/>
      <c r="J950" s="195">
        <v>11</v>
      </c>
      <c r="K950" s="204" t="s">
        <v>1</v>
      </c>
      <c r="L950" s="199">
        <v>1</v>
      </c>
      <c r="M950" s="200">
        <v>0.5</v>
      </c>
      <c r="N950" s="201">
        <v>36</v>
      </c>
    </row>
    <row r="951" spans="1:14">
      <c r="A951" s="194">
        <v>41305.605995370373</v>
      </c>
      <c r="B951" s="195">
        <v>2053</v>
      </c>
      <c r="C951" s="194"/>
      <c r="D951" s="194"/>
      <c r="E951" s="198"/>
      <c r="G951" s="202"/>
      <c r="J951" s="195">
        <v>11</v>
      </c>
      <c r="K951" s="204" t="s">
        <v>1</v>
      </c>
      <c r="L951" s="199">
        <v>2</v>
      </c>
      <c r="M951" s="200">
        <v>0.6</v>
      </c>
      <c r="N951" s="201">
        <v>36</v>
      </c>
    </row>
    <row r="952" spans="1:14">
      <c r="A952" s="194">
        <v>41292.508020833331</v>
      </c>
      <c r="B952" s="195">
        <v>2053</v>
      </c>
      <c r="C952" s="194"/>
      <c r="D952" s="194"/>
      <c r="E952" s="198"/>
      <c r="G952" s="202"/>
      <c r="J952" s="195">
        <v>11</v>
      </c>
      <c r="K952" s="204" t="s">
        <v>1</v>
      </c>
      <c r="L952" s="199">
        <v>1</v>
      </c>
      <c r="M952" s="200">
        <v>0.3</v>
      </c>
      <c r="N952" s="201">
        <v>37</v>
      </c>
    </row>
    <row r="953" spans="1:14">
      <c r="A953" s="194">
        <v>41301.639328703706</v>
      </c>
      <c r="B953" s="195">
        <v>2053</v>
      </c>
      <c r="C953" s="194"/>
      <c r="D953" s="194"/>
      <c r="E953" s="198"/>
      <c r="G953" s="202"/>
      <c r="J953" s="195">
        <v>11</v>
      </c>
      <c r="K953" s="204" t="s">
        <v>1</v>
      </c>
      <c r="L953" s="199">
        <v>1</v>
      </c>
      <c r="M953" s="200">
        <v>0.4</v>
      </c>
      <c r="N953" s="201">
        <v>39</v>
      </c>
    </row>
    <row r="954" spans="1:14">
      <c r="A954" s="194">
        <v>41287.789953703701</v>
      </c>
      <c r="B954" s="195">
        <v>2053</v>
      </c>
      <c r="C954" s="194"/>
      <c r="D954" s="194"/>
      <c r="E954" s="198"/>
      <c r="G954" s="202"/>
      <c r="J954" s="195">
        <v>12</v>
      </c>
      <c r="K954" s="204" t="s">
        <v>7</v>
      </c>
      <c r="L954" s="199">
        <v>3</v>
      </c>
      <c r="M954" s="200">
        <v>1</v>
      </c>
      <c r="N954" s="201">
        <v>18</v>
      </c>
    </row>
    <row r="955" spans="1:14">
      <c r="A955" s="194">
        <v>41281.273784722223</v>
      </c>
      <c r="B955" s="195">
        <v>2053</v>
      </c>
      <c r="C955" s="194"/>
      <c r="D955" s="194"/>
      <c r="E955" s="198"/>
      <c r="G955" s="202"/>
      <c r="J955" s="195">
        <v>12</v>
      </c>
      <c r="K955" s="204" t="s">
        <v>7</v>
      </c>
      <c r="L955" s="199">
        <v>1</v>
      </c>
      <c r="M955" s="200">
        <v>0.4</v>
      </c>
      <c r="N955" s="201">
        <v>25</v>
      </c>
    </row>
    <row r="956" spans="1:14">
      <c r="A956" s="194">
        <v>41297.786493055559</v>
      </c>
      <c r="B956" s="195">
        <v>2053</v>
      </c>
      <c r="C956" s="194"/>
      <c r="D956" s="194"/>
      <c r="E956" s="198"/>
      <c r="G956" s="202"/>
      <c r="J956" s="195">
        <v>12</v>
      </c>
      <c r="K956" s="204" t="s">
        <v>7</v>
      </c>
      <c r="L956" s="199">
        <v>1</v>
      </c>
      <c r="M956" s="200">
        <v>1.8</v>
      </c>
      <c r="N956" s="201">
        <v>25</v>
      </c>
    </row>
    <row r="957" spans="1:14">
      <c r="A957" s="194">
        <v>41275.121805555558</v>
      </c>
      <c r="B957" s="195">
        <v>2053</v>
      </c>
      <c r="C957" s="194"/>
      <c r="D957" s="194"/>
      <c r="E957" s="198"/>
      <c r="G957" s="202"/>
      <c r="J957" s="195">
        <v>12</v>
      </c>
      <c r="K957" s="204" t="s">
        <v>7</v>
      </c>
      <c r="L957" s="199">
        <v>1</v>
      </c>
      <c r="M957" s="200">
        <v>1.2</v>
      </c>
      <c r="N957" s="201">
        <v>29</v>
      </c>
    </row>
    <row r="958" spans="1:14">
      <c r="A958" s="194">
        <v>41276.607245370367</v>
      </c>
      <c r="B958" s="195">
        <v>2053</v>
      </c>
      <c r="C958" s="194"/>
      <c r="D958" s="194"/>
      <c r="E958" s="198"/>
      <c r="G958" s="202"/>
      <c r="J958" s="195">
        <v>12</v>
      </c>
      <c r="K958" s="204" t="s">
        <v>7</v>
      </c>
      <c r="L958" s="199">
        <v>1</v>
      </c>
      <c r="M958" s="200">
        <v>0.5</v>
      </c>
      <c r="N958" s="201">
        <v>31</v>
      </c>
    </row>
    <row r="959" spans="1:14">
      <c r="A959" s="194">
        <v>41294.522604166668</v>
      </c>
      <c r="B959" s="195">
        <v>2053</v>
      </c>
      <c r="C959" s="194"/>
      <c r="D959" s="194"/>
      <c r="E959" s="198"/>
      <c r="G959" s="202"/>
      <c r="J959" s="195">
        <v>12</v>
      </c>
      <c r="K959" s="204" t="s">
        <v>7</v>
      </c>
      <c r="L959" s="199">
        <v>1</v>
      </c>
      <c r="M959" s="200">
        <v>4.7</v>
      </c>
      <c r="N959" s="201">
        <v>34</v>
      </c>
    </row>
    <row r="960" spans="1:14">
      <c r="A960" s="194">
        <v>41281.637499999997</v>
      </c>
      <c r="B960" s="195">
        <v>2053</v>
      </c>
      <c r="C960" s="194"/>
      <c r="D960" s="194"/>
      <c r="E960" s="198"/>
      <c r="G960" s="202"/>
      <c r="J960" s="195">
        <v>13</v>
      </c>
      <c r="K960" s="204" t="s">
        <v>3</v>
      </c>
      <c r="L960" s="199">
        <v>2</v>
      </c>
      <c r="M960" s="200">
        <v>0.8</v>
      </c>
      <c r="N960" s="201">
        <v>21</v>
      </c>
    </row>
    <row r="961" spans="1:14">
      <c r="A961" s="194">
        <v>41302.796180555553</v>
      </c>
      <c r="B961" s="195">
        <v>2053</v>
      </c>
      <c r="C961" s="194"/>
      <c r="D961" s="194"/>
      <c r="E961" s="198"/>
      <c r="G961" s="202"/>
      <c r="J961" s="195">
        <v>14</v>
      </c>
      <c r="K961" s="204" t="s">
        <v>2</v>
      </c>
      <c r="L961" s="199">
        <v>1</v>
      </c>
      <c r="M961" s="200">
        <v>0.5</v>
      </c>
      <c r="N961" s="201">
        <v>23</v>
      </c>
    </row>
    <row r="962" spans="1:14">
      <c r="A962" s="194">
        <v>41301.712268518517</v>
      </c>
      <c r="B962" s="195">
        <v>2053</v>
      </c>
      <c r="C962" s="194"/>
      <c r="D962" s="194"/>
      <c r="E962" s="198"/>
      <c r="G962" s="202"/>
      <c r="J962" s="195">
        <v>14</v>
      </c>
      <c r="K962" s="204" t="s">
        <v>2</v>
      </c>
      <c r="L962" s="199">
        <v>1</v>
      </c>
      <c r="M962" s="200">
        <v>0.3</v>
      </c>
      <c r="N962" s="201">
        <v>38</v>
      </c>
    </row>
    <row r="963" spans="1:14">
      <c r="A963" s="194">
        <v>41277.350277777776</v>
      </c>
      <c r="B963" s="195">
        <v>2053</v>
      </c>
      <c r="C963" s="194"/>
      <c r="D963" s="194"/>
      <c r="E963" s="198"/>
      <c r="G963" s="202"/>
      <c r="J963" s="195">
        <v>15</v>
      </c>
      <c r="K963" s="204" t="s">
        <v>4</v>
      </c>
      <c r="L963" s="199">
        <v>3</v>
      </c>
      <c r="M963" s="200">
        <v>12.4</v>
      </c>
      <c r="N963" s="201">
        <v>0</v>
      </c>
    </row>
    <row r="964" spans="1:14">
      <c r="A964" s="194">
        <v>41304.449745370373</v>
      </c>
      <c r="B964" s="195">
        <v>2053</v>
      </c>
      <c r="C964" s="194"/>
      <c r="D964" s="194"/>
      <c r="E964" s="198"/>
      <c r="G964" s="202"/>
      <c r="J964" s="195">
        <v>15</v>
      </c>
      <c r="K964" s="204" t="s">
        <v>4</v>
      </c>
      <c r="L964" s="199">
        <v>1</v>
      </c>
      <c r="M964" s="200">
        <v>0.5</v>
      </c>
      <c r="N964" s="201">
        <v>18</v>
      </c>
    </row>
    <row r="965" spans="1:14">
      <c r="A965" s="194">
        <v>41280.468402777777</v>
      </c>
      <c r="B965" s="195">
        <v>2053</v>
      </c>
      <c r="C965" s="194"/>
      <c r="D965" s="194"/>
      <c r="E965" s="198"/>
      <c r="G965" s="202"/>
      <c r="J965" s="195">
        <v>15</v>
      </c>
      <c r="K965" s="204" t="s">
        <v>4</v>
      </c>
      <c r="L965" s="199">
        <v>3</v>
      </c>
      <c r="M965" s="200">
        <v>0.4</v>
      </c>
      <c r="N965" s="201">
        <v>23</v>
      </c>
    </row>
    <row r="966" spans="1:14">
      <c r="A966" s="194">
        <v>41299.808749999997</v>
      </c>
      <c r="B966" s="195">
        <v>2053</v>
      </c>
      <c r="C966" s="194"/>
      <c r="D966" s="194"/>
      <c r="E966" s="198"/>
      <c r="G966" s="202"/>
      <c r="J966" s="195">
        <v>15</v>
      </c>
      <c r="K966" s="204" t="s">
        <v>4</v>
      </c>
      <c r="L966" s="199">
        <v>2</v>
      </c>
      <c r="M966" s="200">
        <v>0.3</v>
      </c>
      <c r="N966" s="201">
        <v>30</v>
      </c>
    </row>
    <row r="967" spans="1:14">
      <c r="A967" s="194">
        <v>41289.622627314813</v>
      </c>
      <c r="B967" s="195">
        <v>2053</v>
      </c>
      <c r="C967" s="194"/>
      <c r="D967" s="194"/>
      <c r="E967" s="198"/>
      <c r="G967" s="202"/>
      <c r="J967" s="195">
        <v>15</v>
      </c>
      <c r="K967" s="204" t="s">
        <v>4</v>
      </c>
      <c r="L967" s="199">
        <v>1</v>
      </c>
      <c r="M967" s="200">
        <v>0.3</v>
      </c>
      <c r="N967" s="201">
        <v>31</v>
      </c>
    </row>
    <row r="968" spans="1:14">
      <c r="A968" s="194">
        <v>41290.79482638889</v>
      </c>
      <c r="B968" s="195">
        <v>2053</v>
      </c>
      <c r="C968" s="194"/>
      <c r="D968" s="194"/>
      <c r="E968" s="198"/>
      <c r="G968" s="202"/>
      <c r="J968" s="195">
        <v>15</v>
      </c>
      <c r="K968" s="204" t="s">
        <v>4</v>
      </c>
      <c r="L968" s="199">
        <v>1</v>
      </c>
      <c r="M968" s="200">
        <v>0.4</v>
      </c>
      <c r="N968" s="201">
        <v>31</v>
      </c>
    </row>
    <row r="969" spans="1:14">
      <c r="A969" s="194">
        <v>41297.631712962961</v>
      </c>
      <c r="B969" s="195">
        <v>2053</v>
      </c>
      <c r="C969" s="194"/>
      <c r="D969" s="194"/>
      <c r="E969" s="198"/>
      <c r="G969" s="202"/>
      <c r="J969" s="195">
        <v>15</v>
      </c>
      <c r="K969" s="204" t="s">
        <v>4</v>
      </c>
      <c r="L969" s="199">
        <v>1</v>
      </c>
      <c r="M969" s="200">
        <v>34.4</v>
      </c>
      <c r="N969" s="201">
        <v>40</v>
      </c>
    </row>
    <row r="970" spans="1:14">
      <c r="A970" s="194">
        <v>41278.122812499998</v>
      </c>
      <c r="B970" s="195">
        <v>2053</v>
      </c>
      <c r="C970" s="194"/>
      <c r="D970" s="194"/>
      <c r="E970" s="198"/>
      <c r="G970" s="202"/>
      <c r="J970" s="195">
        <v>17</v>
      </c>
      <c r="K970" s="204" t="s">
        <v>11</v>
      </c>
      <c r="L970" s="199">
        <v>1</v>
      </c>
      <c r="M970" s="200">
        <v>20.5</v>
      </c>
      <c r="N970" s="201">
        <v>0</v>
      </c>
    </row>
    <row r="971" spans="1:14">
      <c r="A971" s="194">
        <v>41302.912442129629</v>
      </c>
      <c r="B971" s="195">
        <v>2053</v>
      </c>
      <c r="C971" s="194"/>
      <c r="D971" s="194"/>
      <c r="E971" s="198"/>
      <c r="G971" s="202"/>
      <c r="J971" s="195">
        <v>17</v>
      </c>
      <c r="K971" s="204" t="s">
        <v>11</v>
      </c>
      <c r="L971" s="199">
        <v>1</v>
      </c>
      <c r="M971" s="200">
        <v>27.9</v>
      </c>
      <c r="N971" s="201">
        <v>0</v>
      </c>
    </row>
    <row r="972" spans="1:14">
      <c r="A972" s="194">
        <v>41275.131261574075</v>
      </c>
      <c r="B972" s="195">
        <v>2053</v>
      </c>
      <c r="C972" s="194"/>
      <c r="D972" s="194"/>
      <c r="E972" s="198"/>
      <c r="G972" s="202"/>
      <c r="J972" s="195">
        <v>17</v>
      </c>
      <c r="K972" s="204" t="s">
        <v>11</v>
      </c>
      <c r="L972" s="199">
        <v>3</v>
      </c>
      <c r="M972" s="200">
        <v>33.4</v>
      </c>
      <c r="N972" s="201">
        <v>0</v>
      </c>
    </row>
    <row r="973" spans="1:14">
      <c r="A973" s="194">
        <v>41295.55878472222</v>
      </c>
      <c r="B973" s="195">
        <v>2053</v>
      </c>
      <c r="C973" s="194"/>
      <c r="D973" s="194"/>
      <c r="E973" s="198"/>
      <c r="G973" s="202"/>
      <c r="J973" s="195">
        <v>17</v>
      </c>
      <c r="K973" s="204" t="s">
        <v>11</v>
      </c>
      <c r="L973" s="199">
        <v>1</v>
      </c>
      <c r="M973" s="200">
        <v>0.5</v>
      </c>
      <c r="N973" s="201">
        <v>16</v>
      </c>
    </row>
    <row r="974" spans="1:14">
      <c r="A974" s="194">
        <v>41286.133263888885</v>
      </c>
      <c r="B974" s="195">
        <v>2053</v>
      </c>
      <c r="C974" s="194"/>
      <c r="D974" s="194"/>
      <c r="E974" s="198"/>
      <c r="G974" s="202"/>
      <c r="J974" s="195">
        <v>17</v>
      </c>
      <c r="K974" s="204" t="s">
        <v>11</v>
      </c>
      <c r="L974" s="199">
        <v>3</v>
      </c>
      <c r="M974" s="200">
        <v>23.6</v>
      </c>
      <c r="N974" s="201">
        <v>16</v>
      </c>
    </row>
    <row r="975" spans="1:14">
      <c r="A975" s="194">
        <v>41289.003148148149</v>
      </c>
      <c r="B975" s="195">
        <v>2053</v>
      </c>
      <c r="C975" s="194"/>
      <c r="D975" s="194"/>
      <c r="E975" s="198"/>
      <c r="G975" s="202"/>
      <c r="J975" s="195">
        <v>17</v>
      </c>
      <c r="K975" s="204" t="s">
        <v>11</v>
      </c>
      <c r="L975" s="199">
        <v>2</v>
      </c>
      <c r="M975" s="200">
        <v>1</v>
      </c>
      <c r="N975" s="201">
        <v>18</v>
      </c>
    </row>
    <row r="976" spans="1:14">
      <c r="A976" s="194">
        <v>41304.684861111113</v>
      </c>
      <c r="B976" s="195">
        <v>2053</v>
      </c>
      <c r="C976" s="194"/>
      <c r="D976" s="194"/>
      <c r="E976" s="198"/>
      <c r="G976" s="202"/>
      <c r="J976" s="195">
        <v>17</v>
      </c>
      <c r="K976" s="204" t="s">
        <v>11</v>
      </c>
      <c r="L976" s="199">
        <v>3</v>
      </c>
      <c r="M976" s="200">
        <v>1.1000000000000001</v>
      </c>
      <c r="N976" s="201">
        <v>18</v>
      </c>
    </row>
    <row r="977" spans="1:14">
      <c r="A977" s="194">
        <v>41291.463622685187</v>
      </c>
      <c r="B977" s="195">
        <v>2053</v>
      </c>
      <c r="C977" s="194"/>
      <c r="D977" s="194"/>
      <c r="E977" s="198"/>
      <c r="G977" s="202"/>
      <c r="J977" s="195">
        <v>17</v>
      </c>
      <c r="K977" s="204" t="s">
        <v>11</v>
      </c>
      <c r="L977" s="199">
        <v>2</v>
      </c>
      <c r="M977" s="200">
        <v>1.9</v>
      </c>
      <c r="N977" s="201">
        <v>18</v>
      </c>
    </row>
    <row r="978" spans="1:14">
      <c r="A978" s="194">
        <v>41287.035277777781</v>
      </c>
      <c r="B978" s="195">
        <v>2053</v>
      </c>
      <c r="C978" s="194"/>
      <c r="D978" s="194"/>
      <c r="E978" s="198"/>
      <c r="G978" s="202"/>
      <c r="J978" s="195">
        <v>17</v>
      </c>
      <c r="K978" s="204" t="s">
        <v>11</v>
      </c>
      <c r="L978" s="199">
        <v>1</v>
      </c>
      <c r="M978" s="200">
        <v>14.6</v>
      </c>
      <c r="N978" s="201">
        <v>19</v>
      </c>
    </row>
    <row r="979" spans="1:14">
      <c r="A979" s="194">
        <v>41279.86519675926</v>
      </c>
      <c r="B979" s="195">
        <v>2053</v>
      </c>
      <c r="C979" s="194"/>
      <c r="D979" s="194"/>
      <c r="E979" s="198"/>
      <c r="G979" s="202"/>
      <c r="J979" s="195">
        <v>17</v>
      </c>
      <c r="K979" s="204" t="s">
        <v>11</v>
      </c>
      <c r="L979" s="199">
        <v>3</v>
      </c>
      <c r="M979" s="200">
        <v>23.1</v>
      </c>
      <c r="N979" s="201">
        <v>19</v>
      </c>
    </row>
    <row r="980" spans="1:14">
      <c r="A980" s="194">
        <v>41305.6878125</v>
      </c>
      <c r="B980" s="195">
        <v>2053</v>
      </c>
      <c r="C980" s="194"/>
      <c r="D980" s="194"/>
      <c r="E980" s="198"/>
      <c r="G980" s="202"/>
      <c r="J980" s="195">
        <v>17</v>
      </c>
      <c r="K980" s="204" t="s">
        <v>11</v>
      </c>
      <c r="L980" s="199">
        <v>2</v>
      </c>
      <c r="M980" s="200">
        <v>16.399999999999999</v>
      </c>
      <c r="N980" s="201">
        <v>20</v>
      </c>
    </row>
    <row r="981" spans="1:14">
      <c r="A981" s="194">
        <v>41299.371874999997</v>
      </c>
      <c r="B981" s="195">
        <v>2053</v>
      </c>
      <c r="C981" s="194"/>
      <c r="D981" s="194"/>
      <c r="E981" s="198"/>
      <c r="G981" s="202"/>
      <c r="J981" s="195">
        <v>17</v>
      </c>
      <c r="K981" s="204" t="s">
        <v>11</v>
      </c>
      <c r="L981" s="199">
        <v>1</v>
      </c>
      <c r="M981" s="200">
        <v>10.3</v>
      </c>
      <c r="N981" s="201">
        <v>21</v>
      </c>
    </row>
    <row r="982" spans="1:14">
      <c r="A982" s="194">
        <v>41276.67527777778</v>
      </c>
      <c r="B982" s="195">
        <v>2053</v>
      </c>
      <c r="C982" s="194"/>
      <c r="D982" s="194"/>
      <c r="E982" s="198"/>
      <c r="G982" s="202"/>
      <c r="J982" s="195">
        <v>17</v>
      </c>
      <c r="K982" s="204" t="s">
        <v>11</v>
      </c>
      <c r="L982" s="199">
        <v>2</v>
      </c>
      <c r="M982" s="200">
        <v>24.8</v>
      </c>
      <c r="N982" s="201">
        <v>21</v>
      </c>
    </row>
    <row r="983" spans="1:14">
      <c r="A983" s="194">
        <v>41300.063113425924</v>
      </c>
      <c r="B983" s="195">
        <v>2053</v>
      </c>
      <c r="C983" s="194"/>
      <c r="D983" s="194"/>
      <c r="E983" s="198"/>
      <c r="G983" s="202"/>
      <c r="J983" s="195">
        <v>17</v>
      </c>
      <c r="K983" s="204" t="s">
        <v>11</v>
      </c>
      <c r="L983" s="199">
        <v>1</v>
      </c>
      <c r="M983" s="200">
        <v>19</v>
      </c>
      <c r="N983" s="201">
        <v>22</v>
      </c>
    </row>
    <row r="984" spans="1:14">
      <c r="A984" s="194">
        <v>41296.661469907405</v>
      </c>
      <c r="B984" s="195">
        <v>2053</v>
      </c>
      <c r="C984" s="194"/>
      <c r="D984" s="194"/>
      <c r="E984" s="198"/>
      <c r="G984" s="202"/>
      <c r="J984" s="195">
        <v>17</v>
      </c>
      <c r="K984" s="204" t="s">
        <v>11</v>
      </c>
      <c r="L984" s="199">
        <v>3</v>
      </c>
      <c r="M984" s="200">
        <v>24.5</v>
      </c>
      <c r="N984" s="201">
        <v>38</v>
      </c>
    </row>
    <row r="985" spans="1:14">
      <c r="A985" s="194">
        <v>41278.200509259259</v>
      </c>
      <c r="B985" s="195">
        <v>2053</v>
      </c>
      <c r="C985" s="194"/>
      <c r="D985" s="194"/>
      <c r="E985" s="198"/>
      <c r="G985" s="202"/>
      <c r="J985" s="195">
        <v>18</v>
      </c>
      <c r="K985" s="204" t="s">
        <v>5</v>
      </c>
      <c r="L985" s="199">
        <v>2</v>
      </c>
      <c r="M985" s="200">
        <v>14.4</v>
      </c>
      <c r="N985" s="201">
        <v>16</v>
      </c>
    </row>
    <row r="986" spans="1:14">
      <c r="A986" s="194">
        <v>41301.418495370373</v>
      </c>
      <c r="B986" s="195">
        <v>2053</v>
      </c>
      <c r="C986" s="194"/>
      <c r="D986" s="194"/>
      <c r="E986" s="198"/>
      <c r="G986" s="202"/>
      <c r="J986" s="195">
        <v>18</v>
      </c>
      <c r="K986" s="204" t="s">
        <v>5</v>
      </c>
      <c r="L986" s="199">
        <v>2</v>
      </c>
      <c r="M986" s="200">
        <v>2</v>
      </c>
      <c r="N986" s="201">
        <v>17</v>
      </c>
    </row>
    <row r="987" spans="1:14">
      <c r="A987" s="194">
        <v>41303.883287037039</v>
      </c>
      <c r="B987" s="195">
        <v>2053</v>
      </c>
      <c r="C987" s="194"/>
      <c r="D987" s="194"/>
      <c r="E987" s="198"/>
      <c r="G987" s="202"/>
      <c r="J987" s="195">
        <v>18</v>
      </c>
      <c r="K987" s="204" t="s">
        <v>5</v>
      </c>
      <c r="L987" s="199">
        <v>3</v>
      </c>
      <c r="M987" s="200">
        <v>17.399999999999999</v>
      </c>
      <c r="N987" s="201">
        <v>17</v>
      </c>
    </row>
    <row r="988" spans="1:14">
      <c r="A988" s="194">
        <v>41278.524016203701</v>
      </c>
      <c r="B988" s="195">
        <v>2053</v>
      </c>
      <c r="C988" s="194"/>
      <c r="D988" s="194"/>
      <c r="E988" s="198"/>
      <c r="G988" s="202"/>
      <c r="J988" s="195">
        <v>18</v>
      </c>
      <c r="K988" s="204" t="s">
        <v>5</v>
      </c>
      <c r="L988" s="199">
        <v>3</v>
      </c>
      <c r="M988" s="200">
        <v>2.4</v>
      </c>
      <c r="N988" s="201">
        <v>19</v>
      </c>
    </row>
    <row r="989" spans="1:14">
      <c r="A989" s="194">
        <v>41289.147662037038</v>
      </c>
      <c r="B989" s="195">
        <v>2053</v>
      </c>
      <c r="C989" s="194"/>
      <c r="D989" s="194"/>
      <c r="E989" s="198"/>
      <c r="G989" s="202"/>
      <c r="J989" s="195">
        <v>18</v>
      </c>
      <c r="K989" s="204" t="s">
        <v>5</v>
      </c>
      <c r="L989" s="199">
        <v>2</v>
      </c>
      <c r="M989" s="200">
        <v>5.8</v>
      </c>
      <c r="N989" s="201">
        <v>19</v>
      </c>
    </row>
    <row r="990" spans="1:14">
      <c r="A990" s="194">
        <v>41285.213912037034</v>
      </c>
      <c r="B990" s="195">
        <v>2053</v>
      </c>
      <c r="C990" s="194"/>
      <c r="D990" s="194"/>
      <c r="E990" s="198"/>
      <c r="G990" s="202"/>
      <c r="J990" s="195">
        <v>18</v>
      </c>
      <c r="K990" s="204" t="s">
        <v>5</v>
      </c>
      <c r="L990" s="199">
        <v>2</v>
      </c>
      <c r="M990" s="200">
        <v>29.6</v>
      </c>
      <c r="N990" s="201">
        <v>19</v>
      </c>
    </row>
    <row r="991" spans="1:14">
      <c r="A991" s="194">
        <v>41302.485821759263</v>
      </c>
      <c r="B991" s="195">
        <v>2053</v>
      </c>
      <c r="C991" s="194"/>
      <c r="D991" s="194"/>
      <c r="E991" s="198"/>
      <c r="G991" s="202"/>
      <c r="J991" s="195">
        <v>18</v>
      </c>
      <c r="K991" s="204" t="s">
        <v>5</v>
      </c>
      <c r="L991" s="199">
        <v>2</v>
      </c>
      <c r="M991" s="200">
        <v>4.2</v>
      </c>
      <c r="N991" s="201">
        <v>21</v>
      </c>
    </row>
    <row r="992" spans="1:14">
      <c r="A992" s="194">
        <v>41285.616331018522</v>
      </c>
      <c r="B992" s="195">
        <v>2053</v>
      </c>
      <c r="C992" s="194"/>
      <c r="D992" s="194"/>
      <c r="E992" s="198"/>
      <c r="G992" s="202"/>
      <c r="J992" s="195">
        <v>18</v>
      </c>
      <c r="K992" s="204" t="s">
        <v>5</v>
      </c>
      <c r="L992" s="199">
        <v>3</v>
      </c>
      <c r="M992" s="200">
        <v>0.5</v>
      </c>
      <c r="N992" s="201">
        <v>33</v>
      </c>
    </row>
    <row r="993" spans="1:14">
      <c r="A993" s="194">
        <v>41275.804513888892</v>
      </c>
      <c r="B993" s="195">
        <v>2053</v>
      </c>
      <c r="C993" s="194"/>
      <c r="D993" s="194"/>
      <c r="E993" s="198"/>
      <c r="G993" s="202"/>
      <c r="J993" s="195">
        <v>18</v>
      </c>
      <c r="K993" s="204" t="s">
        <v>5</v>
      </c>
      <c r="L993" s="199">
        <v>1</v>
      </c>
      <c r="M993" s="200">
        <v>0.5</v>
      </c>
      <c r="N993" s="201">
        <v>41</v>
      </c>
    </row>
    <row r="994" spans="1:14">
      <c r="A994" s="194">
        <v>41296.948263888888</v>
      </c>
      <c r="B994" s="195">
        <v>2053</v>
      </c>
      <c r="C994" s="194"/>
      <c r="D994" s="194"/>
      <c r="E994" s="196" t="s">
        <v>1982</v>
      </c>
      <c r="G994" s="202"/>
      <c r="J994" s="195">
        <v>24</v>
      </c>
      <c r="K994" s="204" t="s">
        <v>25</v>
      </c>
      <c r="L994" s="199">
        <v>1</v>
      </c>
      <c r="M994" s="200">
        <v>0.9</v>
      </c>
      <c r="N994" s="201">
        <v>20</v>
      </c>
    </row>
    <row r="995" spans="1:14">
      <c r="A995" s="194">
        <v>41278.809386574074</v>
      </c>
      <c r="B995" s="195">
        <v>2053</v>
      </c>
      <c r="C995" s="194"/>
      <c r="D995" s="194"/>
      <c r="E995" s="196" t="s">
        <v>1886</v>
      </c>
      <c r="G995" s="202"/>
      <c r="J995" s="195">
        <v>24</v>
      </c>
      <c r="K995" s="204" t="s">
        <v>25</v>
      </c>
      <c r="L995" s="199">
        <v>2</v>
      </c>
      <c r="M995" s="200">
        <v>0.6</v>
      </c>
      <c r="N995" s="201">
        <v>25</v>
      </c>
    </row>
    <row r="996" spans="1:14">
      <c r="A996" s="194">
        <v>41300.66847222222</v>
      </c>
      <c r="B996" s="195">
        <v>2053</v>
      </c>
      <c r="C996" s="194"/>
      <c r="D996" s="194"/>
      <c r="E996" s="196" t="s">
        <v>1785</v>
      </c>
      <c r="G996" s="202"/>
      <c r="J996" s="195">
        <v>24</v>
      </c>
      <c r="K996" s="204" t="s">
        <v>25</v>
      </c>
      <c r="L996" s="199">
        <v>3</v>
      </c>
      <c r="M996" s="200">
        <v>0.4</v>
      </c>
      <c r="N996" s="201">
        <v>28</v>
      </c>
    </row>
    <row r="997" spans="1:14">
      <c r="A997" s="194">
        <v>41294.462164351855</v>
      </c>
      <c r="B997" s="195">
        <v>2053</v>
      </c>
      <c r="C997" s="194"/>
      <c r="D997" s="194"/>
      <c r="E997" s="196" t="s">
        <v>1881</v>
      </c>
      <c r="G997" s="202"/>
      <c r="J997" s="195">
        <v>24</v>
      </c>
      <c r="K997" s="204" t="s">
        <v>25</v>
      </c>
      <c r="L997" s="199">
        <v>1</v>
      </c>
      <c r="M997" s="200">
        <v>0.6</v>
      </c>
      <c r="N997" s="201">
        <v>28</v>
      </c>
    </row>
    <row r="998" spans="1:14">
      <c r="A998" s="194">
        <v>41281.50172453704</v>
      </c>
      <c r="B998" s="195">
        <v>2053</v>
      </c>
      <c r="C998" s="194"/>
      <c r="D998" s="194"/>
      <c r="E998" s="196" t="s">
        <v>1995</v>
      </c>
      <c r="G998" s="202"/>
      <c r="J998" s="195">
        <v>24</v>
      </c>
      <c r="K998" s="204" t="s">
        <v>25</v>
      </c>
      <c r="L998" s="199">
        <v>1</v>
      </c>
      <c r="M998" s="200">
        <v>0.5</v>
      </c>
      <c r="N998" s="201">
        <v>30</v>
      </c>
    </row>
    <row r="999" spans="1:14">
      <c r="A999" s="194">
        <v>41287.014282407406</v>
      </c>
      <c r="B999" s="195">
        <v>2053</v>
      </c>
      <c r="C999" s="194"/>
      <c r="D999" s="194"/>
      <c r="E999" s="196" t="s">
        <v>2159</v>
      </c>
      <c r="G999" s="202"/>
      <c r="J999" s="195">
        <v>24</v>
      </c>
      <c r="K999" s="204" t="s">
        <v>25</v>
      </c>
      <c r="L999" s="199">
        <v>3</v>
      </c>
      <c r="M999" s="200">
        <v>0.5</v>
      </c>
      <c r="N999" s="201">
        <v>37</v>
      </c>
    </row>
    <row r="1000" spans="1:14">
      <c r="A1000" s="194">
        <v>41300.654594907406</v>
      </c>
      <c r="B1000" s="195">
        <v>2053</v>
      </c>
      <c r="C1000" s="194"/>
      <c r="D1000" s="194"/>
      <c r="E1000" s="196" t="s">
        <v>1658</v>
      </c>
      <c r="G1000" s="202"/>
      <c r="J1000" s="195">
        <v>24</v>
      </c>
      <c r="K1000" s="204" t="s">
        <v>25</v>
      </c>
      <c r="L1000" s="199">
        <v>3</v>
      </c>
      <c r="M1000" s="200">
        <v>0.7</v>
      </c>
      <c r="N1000" s="201">
        <v>39</v>
      </c>
    </row>
    <row r="1001" spans="1:14">
      <c r="A1001" s="194">
        <v>41287.653124999997</v>
      </c>
      <c r="B1001" s="195">
        <v>2053</v>
      </c>
      <c r="C1001" s="194"/>
      <c r="D1001" s="194"/>
      <c r="E1001" s="196" t="s">
        <v>1851</v>
      </c>
      <c r="G1001" s="202"/>
      <c r="J1001" s="195">
        <v>24</v>
      </c>
      <c r="K1001" s="204" t="s">
        <v>25</v>
      </c>
      <c r="L1001" s="199">
        <v>1</v>
      </c>
      <c r="M1001" s="200">
        <v>0.5</v>
      </c>
      <c r="N1001" s="201">
        <v>41</v>
      </c>
    </row>
    <row r="1002" spans="1:14">
      <c r="A1002" s="194">
        <v>41287.119837962964</v>
      </c>
      <c r="B1002" s="195">
        <v>2053</v>
      </c>
      <c r="C1002" s="194"/>
      <c r="D1002" s="194"/>
      <c r="E1002" s="196" t="s">
        <v>1837</v>
      </c>
      <c r="G1002" s="202"/>
      <c r="J1002" s="195">
        <v>24</v>
      </c>
      <c r="K1002" s="204" t="s">
        <v>25</v>
      </c>
      <c r="L1002" s="199">
        <v>3</v>
      </c>
      <c r="M1002" s="200">
        <v>0.9</v>
      </c>
      <c r="N1002" s="201">
        <v>42</v>
      </c>
    </row>
    <row r="1003" spans="1:14">
      <c r="A1003" s="194">
        <v>41291.9531712963</v>
      </c>
      <c r="B1003" s="195">
        <v>2053</v>
      </c>
      <c r="C1003" s="194"/>
      <c r="D1003" s="194"/>
      <c r="E1003" s="196" t="s">
        <v>2148</v>
      </c>
      <c r="G1003" s="202"/>
      <c r="J1003" s="195">
        <v>24</v>
      </c>
      <c r="K1003" s="204" t="s">
        <v>25</v>
      </c>
      <c r="L1003" s="199">
        <v>2</v>
      </c>
      <c r="M1003" s="200">
        <v>1.7</v>
      </c>
      <c r="N1003" s="201">
        <v>45</v>
      </c>
    </row>
    <row r="1004" spans="1:14">
      <c r="A1004" s="194">
        <v>41297.460833333331</v>
      </c>
      <c r="B1004" s="195">
        <v>2053</v>
      </c>
      <c r="C1004" s="194"/>
      <c r="D1004" s="194"/>
      <c r="E1004" s="196" t="s">
        <v>2003</v>
      </c>
      <c r="G1004" s="202"/>
      <c r="J1004" s="195">
        <v>29</v>
      </c>
      <c r="K1004" s="204" t="s">
        <v>39</v>
      </c>
      <c r="L1004" s="199">
        <v>3</v>
      </c>
      <c r="M1004" s="200">
        <v>1</v>
      </c>
      <c r="N1004" s="201">
        <v>27</v>
      </c>
    </row>
    <row r="1005" spans="1:14">
      <c r="A1005" s="194">
        <v>41297.774664351855</v>
      </c>
      <c r="B1005" s="195">
        <v>2053</v>
      </c>
      <c r="C1005" s="194"/>
      <c r="D1005" s="194"/>
      <c r="E1005" s="196" t="s">
        <v>1917</v>
      </c>
      <c r="G1005" s="202"/>
      <c r="J1005" s="195">
        <v>29</v>
      </c>
      <c r="K1005" s="204" t="s">
        <v>39</v>
      </c>
      <c r="L1005" s="199">
        <v>3</v>
      </c>
      <c r="M1005" s="200">
        <v>0.3</v>
      </c>
      <c r="N1005" s="201">
        <v>29</v>
      </c>
    </row>
    <row r="1006" spans="1:14">
      <c r="A1006" s="194">
        <v>41291.610821759263</v>
      </c>
      <c r="B1006" s="195">
        <v>2053</v>
      </c>
      <c r="C1006" s="194"/>
      <c r="D1006" s="194"/>
      <c r="E1006" s="196" t="s">
        <v>1880</v>
      </c>
      <c r="G1006" s="202"/>
      <c r="J1006" s="195">
        <v>29</v>
      </c>
      <c r="K1006" s="204" t="s">
        <v>39</v>
      </c>
      <c r="L1006" s="199">
        <v>3</v>
      </c>
      <c r="M1006" s="200">
        <v>0.5</v>
      </c>
      <c r="N1006" s="201">
        <v>32</v>
      </c>
    </row>
    <row r="1007" spans="1:14">
      <c r="A1007" s="194">
        <v>41290.483715277776</v>
      </c>
      <c r="B1007" s="195">
        <v>2053</v>
      </c>
      <c r="C1007" s="194"/>
      <c r="D1007" s="194"/>
      <c r="E1007" s="196" t="s">
        <v>1793</v>
      </c>
      <c r="G1007" s="202"/>
      <c r="J1007" s="195">
        <v>29</v>
      </c>
      <c r="K1007" s="204" t="s">
        <v>39</v>
      </c>
      <c r="L1007" s="199">
        <v>2</v>
      </c>
      <c r="M1007" s="200">
        <v>0.5</v>
      </c>
      <c r="N1007" s="201">
        <v>34</v>
      </c>
    </row>
    <row r="1008" spans="1:14">
      <c r="A1008" s="194">
        <v>41300.227476851855</v>
      </c>
      <c r="B1008" s="195">
        <v>2053</v>
      </c>
      <c r="C1008" s="194"/>
      <c r="D1008" s="194"/>
      <c r="E1008" s="196" t="s">
        <v>2166</v>
      </c>
      <c r="G1008" s="202"/>
      <c r="J1008" s="195">
        <v>29</v>
      </c>
      <c r="K1008" s="204" t="s">
        <v>39</v>
      </c>
      <c r="L1008" s="199">
        <v>2</v>
      </c>
      <c r="M1008" s="200">
        <v>0.9</v>
      </c>
      <c r="N1008" s="201">
        <v>34</v>
      </c>
    </row>
    <row r="1009" spans="1:14">
      <c r="A1009" s="194">
        <v>41300.783067129632</v>
      </c>
      <c r="B1009" s="195">
        <v>2053</v>
      </c>
      <c r="C1009" s="194"/>
      <c r="D1009" s="194"/>
      <c r="E1009" s="198"/>
      <c r="G1009" s="202"/>
      <c r="J1009" s="195">
        <v>43</v>
      </c>
      <c r="K1009" s="204" t="s">
        <v>1596</v>
      </c>
      <c r="L1009" s="199">
        <v>1</v>
      </c>
      <c r="M1009" s="200">
        <v>1.1000000000000001</v>
      </c>
      <c r="N1009" s="201">
        <v>16</v>
      </c>
    </row>
    <row r="1010" spans="1:14">
      <c r="A1010" s="194">
        <v>41283.546886574077</v>
      </c>
      <c r="B1010" s="195">
        <v>2053</v>
      </c>
      <c r="C1010" s="194"/>
      <c r="D1010" s="194"/>
      <c r="E1010" s="198"/>
      <c r="G1010" s="202"/>
      <c r="J1010" s="195">
        <v>43</v>
      </c>
      <c r="K1010" s="204" t="s">
        <v>1596</v>
      </c>
      <c r="L1010" s="199">
        <v>3</v>
      </c>
      <c r="M1010" s="200">
        <v>2.1</v>
      </c>
      <c r="N1010" s="201">
        <v>16</v>
      </c>
    </row>
    <row r="1011" spans="1:14">
      <c r="A1011" s="194">
        <v>41286.430914351855</v>
      </c>
      <c r="B1011" s="195">
        <v>2053</v>
      </c>
      <c r="C1011" s="194"/>
      <c r="D1011" s="194"/>
      <c r="E1011" s="198"/>
      <c r="G1011" s="202"/>
      <c r="J1011" s="195">
        <v>43</v>
      </c>
      <c r="K1011" s="204" t="s">
        <v>1596</v>
      </c>
      <c r="L1011" s="199">
        <v>1</v>
      </c>
      <c r="M1011" s="200">
        <v>1</v>
      </c>
      <c r="N1011" s="201">
        <v>17</v>
      </c>
    </row>
    <row r="1012" spans="1:14">
      <c r="A1012" s="194">
        <v>41284.451111111113</v>
      </c>
      <c r="B1012" s="195">
        <v>2053</v>
      </c>
      <c r="C1012" s="194"/>
      <c r="D1012" s="194"/>
      <c r="E1012" s="198"/>
      <c r="G1012" s="202"/>
      <c r="J1012" s="195">
        <v>43</v>
      </c>
      <c r="K1012" s="204" t="s">
        <v>1596</v>
      </c>
      <c r="L1012" s="199">
        <v>1</v>
      </c>
      <c r="M1012" s="200">
        <v>0.6</v>
      </c>
      <c r="N1012" s="201">
        <v>18</v>
      </c>
    </row>
    <row r="1013" spans="1:14">
      <c r="A1013" s="194">
        <v>41280.454513888886</v>
      </c>
      <c r="B1013" s="195">
        <v>2053</v>
      </c>
      <c r="C1013" s="194"/>
      <c r="D1013" s="194"/>
      <c r="E1013" s="198"/>
      <c r="G1013" s="202"/>
      <c r="J1013" s="195">
        <v>43</v>
      </c>
      <c r="K1013" s="204" t="s">
        <v>1596</v>
      </c>
      <c r="L1013" s="199">
        <v>1</v>
      </c>
      <c r="M1013" s="200">
        <v>1.1000000000000001</v>
      </c>
      <c r="N1013" s="201">
        <v>18</v>
      </c>
    </row>
    <row r="1014" spans="1:14">
      <c r="A1014" s="194">
        <v>41285.070532407408</v>
      </c>
      <c r="B1014" s="195">
        <v>2053</v>
      </c>
      <c r="C1014" s="194"/>
      <c r="D1014" s="194"/>
      <c r="E1014" s="198"/>
      <c r="G1014" s="202"/>
      <c r="J1014" s="195">
        <v>43</v>
      </c>
      <c r="K1014" s="204" t="s">
        <v>1596</v>
      </c>
      <c r="L1014" s="199">
        <v>1</v>
      </c>
      <c r="M1014" s="200">
        <v>0.4</v>
      </c>
      <c r="N1014" s="201">
        <v>42</v>
      </c>
    </row>
    <row r="1015" spans="1:14">
      <c r="A1015" s="194">
        <v>41282.62395833333</v>
      </c>
      <c r="B1015" s="195">
        <v>2053</v>
      </c>
      <c r="C1015" s="194"/>
      <c r="D1015" s="194"/>
      <c r="E1015" s="198"/>
      <c r="G1015" s="202"/>
      <c r="J1015" s="195">
        <v>4400</v>
      </c>
      <c r="K1015" s="204" t="s">
        <v>37</v>
      </c>
      <c r="L1015" s="199">
        <v>1</v>
      </c>
      <c r="M1015" s="200">
        <v>0.8</v>
      </c>
      <c r="N1015" s="201">
        <v>20</v>
      </c>
    </row>
    <row r="1016" spans="1:14">
      <c r="A1016" s="194">
        <v>41277.513495370367</v>
      </c>
      <c r="B1016" s="195">
        <v>2053</v>
      </c>
      <c r="C1016" s="194"/>
      <c r="D1016" s="194"/>
      <c r="E1016" s="198"/>
      <c r="G1016" s="202"/>
      <c r="J1016" s="195">
        <v>4400</v>
      </c>
      <c r="K1016" s="204" t="s">
        <v>37</v>
      </c>
      <c r="L1016" s="199">
        <v>2</v>
      </c>
      <c r="M1016" s="200">
        <v>0.6</v>
      </c>
      <c r="N1016" s="201">
        <v>23</v>
      </c>
    </row>
    <row r="1017" spans="1:14">
      <c r="A1017" s="194">
        <v>41284.421944444446</v>
      </c>
      <c r="B1017" s="195">
        <v>2053</v>
      </c>
      <c r="C1017" s="194"/>
      <c r="D1017" s="194"/>
      <c r="E1017" s="198"/>
      <c r="G1017" s="202"/>
      <c r="J1017" s="195">
        <v>4400</v>
      </c>
      <c r="K1017" s="204" t="s">
        <v>37</v>
      </c>
      <c r="L1017" s="199">
        <v>2</v>
      </c>
      <c r="M1017" s="200">
        <v>0.4</v>
      </c>
      <c r="N1017" s="201">
        <v>24</v>
      </c>
    </row>
    <row r="1018" spans="1:14">
      <c r="A1018" s="194">
        <v>41289.538611111115</v>
      </c>
      <c r="B1018" s="195">
        <v>2053</v>
      </c>
      <c r="C1018" s="194"/>
      <c r="D1018" s="194"/>
      <c r="E1018" s="198"/>
      <c r="G1018" s="202"/>
      <c r="J1018" s="195">
        <v>4400</v>
      </c>
      <c r="K1018" s="204" t="s">
        <v>37</v>
      </c>
      <c r="L1018" s="199">
        <v>2</v>
      </c>
      <c r="M1018" s="200">
        <v>0.4</v>
      </c>
      <c r="N1018" s="201">
        <v>25</v>
      </c>
    </row>
    <row r="1019" spans="1:14">
      <c r="A1019" s="194">
        <v>41284.501793981479</v>
      </c>
      <c r="B1019" s="195">
        <v>2053</v>
      </c>
      <c r="C1019" s="194"/>
      <c r="D1019" s="194"/>
      <c r="E1019" s="198"/>
      <c r="G1019" s="202"/>
      <c r="J1019" s="195">
        <v>4400</v>
      </c>
      <c r="K1019" s="204" t="s">
        <v>37</v>
      </c>
      <c r="L1019" s="199">
        <v>2</v>
      </c>
      <c r="M1019" s="200">
        <v>0.3</v>
      </c>
      <c r="N1019" s="201">
        <v>28</v>
      </c>
    </row>
    <row r="1020" spans="1:14">
      <c r="A1020" s="194">
        <v>41278.857997685183</v>
      </c>
      <c r="B1020" s="195">
        <v>2053</v>
      </c>
      <c r="C1020" s="194"/>
      <c r="D1020" s="194"/>
      <c r="E1020" s="198"/>
      <c r="G1020" s="202"/>
      <c r="J1020" s="195">
        <v>4400</v>
      </c>
      <c r="K1020" s="204" t="s">
        <v>37</v>
      </c>
      <c r="L1020" s="199">
        <v>3</v>
      </c>
      <c r="M1020" s="200">
        <v>0.6</v>
      </c>
      <c r="N1020" s="201">
        <v>28</v>
      </c>
    </row>
    <row r="1021" spans="1:14">
      <c r="A1021" s="194">
        <v>41291.477500000001</v>
      </c>
      <c r="B1021" s="195">
        <v>2053</v>
      </c>
      <c r="C1021" s="194"/>
      <c r="D1021" s="194"/>
      <c r="E1021" s="198"/>
      <c r="G1021" s="202"/>
      <c r="J1021" s="195">
        <v>4400</v>
      </c>
      <c r="K1021" s="204" t="s">
        <v>37</v>
      </c>
      <c r="L1021" s="199">
        <v>2</v>
      </c>
      <c r="M1021" s="200">
        <v>0.5</v>
      </c>
      <c r="N1021" s="201">
        <v>29</v>
      </c>
    </row>
    <row r="1022" spans="1:14">
      <c r="A1022" s="194">
        <v>41283.460752314815</v>
      </c>
      <c r="B1022" s="195">
        <v>2053</v>
      </c>
      <c r="C1022" s="194"/>
      <c r="D1022" s="194"/>
      <c r="E1022" s="198"/>
      <c r="G1022" s="202"/>
      <c r="J1022" s="195">
        <v>4400</v>
      </c>
      <c r="K1022" s="204" t="s">
        <v>37</v>
      </c>
      <c r="L1022" s="199">
        <v>2</v>
      </c>
      <c r="M1022" s="200">
        <v>0.8</v>
      </c>
      <c r="N1022" s="201">
        <v>30</v>
      </c>
    </row>
    <row r="1023" spans="1:14">
      <c r="A1023" s="194">
        <v>41291.508055555554</v>
      </c>
      <c r="B1023" s="195">
        <v>2053</v>
      </c>
      <c r="C1023" s="194"/>
      <c r="D1023" s="194"/>
      <c r="E1023" s="198"/>
      <c r="G1023" s="202"/>
      <c r="J1023" s="195">
        <v>4400</v>
      </c>
      <c r="K1023" s="204" t="s">
        <v>37</v>
      </c>
      <c r="L1023" s="199">
        <v>2</v>
      </c>
      <c r="M1023" s="200">
        <v>0.6</v>
      </c>
      <c r="N1023" s="201">
        <v>32</v>
      </c>
    </row>
    <row r="1024" spans="1:14">
      <c r="A1024" s="194">
        <v>41299.487233796295</v>
      </c>
      <c r="B1024" s="195">
        <v>2053</v>
      </c>
      <c r="C1024" s="194"/>
      <c r="D1024" s="194"/>
      <c r="E1024" s="198"/>
      <c r="G1024" s="202"/>
      <c r="J1024" s="195">
        <v>4400</v>
      </c>
      <c r="K1024" s="204" t="s">
        <v>37</v>
      </c>
      <c r="L1024" s="199">
        <v>2</v>
      </c>
      <c r="M1024" s="200">
        <v>0.4</v>
      </c>
      <c r="N1024" s="201">
        <v>33</v>
      </c>
    </row>
    <row r="1025" spans="1:14">
      <c r="A1025" s="194">
        <v>41298.562210648146</v>
      </c>
      <c r="B1025" s="195">
        <v>2053</v>
      </c>
      <c r="C1025" s="194"/>
      <c r="D1025" s="194"/>
      <c r="E1025" s="198"/>
      <c r="G1025" s="202"/>
      <c r="J1025" s="195">
        <v>6100</v>
      </c>
      <c r="K1025" s="204" t="s">
        <v>38</v>
      </c>
      <c r="L1025" s="199">
        <v>1</v>
      </c>
      <c r="M1025" s="200">
        <v>0.4</v>
      </c>
      <c r="N1025" s="201">
        <v>31</v>
      </c>
    </row>
    <row r="1026" spans="1:14">
      <c r="A1026" s="194">
        <v>41305.661944444444</v>
      </c>
      <c r="B1026" s="195">
        <v>2053</v>
      </c>
      <c r="C1026" s="194"/>
      <c r="D1026" s="194"/>
      <c r="E1026" s="198"/>
      <c r="G1026" s="202"/>
      <c r="J1026" s="195">
        <v>7400</v>
      </c>
      <c r="K1026" s="204" t="s">
        <v>35</v>
      </c>
      <c r="L1026" s="199">
        <v>2</v>
      </c>
      <c r="M1026" s="200">
        <v>0.7</v>
      </c>
      <c r="N1026" s="201">
        <v>20</v>
      </c>
    </row>
    <row r="1027" spans="1:14">
      <c r="A1027" s="194">
        <v>41277.034386574072</v>
      </c>
      <c r="B1027" s="195">
        <v>2062</v>
      </c>
      <c r="C1027" s="194"/>
      <c r="D1027" s="194"/>
      <c r="E1027" s="196" t="s">
        <v>230</v>
      </c>
      <c r="F1027" s="195">
        <v>456</v>
      </c>
      <c r="G1027" s="197" t="s">
        <v>141</v>
      </c>
      <c r="H1027" s="197" t="s">
        <v>223</v>
      </c>
      <c r="I1027" s="196" t="s">
        <v>226</v>
      </c>
      <c r="J1027" s="195">
        <v>1</v>
      </c>
      <c r="K1027" s="204" t="s">
        <v>224</v>
      </c>
      <c r="L1027" s="199">
        <v>2</v>
      </c>
      <c r="M1027" s="200">
        <v>0.3</v>
      </c>
      <c r="N1027" s="201">
        <v>19</v>
      </c>
    </row>
    <row r="1028" spans="1:14">
      <c r="A1028" s="194">
        <v>41303.595405092594</v>
      </c>
      <c r="B1028" s="195">
        <v>2062</v>
      </c>
      <c r="C1028" s="194"/>
      <c r="D1028" s="194"/>
      <c r="E1028" s="196" t="s">
        <v>387</v>
      </c>
      <c r="F1028" s="195">
        <v>456</v>
      </c>
      <c r="G1028" s="197" t="s">
        <v>141</v>
      </c>
      <c r="H1028" s="197" t="s">
        <v>223</v>
      </c>
      <c r="I1028" s="196" t="s">
        <v>226</v>
      </c>
      <c r="J1028" s="195">
        <v>1</v>
      </c>
      <c r="K1028" s="204" t="s">
        <v>224</v>
      </c>
      <c r="L1028" s="199">
        <v>1</v>
      </c>
      <c r="M1028" s="200">
        <v>0.3</v>
      </c>
      <c r="N1028" s="201">
        <v>23</v>
      </c>
    </row>
    <row r="1029" spans="1:14">
      <c r="A1029" s="194">
        <v>41283.524664351855</v>
      </c>
      <c r="B1029" s="195">
        <v>2062</v>
      </c>
      <c r="C1029" s="194"/>
      <c r="D1029" s="194"/>
      <c r="E1029" s="196" t="s">
        <v>285</v>
      </c>
      <c r="F1029" s="195">
        <v>456</v>
      </c>
      <c r="G1029" s="197" t="s">
        <v>141</v>
      </c>
      <c r="H1029" s="197" t="s">
        <v>223</v>
      </c>
      <c r="I1029" s="196" t="s">
        <v>226</v>
      </c>
      <c r="J1029" s="195">
        <v>1</v>
      </c>
      <c r="K1029" s="204" t="s">
        <v>224</v>
      </c>
      <c r="L1029" s="199">
        <v>2</v>
      </c>
      <c r="M1029" s="200">
        <v>0.3</v>
      </c>
      <c r="N1029" s="201">
        <v>26</v>
      </c>
    </row>
    <row r="1030" spans="1:14">
      <c r="A1030" s="194">
        <v>41287.697557870371</v>
      </c>
      <c r="B1030" s="195">
        <v>2062</v>
      </c>
      <c r="C1030" s="194"/>
      <c r="D1030" s="194"/>
      <c r="E1030" s="196" t="s">
        <v>296</v>
      </c>
      <c r="F1030" s="195">
        <v>456</v>
      </c>
      <c r="G1030" s="197" t="s">
        <v>141</v>
      </c>
      <c r="H1030" s="197" t="s">
        <v>223</v>
      </c>
      <c r="I1030" s="196" t="s">
        <v>226</v>
      </c>
      <c r="J1030" s="195">
        <v>1</v>
      </c>
      <c r="K1030" s="204" t="s">
        <v>224</v>
      </c>
      <c r="L1030" s="199">
        <v>1</v>
      </c>
      <c r="M1030" s="200">
        <v>0.3</v>
      </c>
      <c r="N1030" s="201">
        <v>26</v>
      </c>
    </row>
    <row r="1031" spans="1:14">
      <c r="A1031" s="194">
        <v>41289.858668981484</v>
      </c>
      <c r="B1031" s="195">
        <v>2062</v>
      </c>
      <c r="C1031" s="194"/>
      <c r="D1031" s="194"/>
      <c r="E1031" s="196" t="s">
        <v>312</v>
      </c>
      <c r="F1031" s="195">
        <v>456</v>
      </c>
      <c r="G1031" s="197" t="s">
        <v>141</v>
      </c>
      <c r="H1031" s="197" t="s">
        <v>223</v>
      </c>
      <c r="I1031" s="196" t="s">
        <v>226</v>
      </c>
      <c r="J1031" s="195">
        <v>1</v>
      </c>
      <c r="K1031" s="204" t="s">
        <v>224</v>
      </c>
      <c r="L1031" s="199">
        <v>1</v>
      </c>
      <c r="M1031" s="200">
        <v>0.4</v>
      </c>
      <c r="N1031" s="201">
        <v>27</v>
      </c>
    </row>
    <row r="1032" spans="1:14">
      <c r="A1032" s="194">
        <v>41278.583055555559</v>
      </c>
      <c r="B1032" s="195">
        <v>2062</v>
      </c>
      <c r="C1032" s="194"/>
      <c r="D1032" s="194"/>
      <c r="E1032" s="196" t="s">
        <v>262</v>
      </c>
      <c r="F1032" s="195">
        <v>456</v>
      </c>
      <c r="G1032" s="197" t="s">
        <v>141</v>
      </c>
      <c r="H1032" s="197" t="s">
        <v>223</v>
      </c>
      <c r="I1032" s="196" t="s">
        <v>226</v>
      </c>
      <c r="J1032" s="195">
        <v>1</v>
      </c>
      <c r="K1032" s="204" t="s">
        <v>224</v>
      </c>
      <c r="L1032" s="199">
        <v>1</v>
      </c>
      <c r="M1032" s="200">
        <v>0.7</v>
      </c>
      <c r="N1032" s="201">
        <v>27</v>
      </c>
    </row>
    <row r="1033" spans="1:14">
      <c r="A1033" s="194">
        <v>41303.607905092591</v>
      </c>
      <c r="B1033" s="195">
        <v>2062</v>
      </c>
      <c r="C1033" s="194"/>
      <c r="D1033" s="194"/>
      <c r="E1033" s="196" t="s">
        <v>388</v>
      </c>
      <c r="F1033" s="195">
        <v>456</v>
      </c>
      <c r="G1033" s="197" t="s">
        <v>141</v>
      </c>
      <c r="H1033" s="197" t="s">
        <v>223</v>
      </c>
      <c r="I1033" s="196" t="s">
        <v>226</v>
      </c>
      <c r="J1033" s="195">
        <v>1</v>
      </c>
      <c r="K1033" s="204" t="s">
        <v>224</v>
      </c>
      <c r="L1033" s="199">
        <v>1</v>
      </c>
      <c r="M1033" s="200">
        <v>0.3</v>
      </c>
      <c r="N1033" s="201">
        <v>28</v>
      </c>
    </row>
    <row r="1034" spans="1:14">
      <c r="A1034" s="194">
        <v>41285.560046296298</v>
      </c>
      <c r="B1034" s="195">
        <v>2062</v>
      </c>
      <c r="C1034" s="194"/>
      <c r="D1034" s="194"/>
      <c r="E1034" s="196" t="s">
        <v>307</v>
      </c>
      <c r="F1034" s="195">
        <v>456</v>
      </c>
      <c r="G1034" s="197" t="s">
        <v>141</v>
      </c>
      <c r="H1034" s="197" t="s">
        <v>223</v>
      </c>
      <c r="I1034" s="196" t="s">
        <v>226</v>
      </c>
      <c r="J1034" s="195">
        <v>1</v>
      </c>
      <c r="K1034" s="204" t="s">
        <v>224</v>
      </c>
      <c r="L1034" s="199">
        <v>1</v>
      </c>
      <c r="M1034" s="200">
        <v>0.4</v>
      </c>
      <c r="N1034" s="201">
        <v>28</v>
      </c>
    </row>
    <row r="1035" spans="1:14">
      <c r="A1035" s="194">
        <v>41277.565601851849</v>
      </c>
      <c r="B1035" s="195">
        <v>2062</v>
      </c>
      <c r="C1035" s="194"/>
      <c r="D1035" s="194"/>
      <c r="E1035" s="196" t="s">
        <v>268</v>
      </c>
      <c r="F1035" s="195">
        <v>456</v>
      </c>
      <c r="G1035" s="197" t="s">
        <v>141</v>
      </c>
      <c r="H1035" s="197" t="s">
        <v>223</v>
      </c>
      <c r="I1035" s="196" t="s">
        <v>226</v>
      </c>
      <c r="J1035" s="195">
        <v>1</v>
      </c>
      <c r="K1035" s="204" t="s">
        <v>224</v>
      </c>
      <c r="L1035" s="199">
        <v>1</v>
      </c>
      <c r="M1035" s="200">
        <v>0.5</v>
      </c>
      <c r="N1035" s="201">
        <v>29</v>
      </c>
    </row>
    <row r="1036" spans="1:14">
      <c r="A1036" s="194">
        <v>41279.645532407405</v>
      </c>
      <c r="B1036" s="195">
        <v>2062</v>
      </c>
      <c r="C1036" s="194"/>
      <c r="D1036" s="194"/>
      <c r="E1036" s="196" t="s">
        <v>273</v>
      </c>
      <c r="F1036" s="195">
        <v>456</v>
      </c>
      <c r="G1036" s="197" t="s">
        <v>141</v>
      </c>
      <c r="H1036" s="197" t="s">
        <v>223</v>
      </c>
      <c r="I1036" s="196" t="s">
        <v>226</v>
      </c>
      <c r="J1036" s="195">
        <v>1</v>
      </c>
      <c r="K1036" s="204" t="s">
        <v>224</v>
      </c>
      <c r="L1036" s="199">
        <v>1</v>
      </c>
      <c r="M1036" s="200">
        <v>0.5</v>
      </c>
      <c r="N1036" s="201">
        <v>29</v>
      </c>
    </row>
    <row r="1037" spans="1:14">
      <c r="A1037" s="194">
        <v>41282.641388888886</v>
      </c>
      <c r="B1037" s="195">
        <v>2062</v>
      </c>
      <c r="C1037" s="194"/>
      <c r="D1037" s="194"/>
      <c r="E1037" s="196" t="s">
        <v>280</v>
      </c>
      <c r="F1037" s="195">
        <v>456</v>
      </c>
      <c r="G1037" s="197" t="s">
        <v>141</v>
      </c>
      <c r="H1037" s="197" t="s">
        <v>223</v>
      </c>
      <c r="I1037" s="196" t="s">
        <v>226</v>
      </c>
      <c r="J1037" s="195">
        <v>1</v>
      </c>
      <c r="K1037" s="204" t="s">
        <v>224</v>
      </c>
      <c r="L1037" s="199">
        <v>2</v>
      </c>
      <c r="M1037" s="200">
        <v>0.6</v>
      </c>
      <c r="N1037" s="201">
        <v>29</v>
      </c>
    </row>
    <row r="1038" spans="1:14">
      <c r="A1038" s="194">
        <v>41286.538483796299</v>
      </c>
      <c r="B1038" s="195">
        <v>2062</v>
      </c>
      <c r="C1038" s="194"/>
      <c r="D1038" s="194"/>
      <c r="E1038" s="196" t="s">
        <v>304</v>
      </c>
      <c r="F1038" s="195">
        <v>456</v>
      </c>
      <c r="G1038" s="197" t="s">
        <v>141</v>
      </c>
      <c r="H1038" s="197" t="s">
        <v>223</v>
      </c>
      <c r="I1038" s="196" t="s">
        <v>226</v>
      </c>
      <c r="J1038" s="195">
        <v>1</v>
      </c>
      <c r="K1038" s="204" t="s">
        <v>224</v>
      </c>
      <c r="L1038" s="199">
        <v>1</v>
      </c>
      <c r="M1038" s="200">
        <v>0.8</v>
      </c>
      <c r="N1038" s="201">
        <v>30</v>
      </c>
    </row>
    <row r="1039" spans="1:14">
      <c r="A1039" s="194">
        <v>41278.407488425924</v>
      </c>
      <c r="B1039" s="195">
        <v>2062</v>
      </c>
      <c r="C1039" s="194"/>
      <c r="D1039" s="194"/>
      <c r="E1039" s="196" t="s">
        <v>261</v>
      </c>
      <c r="F1039" s="195">
        <v>456</v>
      </c>
      <c r="G1039" s="197" t="s">
        <v>141</v>
      </c>
      <c r="H1039" s="197" t="s">
        <v>223</v>
      </c>
      <c r="I1039" s="196" t="s">
        <v>226</v>
      </c>
      <c r="J1039" s="195">
        <v>1</v>
      </c>
      <c r="K1039" s="204" t="s">
        <v>224</v>
      </c>
      <c r="L1039" s="199">
        <v>2</v>
      </c>
      <c r="M1039" s="200">
        <v>0.3</v>
      </c>
      <c r="N1039" s="201">
        <v>32</v>
      </c>
    </row>
    <row r="1040" spans="1:14">
      <c r="A1040" s="194">
        <v>41276.551064814812</v>
      </c>
      <c r="B1040" s="195">
        <v>2062</v>
      </c>
      <c r="C1040" s="194"/>
      <c r="D1040" s="194"/>
      <c r="E1040" s="196" t="s">
        <v>235</v>
      </c>
      <c r="F1040" s="195">
        <v>456</v>
      </c>
      <c r="G1040" s="197" t="s">
        <v>141</v>
      </c>
      <c r="H1040" s="197" t="s">
        <v>223</v>
      </c>
      <c r="I1040" s="196" t="s">
        <v>226</v>
      </c>
      <c r="J1040" s="195">
        <v>1</v>
      </c>
      <c r="K1040" s="204" t="s">
        <v>224</v>
      </c>
      <c r="L1040" s="199">
        <v>1</v>
      </c>
      <c r="M1040" s="200">
        <v>0.4</v>
      </c>
      <c r="N1040" s="201">
        <v>32</v>
      </c>
    </row>
    <row r="1041" spans="1:14">
      <c r="A1041" s="194">
        <v>41275.127465277779</v>
      </c>
      <c r="B1041" s="195">
        <v>2062</v>
      </c>
      <c r="C1041" s="194"/>
      <c r="D1041" s="194"/>
      <c r="E1041" s="196" t="s">
        <v>225</v>
      </c>
      <c r="F1041" s="195">
        <v>456</v>
      </c>
      <c r="G1041" s="197" t="s">
        <v>141</v>
      </c>
      <c r="H1041" s="197" t="s">
        <v>223</v>
      </c>
      <c r="I1041" s="196" t="s">
        <v>226</v>
      </c>
      <c r="J1041" s="195">
        <v>1</v>
      </c>
      <c r="K1041" s="204" t="s">
        <v>224</v>
      </c>
      <c r="L1041" s="199">
        <v>1</v>
      </c>
      <c r="M1041" s="200">
        <v>0.3</v>
      </c>
      <c r="N1041" s="201">
        <v>34</v>
      </c>
    </row>
    <row r="1042" spans="1:14">
      <c r="A1042" s="194">
        <v>41275.33662037037</v>
      </c>
      <c r="B1042" s="195">
        <v>2062</v>
      </c>
      <c r="C1042" s="194"/>
      <c r="D1042" s="194"/>
      <c r="E1042" s="196" t="s">
        <v>227</v>
      </c>
      <c r="F1042" s="195">
        <v>456</v>
      </c>
      <c r="G1042" s="197" t="s">
        <v>141</v>
      </c>
      <c r="H1042" s="197" t="s">
        <v>223</v>
      </c>
      <c r="I1042" s="196" t="s">
        <v>226</v>
      </c>
      <c r="J1042" s="195">
        <v>1</v>
      </c>
      <c r="K1042" s="204" t="s">
        <v>224</v>
      </c>
      <c r="L1042" s="199">
        <v>1</v>
      </c>
      <c r="M1042" s="200">
        <v>0.3</v>
      </c>
      <c r="N1042" s="201">
        <v>34</v>
      </c>
    </row>
    <row r="1043" spans="1:14">
      <c r="A1043" s="194">
        <v>41282.791273148148</v>
      </c>
      <c r="B1043" s="195">
        <v>2062</v>
      </c>
      <c r="C1043" s="194"/>
      <c r="D1043" s="194"/>
      <c r="E1043" s="196" t="s">
        <v>282</v>
      </c>
      <c r="F1043" s="195">
        <v>456</v>
      </c>
      <c r="G1043" s="197" t="s">
        <v>141</v>
      </c>
      <c r="H1043" s="197" t="s">
        <v>223</v>
      </c>
      <c r="I1043" s="196" t="s">
        <v>226</v>
      </c>
      <c r="J1043" s="195">
        <v>1</v>
      </c>
      <c r="K1043" s="204" t="s">
        <v>224</v>
      </c>
      <c r="L1043" s="199">
        <v>2</v>
      </c>
      <c r="M1043" s="200">
        <v>0.4</v>
      </c>
      <c r="N1043" s="201">
        <v>36</v>
      </c>
    </row>
    <row r="1044" spans="1:14">
      <c r="A1044" s="194">
        <v>41282.825300925928</v>
      </c>
      <c r="B1044" s="195">
        <v>2062</v>
      </c>
      <c r="C1044" s="194"/>
      <c r="D1044" s="194"/>
      <c r="E1044" s="196" t="s">
        <v>281</v>
      </c>
      <c r="F1044" s="195">
        <v>456</v>
      </c>
      <c r="G1044" s="197" t="s">
        <v>141</v>
      </c>
      <c r="H1044" s="197" t="s">
        <v>223</v>
      </c>
      <c r="I1044" s="196" t="s">
        <v>226</v>
      </c>
      <c r="J1044" s="195">
        <v>1</v>
      </c>
      <c r="K1044" s="204" t="s">
        <v>224</v>
      </c>
      <c r="L1044" s="199">
        <v>1</v>
      </c>
      <c r="M1044" s="200">
        <v>0.5</v>
      </c>
      <c r="N1044" s="201">
        <v>38</v>
      </c>
    </row>
    <row r="1045" spans="1:14">
      <c r="A1045" s="194">
        <v>41298.636481481481</v>
      </c>
      <c r="B1045" s="195">
        <v>2062</v>
      </c>
      <c r="C1045" s="194"/>
      <c r="D1045" s="194"/>
      <c r="E1045" s="196" t="s">
        <v>346</v>
      </c>
      <c r="F1045" s="195">
        <v>456</v>
      </c>
      <c r="G1045" s="197" t="s">
        <v>141</v>
      </c>
      <c r="H1045" s="197" t="s">
        <v>223</v>
      </c>
      <c r="I1045" s="196" t="s">
        <v>226</v>
      </c>
      <c r="J1045" s="195">
        <v>1</v>
      </c>
      <c r="K1045" s="204" t="s">
        <v>224</v>
      </c>
      <c r="L1045" s="199">
        <v>1</v>
      </c>
      <c r="M1045" s="200">
        <v>0.7</v>
      </c>
      <c r="N1045" s="201">
        <v>39</v>
      </c>
    </row>
    <row r="1046" spans="1:14">
      <c r="A1046" s="194">
        <v>41297.018333333333</v>
      </c>
      <c r="B1046" s="195">
        <v>2062</v>
      </c>
      <c r="C1046" s="194"/>
      <c r="D1046" s="194"/>
      <c r="E1046" s="196" t="s">
        <v>348</v>
      </c>
      <c r="F1046" s="195">
        <v>456</v>
      </c>
      <c r="G1046" s="197" t="s">
        <v>141</v>
      </c>
      <c r="H1046" s="197" t="s">
        <v>223</v>
      </c>
      <c r="I1046" s="196" t="s">
        <v>226</v>
      </c>
      <c r="J1046" s="195">
        <v>1</v>
      </c>
      <c r="K1046" s="204" t="s">
        <v>224</v>
      </c>
      <c r="L1046" s="199">
        <v>1</v>
      </c>
      <c r="M1046" s="200">
        <v>0.5</v>
      </c>
      <c r="N1046" s="201">
        <v>40</v>
      </c>
    </row>
    <row r="1047" spans="1:14">
      <c r="A1047" s="194">
        <v>41276.635185185187</v>
      </c>
      <c r="B1047" s="195">
        <v>2062</v>
      </c>
      <c r="C1047" s="194"/>
      <c r="D1047" s="194"/>
      <c r="E1047" s="196" t="s">
        <v>408</v>
      </c>
      <c r="F1047" s="195">
        <v>466</v>
      </c>
      <c r="G1047" s="197" t="s">
        <v>142</v>
      </c>
      <c r="H1047" s="197" t="s">
        <v>223</v>
      </c>
      <c r="I1047" s="196" t="s">
        <v>402</v>
      </c>
      <c r="J1047" s="195">
        <v>1</v>
      </c>
      <c r="K1047" s="204" t="s">
        <v>224</v>
      </c>
      <c r="L1047" s="199">
        <v>2</v>
      </c>
      <c r="M1047" s="200">
        <v>0.4</v>
      </c>
      <c r="N1047" s="201">
        <v>22</v>
      </c>
    </row>
    <row r="1048" spans="1:14">
      <c r="A1048" s="194">
        <v>41296.303240740737</v>
      </c>
      <c r="B1048" s="195">
        <v>2062</v>
      </c>
      <c r="C1048" s="194"/>
      <c r="D1048" s="194"/>
      <c r="E1048" s="196" t="s">
        <v>455</v>
      </c>
      <c r="F1048" s="195">
        <v>466</v>
      </c>
      <c r="G1048" s="197" t="s">
        <v>142</v>
      </c>
      <c r="H1048" s="197" t="s">
        <v>223</v>
      </c>
      <c r="I1048" s="196" t="s">
        <v>402</v>
      </c>
      <c r="J1048" s="195">
        <v>1</v>
      </c>
      <c r="K1048" s="204" t="s">
        <v>224</v>
      </c>
      <c r="L1048" s="199">
        <v>1</v>
      </c>
      <c r="M1048" s="200">
        <v>0.4</v>
      </c>
      <c r="N1048" s="201">
        <v>39</v>
      </c>
    </row>
    <row r="1049" spans="1:14">
      <c r="A1049" s="194">
        <v>41284.885787037034</v>
      </c>
      <c r="B1049" s="195">
        <v>2062</v>
      </c>
      <c r="C1049" s="194"/>
      <c r="D1049" s="194"/>
      <c r="E1049" s="196" t="s">
        <v>831</v>
      </c>
      <c r="F1049" s="195">
        <v>800</v>
      </c>
      <c r="G1049" s="197" t="s">
        <v>470</v>
      </c>
      <c r="H1049" s="197" t="s">
        <v>471</v>
      </c>
      <c r="J1049" s="195">
        <v>1</v>
      </c>
      <c r="K1049" s="204" t="s">
        <v>224</v>
      </c>
      <c r="L1049" s="199">
        <v>1</v>
      </c>
      <c r="M1049" s="200">
        <v>0.4</v>
      </c>
      <c r="N1049" s="201">
        <v>16</v>
      </c>
    </row>
    <row r="1050" spans="1:14">
      <c r="A1050" s="194">
        <v>41283.788530092592</v>
      </c>
      <c r="B1050" s="195">
        <v>2062</v>
      </c>
      <c r="C1050" s="194"/>
      <c r="D1050" s="194"/>
      <c r="E1050" s="196" t="s">
        <v>755</v>
      </c>
      <c r="F1050" s="195">
        <v>800</v>
      </c>
      <c r="G1050" s="197" t="s">
        <v>470</v>
      </c>
      <c r="H1050" s="197" t="s">
        <v>471</v>
      </c>
      <c r="J1050" s="195">
        <v>1</v>
      </c>
      <c r="K1050" s="204" t="s">
        <v>224</v>
      </c>
      <c r="L1050" s="199">
        <v>3</v>
      </c>
      <c r="M1050" s="200">
        <v>0.3</v>
      </c>
      <c r="N1050" s="201">
        <v>19</v>
      </c>
    </row>
    <row r="1051" spans="1:14">
      <c r="A1051" s="194">
        <v>41297.692048611112</v>
      </c>
      <c r="B1051" s="195">
        <v>2062</v>
      </c>
      <c r="C1051" s="194"/>
      <c r="D1051" s="194"/>
      <c r="E1051" s="196" t="s">
        <v>1300</v>
      </c>
      <c r="F1051" s="195">
        <v>800</v>
      </c>
      <c r="G1051" s="197" t="s">
        <v>470</v>
      </c>
      <c r="H1051" s="197" t="s">
        <v>471</v>
      </c>
      <c r="J1051" s="195">
        <v>1</v>
      </c>
      <c r="K1051" s="204" t="s">
        <v>224</v>
      </c>
      <c r="L1051" s="199">
        <v>3</v>
      </c>
      <c r="M1051" s="200">
        <v>0.3</v>
      </c>
      <c r="N1051" s="201">
        <v>19</v>
      </c>
    </row>
    <row r="1052" spans="1:14">
      <c r="A1052" s="194">
        <v>41275.062199074076</v>
      </c>
      <c r="B1052" s="195">
        <v>2062</v>
      </c>
      <c r="C1052" s="194"/>
      <c r="D1052" s="194"/>
      <c r="E1052" s="196" t="s">
        <v>481</v>
      </c>
      <c r="F1052" s="195">
        <v>800</v>
      </c>
      <c r="G1052" s="197" t="s">
        <v>470</v>
      </c>
      <c r="H1052" s="197" t="s">
        <v>471</v>
      </c>
      <c r="J1052" s="195">
        <v>1</v>
      </c>
      <c r="K1052" s="204" t="s">
        <v>224</v>
      </c>
      <c r="L1052" s="199">
        <v>2</v>
      </c>
      <c r="M1052" s="200">
        <v>0.4</v>
      </c>
      <c r="N1052" s="201">
        <v>19</v>
      </c>
    </row>
    <row r="1053" spans="1:14">
      <c r="A1053" s="194">
        <v>41284.841365740744</v>
      </c>
      <c r="B1053" s="195">
        <v>2062</v>
      </c>
      <c r="C1053" s="194"/>
      <c r="D1053" s="194"/>
      <c r="E1053" s="196" t="s">
        <v>830</v>
      </c>
      <c r="F1053" s="195">
        <v>800</v>
      </c>
      <c r="G1053" s="197" t="s">
        <v>470</v>
      </c>
      <c r="H1053" s="197" t="s">
        <v>471</v>
      </c>
      <c r="J1053" s="195">
        <v>1</v>
      </c>
      <c r="K1053" s="204" t="s">
        <v>224</v>
      </c>
      <c r="L1053" s="199">
        <v>1</v>
      </c>
      <c r="M1053" s="200">
        <v>0.3</v>
      </c>
      <c r="N1053" s="201">
        <v>21</v>
      </c>
    </row>
    <row r="1054" spans="1:14">
      <c r="A1054" s="194">
        <v>41286.903831018521</v>
      </c>
      <c r="B1054" s="195">
        <v>2062</v>
      </c>
      <c r="C1054" s="194"/>
      <c r="D1054" s="194"/>
      <c r="E1054" s="196" t="s">
        <v>903</v>
      </c>
      <c r="F1054" s="195">
        <v>800</v>
      </c>
      <c r="G1054" s="197" t="s">
        <v>470</v>
      </c>
      <c r="H1054" s="197" t="s">
        <v>471</v>
      </c>
      <c r="J1054" s="195">
        <v>1</v>
      </c>
      <c r="K1054" s="204" t="s">
        <v>224</v>
      </c>
      <c r="L1054" s="199">
        <v>3</v>
      </c>
      <c r="M1054" s="200">
        <v>0.7</v>
      </c>
      <c r="N1054" s="201">
        <v>21</v>
      </c>
    </row>
    <row r="1055" spans="1:14">
      <c r="A1055" s="194">
        <v>41288.394212962965</v>
      </c>
      <c r="B1055" s="195">
        <v>2062</v>
      </c>
      <c r="C1055" s="194"/>
      <c r="D1055" s="194"/>
      <c r="E1055" s="196" t="s">
        <v>950</v>
      </c>
      <c r="F1055" s="195">
        <v>800</v>
      </c>
      <c r="G1055" s="197" t="s">
        <v>470</v>
      </c>
      <c r="H1055" s="197" t="s">
        <v>471</v>
      </c>
      <c r="J1055" s="195">
        <v>1</v>
      </c>
      <c r="K1055" s="204" t="s">
        <v>224</v>
      </c>
      <c r="L1055" s="199">
        <v>1</v>
      </c>
      <c r="M1055" s="200">
        <v>0.7</v>
      </c>
      <c r="N1055" s="201">
        <v>21</v>
      </c>
    </row>
    <row r="1056" spans="1:14">
      <c r="A1056" s="194">
        <v>41300.700324074074</v>
      </c>
      <c r="B1056" s="195">
        <v>2062</v>
      </c>
      <c r="C1056" s="194"/>
      <c r="D1056" s="194"/>
      <c r="E1056" s="196" t="s">
        <v>1431</v>
      </c>
      <c r="F1056" s="195">
        <v>800</v>
      </c>
      <c r="G1056" s="197" t="s">
        <v>470</v>
      </c>
      <c r="H1056" s="197" t="s">
        <v>471</v>
      </c>
      <c r="J1056" s="195">
        <v>1</v>
      </c>
      <c r="K1056" s="204" t="s">
        <v>224</v>
      </c>
      <c r="L1056" s="199">
        <v>2</v>
      </c>
      <c r="M1056" s="200">
        <v>0.7</v>
      </c>
      <c r="N1056" s="201">
        <v>21</v>
      </c>
    </row>
    <row r="1057" spans="1:14">
      <c r="A1057" s="194">
        <v>41302.624699074076</v>
      </c>
      <c r="B1057" s="195">
        <v>2062</v>
      </c>
      <c r="C1057" s="194"/>
      <c r="D1057" s="194"/>
      <c r="E1057" s="196" t="s">
        <v>1464</v>
      </c>
      <c r="F1057" s="195">
        <v>800</v>
      </c>
      <c r="G1057" s="197" t="s">
        <v>470</v>
      </c>
      <c r="H1057" s="197" t="s">
        <v>471</v>
      </c>
      <c r="J1057" s="195">
        <v>1</v>
      </c>
      <c r="K1057" s="204" t="s">
        <v>224</v>
      </c>
      <c r="L1057" s="199">
        <v>1</v>
      </c>
      <c r="M1057" s="200">
        <v>2</v>
      </c>
      <c r="N1057" s="201">
        <v>21</v>
      </c>
    </row>
    <row r="1058" spans="1:14">
      <c r="A1058" s="194">
        <v>41286.72047453704</v>
      </c>
      <c r="B1058" s="195">
        <v>2062</v>
      </c>
      <c r="C1058" s="194"/>
      <c r="D1058" s="194"/>
      <c r="E1058" s="196" t="s">
        <v>901</v>
      </c>
      <c r="F1058" s="195">
        <v>800</v>
      </c>
      <c r="G1058" s="197" t="s">
        <v>470</v>
      </c>
      <c r="H1058" s="197" t="s">
        <v>471</v>
      </c>
      <c r="J1058" s="195">
        <v>1</v>
      </c>
      <c r="K1058" s="204" t="s">
        <v>224</v>
      </c>
      <c r="L1058" s="199">
        <v>1</v>
      </c>
      <c r="M1058" s="200">
        <v>0.4</v>
      </c>
      <c r="N1058" s="201">
        <v>22</v>
      </c>
    </row>
    <row r="1059" spans="1:14">
      <c r="A1059" s="194">
        <v>41283.880879629629</v>
      </c>
      <c r="B1059" s="195">
        <v>2062</v>
      </c>
      <c r="C1059" s="194"/>
      <c r="D1059" s="194"/>
      <c r="E1059" s="196" t="s">
        <v>756</v>
      </c>
      <c r="F1059" s="195">
        <v>800</v>
      </c>
      <c r="G1059" s="197" t="s">
        <v>470</v>
      </c>
      <c r="H1059" s="197" t="s">
        <v>471</v>
      </c>
      <c r="J1059" s="195">
        <v>1</v>
      </c>
      <c r="K1059" s="204" t="s">
        <v>224</v>
      </c>
      <c r="L1059" s="199">
        <v>1</v>
      </c>
      <c r="M1059" s="200">
        <v>0.5</v>
      </c>
      <c r="N1059" s="201">
        <v>22</v>
      </c>
    </row>
    <row r="1060" spans="1:14">
      <c r="A1060" s="194">
        <v>41287.71769675926</v>
      </c>
      <c r="B1060" s="195">
        <v>2062</v>
      </c>
      <c r="C1060" s="194"/>
      <c r="D1060" s="194"/>
      <c r="E1060" s="196" t="s">
        <v>842</v>
      </c>
      <c r="F1060" s="195">
        <v>800</v>
      </c>
      <c r="G1060" s="197" t="s">
        <v>470</v>
      </c>
      <c r="H1060" s="197" t="s">
        <v>471</v>
      </c>
      <c r="J1060" s="195">
        <v>1</v>
      </c>
      <c r="K1060" s="204" t="s">
        <v>224</v>
      </c>
      <c r="L1060" s="199">
        <v>1</v>
      </c>
      <c r="M1060" s="200">
        <v>0.5</v>
      </c>
      <c r="N1060" s="201">
        <v>22</v>
      </c>
    </row>
    <row r="1061" spans="1:14">
      <c r="A1061" s="194">
        <v>41275.768576388888</v>
      </c>
      <c r="B1061" s="195">
        <v>2062</v>
      </c>
      <c r="C1061" s="194"/>
      <c r="D1061" s="194"/>
      <c r="E1061" s="196" t="s">
        <v>490</v>
      </c>
      <c r="F1061" s="195">
        <v>800</v>
      </c>
      <c r="G1061" s="197" t="s">
        <v>470</v>
      </c>
      <c r="H1061" s="197" t="s">
        <v>471</v>
      </c>
      <c r="J1061" s="195">
        <v>1</v>
      </c>
      <c r="K1061" s="204" t="s">
        <v>224</v>
      </c>
      <c r="L1061" s="199">
        <v>1</v>
      </c>
      <c r="M1061" s="200">
        <v>0.9</v>
      </c>
      <c r="N1061" s="201">
        <v>23</v>
      </c>
    </row>
    <row r="1062" spans="1:14">
      <c r="A1062" s="194">
        <v>41284.571932870371</v>
      </c>
      <c r="B1062" s="195">
        <v>2062</v>
      </c>
      <c r="C1062" s="194"/>
      <c r="D1062" s="194"/>
      <c r="E1062" s="196" t="s">
        <v>829</v>
      </c>
      <c r="F1062" s="195">
        <v>800</v>
      </c>
      <c r="G1062" s="197" t="s">
        <v>470</v>
      </c>
      <c r="H1062" s="197" t="s">
        <v>471</v>
      </c>
      <c r="J1062" s="195">
        <v>1</v>
      </c>
      <c r="K1062" s="204" t="s">
        <v>224</v>
      </c>
      <c r="L1062" s="199">
        <v>1</v>
      </c>
      <c r="M1062" s="200">
        <v>1.6</v>
      </c>
      <c r="N1062" s="201">
        <v>23</v>
      </c>
    </row>
    <row r="1063" spans="1:14">
      <c r="A1063" s="194">
        <v>41275.539305555554</v>
      </c>
      <c r="B1063" s="195">
        <v>2062</v>
      </c>
      <c r="C1063" s="194"/>
      <c r="D1063" s="194"/>
      <c r="E1063" s="196" t="s">
        <v>487</v>
      </c>
      <c r="F1063" s="195">
        <v>800</v>
      </c>
      <c r="G1063" s="197" t="s">
        <v>470</v>
      </c>
      <c r="H1063" s="197" t="s">
        <v>471</v>
      </c>
      <c r="J1063" s="195">
        <v>1</v>
      </c>
      <c r="K1063" s="204" t="s">
        <v>224</v>
      </c>
      <c r="L1063" s="199">
        <v>1</v>
      </c>
      <c r="M1063" s="200">
        <v>3.6</v>
      </c>
      <c r="N1063" s="201">
        <v>23</v>
      </c>
    </row>
    <row r="1064" spans="1:14">
      <c r="A1064" s="194">
        <v>41276.539953703701</v>
      </c>
      <c r="B1064" s="195">
        <v>2062</v>
      </c>
      <c r="C1064" s="194"/>
      <c r="D1064" s="194"/>
      <c r="E1064" s="196" t="s">
        <v>504</v>
      </c>
      <c r="F1064" s="195">
        <v>800</v>
      </c>
      <c r="G1064" s="197" t="s">
        <v>470</v>
      </c>
      <c r="H1064" s="197" t="s">
        <v>471</v>
      </c>
      <c r="J1064" s="195">
        <v>1</v>
      </c>
      <c r="K1064" s="204" t="s">
        <v>224</v>
      </c>
      <c r="L1064" s="199">
        <v>1</v>
      </c>
      <c r="M1064" s="200">
        <v>0.3</v>
      </c>
      <c r="N1064" s="201">
        <v>24</v>
      </c>
    </row>
    <row r="1065" spans="1:14">
      <c r="A1065" s="194">
        <v>41299.476006944446</v>
      </c>
      <c r="B1065" s="195">
        <v>2062</v>
      </c>
      <c r="C1065" s="194"/>
      <c r="D1065" s="194"/>
      <c r="E1065" s="196" t="s">
        <v>1373</v>
      </c>
      <c r="F1065" s="195">
        <v>800</v>
      </c>
      <c r="G1065" s="197" t="s">
        <v>470</v>
      </c>
      <c r="H1065" s="197" t="s">
        <v>471</v>
      </c>
      <c r="J1065" s="195">
        <v>1</v>
      </c>
      <c r="K1065" s="204" t="s">
        <v>224</v>
      </c>
      <c r="L1065" s="199">
        <v>1</v>
      </c>
      <c r="M1065" s="200">
        <v>0.3</v>
      </c>
      <c r="N1065" s="201">
        <v>24</v>
      </c>
    </row>
    <row r="1066" spans="1:14">
      <c r="A1066" s="194">
        <v>41282.745555555557</v>
      </c>
      <c r="B1066" s="195">
        <v>2062</v>
      </c>
      <c r="C1066" s="194"/>
      <c r="D1066" s="194"/>
      <c r="E1066" s="196" t="s">
        <v>731</v>
      </c>
      <c r="F1066" s="195">
        <v>800</v>
      </c>
      <c r="G1066" s="197" t="s">
        <v>470</v>
      </c>
      <c r="H1066" s="197" t="s">
        <v>471</v>
      </c>
      <c r="J1066" s="195">
        <v>1</v>
      </c>
      <c r="K1066" s="204" t="s">
        <v>224</v>
      </c>
      <c r="L1066" s="199">
        <v>2</v>
      </c>
      <c r="M1066" s="200">
        <v>0.4</v>
      </c>
      <c r="N1066" s="201">
        <v>24</v>
      </c>
    </row>
    <row r="1067" spans="1:14">
      <c r="A1067" s="194">
        <v>41276.502476851849</v>
      </c>
      <c r="B1067" s="195">
        <v>2062</v>
      </c>
      <c r="C1067" s="194"/>
      <c r="D1067" s="194"/>
      <c r="E1067" s="196" t="s">
        <v>503</v>
      </c>
      <c r="F1067" s="195">
        <v>800</v>
      </c>
      <c r="G1067" s="197" t="s">
        <v>470</v>
      </c>
      <c r="H1067" s="197" t="s">
        <v>471</v>
      </c>
      <c r="J1067" s="195">
        <v>1</v>
      </c>
      <c r="K1067" s="204" t="s">
        <v>224</v>
      </c>
      <c r="L1067" s="199">
        <v>2</v>
      </c>
      <c r="M1067" s="200">
        <v>0.5</v>
      </c>
      <c r="N1067" s="201">
        <v>24</v>
      </c>
    </row>
    <row r="1068" spans="1:14">
      <c r="A1068" s="194">
        <v>41288.740706018521</v>
      </c>
      <c r="B1068" s="195">
        <v>2062</v>
      </c>
      <c r="C1068" s="194"/>
      <c r="D1068" s="194"/>
      <c r="E1068" s="196" t="s">
        <v>956</v>
      </c>
      <c r="F1068" s="195">
        <v>800</v>
      </c>
      <c r="G1068" s="197" t="s">
        <v>470</v>
      </c>
      <c r="H1068" s="197" t="s">
        <v>471</v>
      </c>
      <c r="J1068" s="195">
        <v>1</v>
      </c>
      <c r="K1068" s="204" t="s">
        <v>224</v>
      </c>
      <c r="L1068" s="199">
        <v>2</v>
      </c>
      <c r="M1068" s="200">
        <v>0.5</v>
      </c>
      <c r="N1068" s="201">
        <v>24</v>
      </c>
    </row>
    <row r="1069" spans="1:14">
      <c r="A1069" s="194">
        <v>41299.947534722225</v>
      </c>
      <c r="B1069" s="195">
        <v>2062</v>
      </c>
      <c r="C1069" s="194"/>
      <c r="D1069" s="194"/>
      <c r="E1069" s="196" t="s">
        <v>1377</v>
      </c>
      <c r="F1069" s="195">
        <v>800</v>
      </c>
      <c r="G1069" s="197" t="s">
        <v>470</v>
      </c>
      <c r="H1069" s="197" t="s">
        <v>471</v>
      </c>
      <c r="J1069" s="195">
        <v>1</v>
      </c>
      <c r="K1069" s="204" t="s">
        <v>224</v>
      </c>
      <c r="L1069" s="199">
        <v>3</v>
      </c>
      <c r="M1069" s="200">
        <v>0.5</v>
      </c>
      <c r="N1069" s="201">
        <v>24</v>
      </c>
    </row>
    <row r="1070" spans="1:14">
      <c r="A1070" s="194">
        <v>41278.647743055553</v>
      </c>
      <c r="B1070" s="195">
        <v>2062</v>
      </c>
      <c r="C1070" s="194"/>
      <c r="D1070" s="194"/>
      <c r="E1070" s="196" t="s">
        <v>591</v>
      </c>
      <c r="F1070" s="195">
        <v>800</v>
      </c>
      <c r="G1070" s="197" t="s">
        <v>470</v>
      </c>
      <c r="H1070" s="197" t="s">
        <v>471</v>
      </c>
      <c r="J1070" s="195">
        <v>1</v>
      </c>
      <c r="K1070" s="204" t="s">
        <v>224</v>
      </c>
      <c r="L1070" s="199">
        <v>3</v>
      </c>
      <c r="M1070" s="200">
        <v>1</v>
      </c>
      <c r="N1070" s="201">
        <v>24</v>
      </c>
    </row>
    <row r="1071" spans="1:14">
      <c r="A1071" s="194">
        <v>41278.515717592592</v>
      </c>
      <c r="B1071" s="195">
        <v>2062</v>
      </c>
      <c r="C1071" s="194"/>
      <c r="D1071" s="194"/>
      <c r="E1071" s="196" t="s">
        <v>588</v>
      </c>
      <c r="F1071" s="195">
        <v>800</v>
      </c>
      <c r="G1071" s="197" t="s">
        <v>470</v>
      </c>
      <c r="H1071" s="197" t="s">
        <v>471</v>
      </c>
      <c r="J1071" s="195">
        <v>1</v>
      </c>
      <c r="K1071" s="204" t="s">
        <v>224</v>
      </c>
      <c r="L1071" s="199">
        <v>2</v>
      </c>
      <c r="M1071" s="200">
        <v>1.3</v>
      </c>
      <c r="N1071" s="201">
        <v>24</v>
      </c>
    </row>
    <row r="1072" spans="1:14">
      <c r="A1072" s="194">
        <v>41285.653229166666</v>
      </c>
      <c r="B1072" s="195">
        <v>2062</v>
      </c>
      <c r="C1072" s="194"/>
      <c r="D1072" s="194"/>
      <c r="E1072" s="196" t="s">
        <v>909</v>
      </c>
      <c r="F1072" s="195">
        <v>800</v>
      </c>
      <c r="G1072" s="197" t="s">
        <v>470</v>
      </c>
      <c r="H1072" s="197" t="s">
        <v>471</v>
      </c>
      <c r="J1072" s="195">
        <v>1</v>
      </c>
      <c r="K1072" s="204" t="s">
        <v>224</v>
      </c>
      <c r="L1072" s="199">
        <v>3</v>
      </c>
      <c r="M1072" s="200">
        <v>1.3</v>
      </c>
      <c r="N1072" s="201">
        <v>24</v>
      </c>
    </row>
    <row r="1073" spans="1:14">
      <c r="A1073" s="194">
        <v>41275.453865740739</v>
      </c>
      <c r="B1073" s="195">
        <v>2062</v>
      </c>
      <c r="C1073" s="194"/>
      <c r="D1073" s="194"/>
      <c r="E1073" s="196" t="s">
        <v>484</v>
      </c>
      <c r="F1073" s="195">
        <v>800</v>
      </c>
      <c r="G1073" s="197" t="s">
        <v>470</v>
      </c>
      <c r="H1073" s="197" t="s">
        <v>471</v>
      </c>
      <c r="J1073" s="195">
        <v>1</v>
      </c>
      <c r="K1073" s="204" t="s">
        <v>224</v>
      </c>
      <c r="L1073" s="199">
        <v>2</v>
      </c>
      <c r="M1073" s="200">
        <v>0.3</v>
      </c>
      <c r="N1073" s="201">
        <v>25</v>
      </c>
    </row>
    <row r="1074" spans="1:14">
      <c r="A1074" s="194">
        <v>41296.576701388891</v>
      </c>
      <c r="B1074" s="195">
        <v>2062</v>
      </c>
      <c r="C1074" s="194"/>
      <c r="D1074" s="194"/>
      <c r="E1074" s="196" t="s">
        <v>1278</v>
      </c>
      <c r="F1074" s="195">
        <v>800</v>
      </c>
      <c r="G1074" s="197" t="s">
        <v>470</v>
      </c>
      <c r="H1074" s="197" t="s">
        <v>471</v>
      </c>
      <c r="J1074" s="195">
        <v>1</v>
      </c>
      <c r="K1074" s="204" t="s">
        <v>224</v>
      </c>
      <c r="L1074" s="199">
        <v>2</v>
      </c>
      <c r="M1074" s="200">
        <v>0.3</v>
      </c>
      <c r="N1074" s="201">
        <v>25</v>
      </c>
    </row>
    <row r="1075" spans="1:14">
      <c r="A1075" s="194">
        <v>41298.793321759258</v>
      </c>
      <c r="B1075" s="195">
        <v>2062</v>
      </c>
      <c r="C1075" s="194"/>
      <c r="D1075" s="194"/>
      <c r="E1075" s="196" t="s">
        <v>1288</v>
      </c>
      <c r="F1075" s="195">
        <v>800</v>
      </c>
      <c r="G1075" s="197" t="s">
        <v>470</v>
      </c>
      <c r="H1075" s="197" t="s">
        <v>471</v>
      </c>
      <c r="J1075" s="195">
        <v>1</v>
      </c>
      <c r="K1075" s="204" t="s">
        <v>224</v>
      </c>
      <c r="L1075" s="199">
        <v>1</v>
      </c>
      <c r="M1075" s="200">
        <v>0.4</v>
      </c>
      <c r="N1075" s="201">
        <v>25</v>
      </c>
    </row>
    <row r="1076" spans="1:14">
      <c r="A1076" s="194">
        <v>41275.523993055554</v>
      </c>
      <c r="B1076" s="195">
        <v>2062</v>
      </c>
      <c r="C1076" s="194"/>
      <c r="D1076" s="194"/>
      <c r="E1076" s="196" t="s">
        <v>486</v>
      </c>
      <c r="F1076" s="195">
        <v>800</v>
      </c>
      <c r="G1076" s="197" t="s">
        <v>470</v>
      </c>
      <c r="H1076" s="197" t="s">
        <v>471</v>
      </c>
      <c r="J1076" s="195">
        <v>1</v>
      </c>
      <c r="K1076" s="204" t="s">
        <v>224</v>
      </c>
      <c r="L1076" s="199">
        <v>1</v>
      </c>
      <c r="M1076" s="200">
        <v>0.5</v>
      </c>
      <c r="N1076" s="201">
        <v>25</v>
      </c>
    </row>
    <row r="1077" spans="1:14">
      <c r="A1077" s="194">
        <v>41279.727500000001</v>
      </c>
      <c r="B1077" s="195">
        <v>2062</v>
      </c>
      <c r="C1077" s="194"/>
      <c r="D1077" s="194"/>
      <c r="E1077" s="196" t="s">
        <v>634</v>
      </c>
      <c r="F1077" s="195">
        <v>800</v>
      </c>
      <c r="G1077" s="197" t="s">
        <v>470</v>
      </c>
      <c r="H1077" s="197" t="s">
        <v>471</v>
      </c>
      <c r="J1077" s="195">
        <v>1</v>
      </c>
      <c r="K1077" s="204" t="s">
        <v>224</v>
      </c>
      <c r="L1077" s="199">
        <v>2</v>
      </c>
      <c r="M1077" s="200">
        <v>0.5</v>
      </c>
      <c r="N1077" s="201">
        <v>25</v>
      </c>
    </row>
    <row r="1078" spans="1:14">
      <c r="A1078" s="194">
        <v>41302.396990740737</v>
      </c>
      <c r="B1078" s="195">
        <v>2062</v>
      </c>
      <c r="C1078" s="194"/>
      <c r="D1078" s="194"/>
      <c r="E1078" s="196" t="s">
        <v>1460</v>
      </c>
      <c r="F1078" s="195">
        <v>800</v>
      </c>
      <c r="G1078" s="197" t="s">
        <v>470</v>
      </c>
      <c r="H1078" s="197" t="s">
        <v>471</v>
      </c>
      <c r="J1078" s="195">
        <v>1</v>
      </c>
      <c r="K1078" s="204" t="s">
        <v>224</v>
      </c>
      <c r="L1078" s="199">
        <v>2</v>
      </c>
      <c r="M1078" s="200">
        <v>0.6</v>
      </c>
      <c r="N1078" s="201">
        <v>25</v>
      </c>
    </row>
    <row r="1079" spans="1:14">
      <c r="A1079" s="194">
        <v>41278.555324074077</v>
      </c>
      <c r="B1079" s="195">
        <v>2062</v>
      </c>
      <c r="C1079" s="194"/>
      <c r="D1079" s="194"/>
      <c r="E1079" s="196" t="s">
        <v>590</v>
      </c>
      <c r="F1079" s="195">
        <v>800</v>
      </c>
      <c r="G1079" s="197" t="s">
        <v>470</v>
      </c>
      <c r="H1079" s="197" t="s">
        <v>471</v>
      </c>
      <c r="J1079" s="195">
        <v>1</v>
      </c>
      <c r="K1079" s="204" t="s">
        <v>224</v>
      </c>
      <c r="L1079" s="199">
        <v>1</v>
      </c>
      <c r="M1079" s="200">
        <v>4</v>
      </c>
      <c r="N1079" s="201">
        <v>25</v>
      </c>
    </row>
    <row r="1080" spans="1:14">
      <c r="A1080" s="194">
        <v>41286.679479166669</v>
      </c>
      <c r="B1080" s="195">
        <v>2062</v>
      </c>
      <c r="C1080" s="194"/>
      <c r="D1080" s="194"/>
      <c r="E1080" s="196" t="s">
        <v>899</v>
      </c>
      <c r="F1080" s="195">
        <v>800</v>
      </c>
      <c r="G1080" s="197" t="s">
        <v>470</v>
      </c>
      <c r="H1080" s="197" t="s">
        <v>471</v>
      </c>
      <c r="J1080" s="195">
        <v>1</v>
      </c>
      <c r="K1080" s="204" t="s">
        <v>224</v>
      </c>
      <c r="L1080" s="199">
        <v>1</v>
      </c>
      <c r="M1080" s="200">
        <v>0.4</v>
      </c>
      <c r="N1080" s="201">
        <v>26</v>
      </c>
    </row>
    <row r="1081" spans="1:14">
      <c r="A1081" s="194">
        <v>41299.54891203704</v>
      </c>
      <c r="B1081" s="195">
        <v>2062</v>
      </c>
      <c r="C1081" s="194"/>
      <c r="D1081" s="194"/>
      <c r="E1081" s="196" t="s">
        <v>1374</v>
      </c>
      <c r="F1081" s="195">
        <v>800</v>
      </c>
      <c r="G1081" s="197" t="s">
        <v>470</v>
      </c>
      <c r="H1081" s="197" t="s">
        <v>471</v>
      </c>
      <c r="J1081" s="195">
        <v>1</v>
      </c>
      <c r="K1081" s="204" t="s">
        <v>224</v>
      </c>
      <c r="L1081" s="199">
        <v>1</v>
      </c>
      <c r="M1081" s="200">
        <v>0.4</v>
      </c>
      <c r="N1081" s="201">
        <v>26</v>
      </c>
    </row>
    <row r="1082" spans="1:14">
      <c r="A1082" s="194">
        <v>41275.842766203707</v>
      </c>
      <c r="B1082" s="195">
        <v>2062</v>
      </c>
      <c r="C1082" s="194"/>
      <c r="D1082" s="194"/>
      <c r="E1082" s="196" t="s">
        <v>491</v>
      </c>
      <c r="F1082" s="195">
        <v>800</v>
      </c>
      <c r="G1082" s="197" t="s">
        <v>470</v>
      </c>
      <c r="H1082" s="197" t="s">
        <v>471</v>
      </c>
      <c r="J1082" s="195">
        <v>1</v>
      </c>
      <c r="K1082" s="204" t="s">
        <v>224</v>
      </c>
      <c r="L1082" s="199">
        <v>2</v>
      </c>
      <c r="M1082" s="200">
        <v>0.5</v>
      </c>
      <c r="N1082" s="201">
        <v>26</v>
      </c>
    </row>
    <row r="1083" spans="1:14">
      <c r="A1083" s="194">
        <v>41287.584351851852</v>
      </c>
      <c r="B1083" s="195">
        <v>2062</v>
      </c>
      <c r="C1083" s="194"/>
      <c r="D1083" s="194"/>
      <c r="E1083" s="196" t="s">
        <v>841</v>
      </c>
      <c r="F1083" s="195">
        <v>800</v>
      </c>
      <c r="G1083" s="197" t="s">
        <v>470</v>
      </c>
      <c r="H1083" s="197" t="s">
        <v>471</v>
      </c>
      <c r="J1083" s="195">
        <v>1</v>
      </c>
      <c r="K1083" s="204" t="s">
        <v>224</v>
      </c>
      <c r="L1083" s="199">
        <v>3</v>
      </c>
      <c r="M1083" s="200">
        <v>0.5</v>
      </c>
      <c r="N1083" s="201">
        <v>26</v>
      </c>
    </row>
    <row r="1084" spans="1:14">
      <c r="A1084" s="194">
        <v>41289.107233796298</v>
      </c>
      <c r="B1084" s="195">
        <v>2062</v>
      </c>
      <c r="C1084" s="194"/>
      <c r="D1084" s="194"/>
      <c r="E1084" s="196" t="s">
        <v>988</v>
      </c>
      <c r="F1084" s="195">
        <v>800</v>
      </c>
      <c r="G1084" s="197" t="s">
        <v>470</v>
      </c>
      <c r="H1084" s="197" t="s">
        <v>471</v>
      </c>
      <c r="J1084" s="195">
        <v>1</v>
      </c>
      <c r="K1084" s="204" t="s">
        <v>224</v>
      </c>
      <c r="L1084" s="199">
        <v>1</v>
      </c>
      <c r="M1084" s="200">
        <v>0.7</v>
      </c>
      <c r="N1084" s="201">
        <v>26</v>
      </c>
    </row>
    <row r="1085" spans="1:14">
      <c r="A1085" s="194">
        <v>41298.607916666668</v>
      </c>
      <c r="B1085" s="195">
        <v>2062</v>
      </c>
      <c r="C1085" s="194"/>
      <c r="D1085" s="194"/>
      <c r="E1085" s="196" t="s">
        <v>1287</v>
      </c>
      <c r="F1085" s="195">
        <v>800</v>
      </c>
      <c r="G1085" s="197" t="s">
        <v>470</v>
      </c>
      <c r="H1085" s="197" t="s">
        <v>471</v>
      </c>
      <c r="J1085" s="195">
        <v>1</v>
      </c>
      <c r="K1085" s="204" t="s">
        <v>224</v>
      </c>
      <c r="L1085" s="199">
        <v>2</v>
      </c>
      <c r="M1085" s="200">
        <v>0.9</v>
      </c>
      <c r="N1085" s="201">
        <v>26</v>
      </c>
    </row>
    <row r="1086" spans="1:14">
      <c r="A1086" s="194">
        <v>41289.564918981479</v>
      </c>
      <c r="B1086" s="195">
        <v>2062</v>
      </c>
      <c r="C1086" s="194"/>
      <c r="D1086" s="194"/>
      <c r="E1086" s="196" t="s">
        <v>994</v>
      </c>
      <c r="F1086" s="195">
        <v>800</v>
      </c>
      <c r="G1086" s="197" t="s">
        <v>470</v>
      </c>
      <c r="H1086" s="197" t="s">
        <v>471</v>
      </c>
      <c r="J1086" s="195">
        <v>1</v>
      </c>
      <c r="K1086" s="204" t="s">
        <v>224</v>
      </c>
      <c r="L1086" s="199">
        <v>1</v>
      </c>
      <c r="M1086" s="200">
        <v>0.3</v>
      </c>
      <c r="N1086" s="201">
        <v>27</v>
      </c>
    </row>
    <row r="1087" spans="1:14">
      <c r="A1087" s="194">
        <v>41275.4219212963</v>
      </c>
      <c r="B1087" s="195">
        <v>2062</v>
      </c>
      <c r="C1087" s="194"/>
      <c r="D1087" s="194"/>
      <c r="E1087" s="196" t="s">
        <v>483</v>
      </c>
      <c r="F1087" s="195">
        <v>800</v>
      </c>
      <c r="G1087" s="197" t="s">
        <v>470</v>
      </c>
      <c r="H1087" s="197" t="s">
        <v>471</v>
      </c>
      <c r="J1087" s="195">
        <v>1</v>
      </c>
      <c r="K1087" s="204" t="s">
        <v>224</v>
      </c>
      <c r="L1087" s="199">
        <v>2</v>
      </c>
      <c r="M1087" s="200">
        <v>0.4</v>
      </c>
      <c r="N1087" s="201">
        <v>27</v>
      </c>
    </row>
    <row r="1088" spans="1:14">
      <c r="A1088" s="194">
        <v>41277.611435185187</v>
      </c>
      <c r="B1088" s="195">
        <v>2062</v>
      </c>
      <c r="C1088" s="194"/>
      <c r="D1088" s="194"/>
      <c r="E1088" s="196" t="s">
        <v>612</v>
      </c>
      <c r="F1088" s="195">
        <v>800</v>
      </c>
      <c r="G1088" s="197" t="s">
        <v>470</v>
      </c>
      <c r="H1088" s="197" t="s">
        <v>471</v>
      </c>
      <c r="J1088" s="195">
        <v>1</v>
      </c>
      <c r="K1088" s="204" t="s">
        <v>224</v>
      </c>
      <c r="L1088" s="199">
        <v>2</v>
      </c>
      <c r="M1088" s="200">
        <v>0.4</v>
      </c>
      <c r="N1088" s="201">
        <v>27</v>
      </c>
    </row>
    <row r="1089" spans="1:14">
      <c r="A1089" s="194">
        <v>41281.596180555556</v>
      </c>
      <c r="B1089" s="195">
        <v>2062</v>
      </c>
      <c r="C1089" s="194"/>
      <c r="D1089" s="194"/>
      <c r="E1089" s="196" t="s">
        <v>705</v>
      </c>
      <c r="F1089" s="195">
        <v>800</v>
      </c>
      <c r="G1089" s="197" t="s">
        <v>470</v>
      </c>
      <c r="H1089" s="197" t="s">
        <v>471</v>
      </c>
      <c r="J1089" s="195">
        <v>1</v>
      </c>
      <c r="K1089" s="204" t="s">
        <v>224</v>
      </c>
      <c r="L1089" s="199">
        <v>2</v>
      </c>
      <c r="M1089" s="200">
        <v>0.5</v>
      </c>
      <c r="N1089" s="201">
        <v>27</v>
      </c>
    </row>
    <row r="1090" spans="1:14">
      <c r="A1090" s="194">
        <v>41297.289988425924</v>
      </c>
      <c r="B1090" s="195">
        <v>2062</v>
      </c>
      <c r="C1090" s="194"/>
      <c r="D1090" s="194"/>
      <c r="E1090" s="196" t="s">
        <v>1299</v>
      </c>
      <c r="F1090" s="195">
        <v>800</v>
      </c>
      <c r="G1090" s="197" t="s">
        <v>470</v>
      </c>
      <c r="H1090" s="197" t="s">
        <v>471</v>
      </c>
      <c r="J1090" s="195">
        <v>1</v>
      </c>
      <c r="K1090" s="204" t="s">
        <v>224</v>
      </c>
      <c r="L1090" s="199">
        <v>1</v>
      </c>
      <c r="M1090" s="200">
        <v>0.6</v>
      </c>
      <c r="N1090" s="201">
        <v>27</v>
      </c>
    </row>
    <row r="1091" spans="1:14">
      <c r="A1091" s="194">
        <v>41286.839942129627</v>
      </c>
      <c r="B1091" s="195">
        <v>2062</v>
      </c>
      <c r="C1091" s="194"/>
      <c r="D1091" s="194"/>
      <c r="E1091" s="196" t="s">
        <v>902</v>
      </c>
      <c r="F1091" s="195">
        <v>800</v>
      </c>
      <c r="G1091" s="197" t="s">
        <v>470</v>
      </c>
      <c r="H1091" s="197" t="s">
        <v>471</v>
      </c>
      <c r="J1091" s="195">
        <v>1</v>
      </c>
      <c r="K1091" s="204" t="s">
        <v>224</v>
      </c>
      <c r="L1091" s="199">
        <v>2</v>
      </c>
      <c r="M1091" s="200">
        <v>0.7</v>
      </c>
      <c r="N1091" s="201">
        <v>27</v>
      </c>
    </row>
    <row r="1092" spans="1:14">
      <c r="A1092" s="194">
        <v>41303.339305555557</v>
      </c>
      <c r="B1092" s="195">
        <v>2062</v>
      </c>
      <c r="C1092" s="194"/>
      <c r="D1092" s="194"/>
      <c r="E1092" s="196" t="s">
        <v>1488</v>
      </c>
      <c r="F1092" s="195">
        <v>800</v>
      </c>
      <c r="G1092" s="197" t="s">
        <v>470</v>
      </c>
      <c r="H1092" s="197" t="s">
        <v>471</v>
      </c>
      <c r="J1092" s="195">
        <v>1</v>
      </c>
      <c r="K1092" s="204" t="s">
        <v>224</v>
      </c>
      <c r="L1092" s="199">
        <v>2</v>
      </c>
      <c r="M1092" s="200">
        <v>0.8</v>
      </c>
      <c r="N1092" s="201">
        <v>27</v>
      </c>
    </row>
    <row r="1093" spans="1:14">
      <c r="A1093" s="194">
        <v>41289.472569444442</v>
      </c>
      <c r="B1093" s="195">
        <v>2062</v>
      </c>
      <c r="C1093" s="194"/>
      <c r="D1093" s="194"/>
      <c r="E1093" s="196" t="s">
        <v>992</v>
      </c>
      <c r="F1093" s="195">
        <v>800</v>
      </c>
      <c r="G1093" s="197" t="s">
        <v>470</v>
      </c>
      <c r="H1093" s="197" t="s">
        <v>471</v>
      </c>
      <c r="J1093" s="195">
        <v>1</v>
      </c>
      <c r="K1093" s="204" t="s">
        <v>224</v>
      </c>
      <c r="L1093" s="199">
        <v>1</v>
      </c>
      <c r="M1093" s="200">
        <v>0.9</v>
      </c>
      <c r="N1093" s="201">
        <v>27</v>
      </c>
    </row>
    <row r="1094" spans="1:14">
      <c r="A1094" s="194">
        <v>41278.545567129629</v>
      </c>
      <c r="B1094" s="195">
        <v>2062</v>
      </c>
      <c r="C1094" s="194"/>
      <c r="D1094" s="194"/>
      <c r="E1094" s="196" t="s">
        <v>589</v>
      </c>
      <c r="F1094" s="195">
        <v>800</v>
      </c>
      <c r="G1094" s="197" t="s">
        <v>470</v>
      </c>
      <c r="H1094" s="197" t="s">
        <v>471</v>
      </c>
      <c r="J1094" s="195">
        <v>1</v>
      </c>
      <c r="K1094" s="204" t="s">
        <v>224</v>
      </c>
      <c r="L1094" s="199">
        <v>2</v>
      </c>
      <c r="M1094" s="200">
        <v>1.1000000000000001</v>
      </c>
      <c r="N1094" s="201">
        <v>27</v>
      </c>
    </row>
    <row r="1095" spans="1:14">
      <c r="A1095" s="194">
        <v>41297.86346064815</v>
      </c>
      <c r="B1095" s="195">
        <v>2062</v>
      </c>
      <c r="C1095" s="194"/>
      <c r="D1095" s="194"/>
      <c r="E1095" s="196" t="s">
        <v>1302</v>
      </c>
      <c r="F1095" s="195">
        <v>800</v>
      </c>
      <c r="G1095" s="197" t="s">
        <v>470</v>
      </c>
      <c r="H1095" s="197" t="s">
        <v>471</v>
      </c>
      <c r="J1095" s="195">
        <v>1</v>
      </c>
      <c r="K1095" s="204" t="s">
        <v>224</v>
      </c>
      <c r="L1095" s="199">
        <v>1</v>
      </c>
      <c r="M1095" s="200">
        <v>1.2</v>
      </c>
      <c r="N1095" s="201">
        <v>27</v>
      </c>
    </row>
    <row r="1096" spans="1:14">
      <c r="A1096" s="194">
        <v>41288.578101851854</v>
      </c>
      <c r="B1096" s="195">
        <v>2062</v>
      </c>
      <c r="C1096" s="194"/>
      <c r="D1096" s="194"/>
      <c r="E1096" s="196" t="s">
        <v>952</v>
      </c>
      <c r="F1096" s="195">
        <v>800</v>
      </c>
      <c r="G1096" s="197" t="s">
        <v>470</v>
      </c>
      <c r="H1096" s="197" t="s">
        <v>471</v>
      </c>
      <c r="J1096" s="195">
        <v>1</v>
      </c>
      <c r="K1096" s="204" t="s">
        <v>224</v>
      </c>
      <c r="L1096" s="199">
        <v>1</v>
      </c>
      <c r="M1096" s="200">
        <v>1.3</v>
      </c>
      <c r="N1096" s="201">
        <v>27</v>
      </c>
    </row>
    <row r="1097" spans="1:14">
      <c r="A1097" s="194">
        <v>41299.312256944446</v>
      </c>
      <c r="B1097" s="195">
        <v>2062</v>
      </c>
      <c r="C1097" s="194"/>
      <c r="D1097" s="194"/>
      <c r="E1097" s="196" t="s">
        <v>1368</v>
      </c>
      <c r="F1097" s="195">
        <v>800</v>
      </c>
      <c r="G1097" s="197" t="s">
        <v>470</v>
      </c>
      <c r="H1097" s="197" t="s">
        <v>471</v>
      </c>
      <c r="J1097" s="195">
        <v>1</v>
      </c>
      <c r="K1097" s="204" t="s">
        <v>224</v>
      </c>
      <c r="L1097" s="199">
        <v>2</v>
      </c>
      <c r="M1097" s="200">
        <v>0.3</v>
      </c>
      <c r="N1097" s="201">
        <v>28</v>
      </c>
    </row>
    <row r="1098" spans="1:14">
      <c r="A1098" s="194">
        <v>41275.508715277778</v>
      </c>
      <c r="B1098" s="195">
        <v>2062</v>
      </c>
      <c r="C1098" s="194"/>
      <c r="D1098" s="194"/>
      <c r="E1098" s="196" t="s">
        <v>485</v>
      </c>
      <c r="F1098" s="195">
        <v>800</v>
      </c>
      <c r="G1098" s="197" t="s">
        <v>470</v>
      </c>
      <c r="H1098" s="197" t="s">
        <v>471</v>
      </c>
      <c r="J1098" s="195">
        <v>1</v>
      </c>
      <c r="K1098" s="204" t="s">
        <v>224</v>
      </c>
      <c r="L1098" s="199">
        <v>3</v>
      </c>
      <c r="M1098" s="200">
        <v>0.4</v>
      </c>
      <c r="N1098" s="201">
        <v>28</v>
      </c>
    </row>
    <row r="1099" spans="1:14">
      <c r="A1099" s="194">
        <v>41302.830127314817</v>
      </c>
      <c r="B1099" s="195">
        <v>2062</v>
      </c>
      <c r="C1099" s="194"/>
      <c r="D1099" s="194"/>
      <c r="E1099" s="196" t="s">
        <v>1465</v>
      </c>
      <c r="F1099" s="195">
        <v>800</v>
      </c>
      <c r="G1099" s="197" t="s">
        <v>470</v>
      </c>
      <c r="H1099" s="197" t="s">
        <v>471</v>
      </c>
      <c r="J1099" s="195">
        <v>1</v>
      </c>
      <c r="K1099" s="204" t="s">
        <v>224</v>
      </c>
      <c r="L1099" s="199">
        <v>1</v>
      </c>
      <c r="M1099" s="200">
        <v>0.6</v>
      </c>
      <c r="N1099" s="201">
        <v>28</v>
      </c>
    </row>
    <row r="1100" spans="1:14">
      <c r="A1100" s="194">
        <v>41301.039849537039</v>
      </c>
      <c r="B1100" s="195">
        <v>2062</v>
      </c>
      <c r="C1100" s="194"/>
      <c r="D1100" s="194"/>
      <c r="E1100" s="196" t="s">
        <v>1384</v>
      </c>
      <c r="F1100" s="195">
        <v>800</v>
      </c>
      <c r="G1100" s="197" t="s">
        <v>470</v>
      </c>
      <c r="H1100" s="197" t="s">
        <v>471</v>
      </c>
      <c r="J1100" s="195">
        <v>1</v>
      </c>
      <c r="K1100" s="204" t="s">
        <v>224</v>
      </c>
      <c r="L1100" s="199">
        <v>1</v>
      </c>
      <c r="M1100" s="200">
        <v>0.7</v>
      </c>
      <c r="N1100" s="201">
        <v>28</v>
      </c>
    </row>
    <row r="1101" spans="1:14">
      <c r="A1101" s="194">
        <v>41290.583657407406</v>
      </c>
      <c r="B1101" s="195">
        <v>2062</v>
      </c>
      <c r="C1101" s="194"/>
      <c r="D1101" s="194"/>
      <c r="E1101" s="196" t="s">
        <v>1026</v>
      </c>
      <c r="F1101" s="195">
        <v>800</v>
      </c>
      <c r="G1101" s="197" t="s">
        <v>470</v>
      </c>
      <c r="H1101" s="197" t="s">
        <v>471</v>
      </c>
      <c r="J1101" s="195">
        <v>1</v>
      </c>
      <c r="K1101" s="204" t="s">
        <v>224</v>
      </c>
      <c r="L1101" s="199">
        <v>1</v>
      </c>
      <c r="M1101" s="200">
        <v>0.8</v>
      </c>
      <c r="N1101" s="201">
        <v>28</v>
      </c>
    </row>
    <row r="1102" spans="1:14">
      <c r="A1102" s="194">
        <v>41297.813472222224</v>
      </c>
      <c r="B1102" s="195">
        <v>2062</v>
      </c>
      <c r="C1102" s="194"/>
      <c r="D1102" s="194"/>
      <c r="E1102" s="196" t="s">
        <v>1301</v>
      </c>
      <c r="F1102" s="195">
        <v>800</v>
      </c>
      <c r="G1102" s="197" t="s">
        <v>470</v>
      </c>
      <c r="H1102" s="197" t="s">
        <v>471</v>
      </c>
      <c r="J1102" s="195">
        <v>1</v>
      </c>
      <c r="K1102" s="204" t="s">
        <v>224</v>
      </c>
      <c r="L1102" s="199">
        <v>1</v>
      </c>
      <c r="M1102" s="200">
        <v>0.9</v>
      </c>
      <c r="N1102" s="201">
        <v>28</v>
      </c>
    </row>
    <row r="1103" spans="1:14">
      <c r="A1103" s="194">
        <v>41278.046388888892</v>
      </c>
      <c r="B1103" s="195">
        <v>2062</v>
      </c>
      <c r="C1103" s="194"/>
      <c r="D1103" s="194"/>
      <c r="E1103" s="196" t="s">
        <v>584</v>
      </c>
      <c r="F1103" s="195">
        <v>800</v>
      </c>
      <c r="G1103" s="197" t="s">
        <v>470</v>
      </c>
      <c r="H1103" s="197" t="s">
        <v>471</v>
      </c>
      <c r="J1103" s="195">
        <v>1</v>
      </c>
      <c r="K1103" s="204" t="s">
        <v>224</v>
      </c>
      <c r="L1103" s="199">
        <v>2</v>
      </c>
      <c r="M1103" s="200">
        <v>15.6</v>
      </c>
      <c r="N1103" s="201">
        <v>28</v>
      </c>
    </row>
    <row r="1104" spans="1:14">
      <c r="A1104" s="194">
        <v>41281.333912037036</v>
      </c>
      <c r="B1104" s="195">
        <v>2062</v>
      </c>
      <c r="C1104" s="194"/>
      <c r="D1104" s="194"/>
      <c r="E1104" s="196" t="s">
        <v>704</v>
      </c>
      <c r="F1104" s="195">
        <v>800</v>
      </c>
      <c r="G1104" s="197" t="s">
        <v>470</v>
      </c>
      <c r="H1104" s="197" t="s">
        <v>471</v>
      </c>
      <c r="J1104" s="195">
        <v>1</v>
      </c>
      <c r="K1104" s="204" t="s">
        <v>224</v>
      </c>
      <c r="L1104" s="199">
        <v>1</v>
      </c>
      <c r="M1104" s="200">
        <v>0.3</v>
      </c>
      <c r="N1104" s="201">
        <v>29</v>
      </c>
    </row>
    <row r="1105" spans="1:14">
      <c r="A1105" s="194">
        <v>41288.530185185184</v>
      </c>
      <c r="B1105" s="195">
        <v>2062</v>
      </c>
      <c r="C1105" s="194"/>
      <c r="D1105" s="194"/>
      <c r="E1105" s="196" t="s">
        <v>951</v>
      </c>
      <c r="F1105" s="195">
        <v>800</v>
      </c>
      <c r="G1105" s="197" t="s">
        <v>470</v>
      </c>
      <c r="H1105" s="197" t="s">
        <v>471</v>
      </c>
      <c r="J1105" s="195">
        <v>1</v>
      </c>
      <c r="K1105" s="204" t="s">
        <v>224</v>
      </c>
      <c r="L1105" s="199">
        <v>1</v>
      </c>
      <c r="M1105" s="200">
        <v>0.3</v>
      </c>
      <c r="N1105" s="201">
        <v>29</v>
      </c>
    </row>
    <row r="1106" spans="1:14">
      <c r="A1106" s="194">
        <v>41301.488483796296</v>
      </c>
      <c r="B1106" s="195">
        <v>2062</v>
      </c>
      <c r="C1106" s="194"/>
      <c r="D1106" s="194"/>
      <c r="E1106" s="196" t="s">
        <v>1389</v>
      </c>
      <c r="F1106" s="195">
        <v>800</v>
      </c>
      <c r="G1106" s="197" t="s">
        <v>470</v>
      </c>
      <c r="H1106" s="197" t="s">
        <v>471</v>
      </c>
      <c r="J1106" s="195">
        <v>1</v>
      </c>
      <c r="K1106" s="204" t="s">
        <v>224</v>
      </c>
      <c r="L1106" s="199">
        <v>1</v>
      </c>
      <c r="M1106" s="200">
        <v>0.3</v>
      </c>
      <c r="N1106" s="201">
        <v>29</v>
      </c>
    </row>
    <row r="1107" spans="1:14">
      <c r="A1107" s="194">
        <v>41277.241331018522</v>
      </c>
      <c r="B1107" s="195">
        <v>2062</v>
      </c>
      <c r="C1107" s="194"/>
      <c r="D1107" s="194"/>
      <c r="E1107" s="196" t="s">
        <v>496</v>
      </c>
      <c r="F1107" s="195">
        <v>800</v>
      </c>
      <c r="G1107" s="197" t="s">
        <v>470</v>
      </c>
      <c r="H1107" s="197" t="s">
        <v>471</v>
      </c>
      <c r="J1107" s="195">
        <v>1</v>
      </c>
      <c r="K1107" s="204" t="s">
        <v>224</v>
      </c>
      <c r="L1107" s="199">
        <v>2</v>
      </c>
      <c r="M1107" s="200">
        <v>0.4</v>
      </c>
      <c r="N1107" s="201">
        <v>29</v>
      </c>
    </row>
    <row r="1108" spans="1:14">
      <c r="A1108" s="194">
        <v>41301.47320601852</v>
      </c>
      <c r="B1108" s="195">
        <v>2062</v>
      </c>
      <c r="C1108" s="194"/>
      <c r="D1108" s="194"/>
      <c r="E1108" s="196" t="s">
        <v>1388</v>
      </c>
      <c r="F1108" s="195">
        <v>800</v>
      </c>
      <c r="G1108" s="197" t="s">
        <v>470</v>
      </c>
      <c r="H1108" s="197" t="s">
        <v>471</v>
      </c>
      <c r="J1108" s="195">
        <v>1</v>
      </c>
      <c r="K1108" s="204" t="s">
        <v>224</v>
      </c>
      <c r="L1108" s="199">
        <v>1</v>
      </c>
      <c r="M1108" s="200">
        <v>0.4</v>
      </c>
      <c r="N1108" s="201">
        <v>29</v>
      </c>
    </row>
    <row r="1109" spans="1:14">
      <c r="A1109" s="194">
        <v>41302.546111111114</v>
      </c>
      <c r="B1109" s="195">
        <v>2062</v>
      </c>
      <c r="C1109" s="194"/>
      <c r="D1109" s="194"/>
      <c r="E1109" s="196" t="s">
        <v>1463</v>
      </c>
      <c r="F1109" s="195">
        <v>800</v>
      </c>
      <c r="G1109" s="197" t="s">
        <v>470</v>
      </c>
      <c r="H1109" s="197" t="s">
        <v>471</v>
      </c>
      <c r="J1109" s="195">
        <v>1</v>
      </c>
      <c r="K1109" s="204" t="s">
        <v>224</v>
      </c>
      <c r="L1109" s="199">
        <v>1</v>
      </c>
      <c r="M1109" s="200">
        <v>0.7</v>
      </c>
      <c r="N1109" s="201">
        <v>29</v>
      </c>
    </row>
    <row r="1110" spans="1:14">
      <c r="A1110" s="194">
        <v>41283.979479166665</v>
      </c>
      <c r="B1110" s="195">
        <v>2062</v>
      </c>
      <c r="C1110" s="194"/>
      <c r="D1110" s="194"/>
      <c r="E1110" s="196" t="s">
        <v>757</v>
      </c>
      <c r="F1110" s="195">
        <v>800</v>
      </c>
      <c r="G1110" s="197" t="s">
        <v>470</v>
      </c>
      <c r="H1110" s="197" t="s">
        <v>471</v>
      </c>
      <c r="J1110" s="195">
        <v>1</v>
      </c>
      <c r="K1110" s="204" t="s">
        <v>224</v>
      </c>
      <c r="L1110" s="199">
        <v>1</v>
      </c>
      <c r="M1110" s="200">
        <v>0.8</v>
      </c>
      <c r="N1110" s="201">
        <v>29</v>
      </c>
    </row>
    <row r="1111" spans="1:14">
      <c r="A1111" s="194">
        <v>41300.816979166666</v>
      </c>
      <c r="B1111" s="195">
        <v>2062</v>
      </c>
      <c r="C1111" s="194"/>
      <c r="D1111" s="194"/>
      <c r="E1111" s="196" t="s">
        <v>1432</v>
      </c>
      <c r="F1111" s="195">
        <v>800</v>
      </c>
      <c r="G1111" s="197" t="s">
        <v>470</v>
      </c>
      <c r="H1111" s="197" t="s">
        <v>471</v>
      </c>
      <c r="J1111" s="195">
        <v>1</v>
      </c>
      <c r="K1111" s="204" t="s">
        <v>224</v>
      </c>
      <c r="L1111" s="199">
        <v>1</v>
      </c>
      <c r="M1111" s="200">
        <v>0.8</v>
      </c>
      <c r="N1111" s="201">
        <v>29</v>
      </c>
    </row>
    <row r="1112" spans="1:14">
      <c r="A1112" s="194">
        <v>41301.53502314815</v>
      </c>
      <c r="B1112" s="195">
        <v>2062</v>
      </c>
      <c r="C1112" s="194"/>
      <c r="D1112" s="194"/>
      <c r="E1112" s="196" t="s">
        <v>1392</v>
      </c>
      <c r="F1112" s="195">
        <v>800</v>
      </c>
      <c r="G1112" s="197" t="s">
        <v>470</v>
      </c>
      <c r="H1112" s="197" t="s">
        <v>471</v>
      </c>
      <c r="J1112" s="195">
        <v>1</v>
      </c>
      <c r="K1112" s="204" t="s">
        <v>224</v>
      </c>
      <c r="L1112" s="199">
        <v>2</v>
      </c>
      <c r="M1112" s="200">
        <v>1.2</v>
      </c>
      <c r="N1112" s="201">
        <v>29</v>
      </c>
    </row>
    <row r="1113" spans="1:14">
      <c r="A1113" s="194">
        <v>41302.458657407406</v>
      </c>
      <c r="B1113" s="195">
        <v>2062</v>
      </c>
      <c r="C1113" s="194"/>
      <c r="D1113" s="194"/>
      <c r="E1113" s="196" t="s">
        <v>1462</v>
      </c>
      <c r="F1113" s="195">
        <v>800</v>
      </c>
      <c r="G1113" s="197" t="s">
        <v>470</v>
      </c>
      <c r="H1113" s="197" t="s">
        <v>471</v>
      </c>
      <c r="J1113" s="195">
        <v>1</v>
      </c>
      <c r="K1113" s="204" t="s">
        <v>224</v>
      </c>
      <c r="L1113" s="199">
        <v>2</v>
      </c>
      <c r="M1113" s="200">
        <v>1.6</v>
      </c>
      <c r="N1113" s="201">
        <v>29</v>
      </c>
    </row>
    <row r="1114" spans="1:14">
      <c r="A1114" s="194">
        <v>41299.836412037039</v>
      </c>
      <c r="B1114" s="195">
        <v>2062</v>
      </c>
      <c r="C1114" s="194"/>
      <c r="D1114" s="194"/>
      <c r="E1114" s="196" t="s">
        <v>1376</v>
      </c>
      <c r="F1114" s="195">
        <v>800</v>
      </c>
      <c r="G1114" s="197" t="s">
        <v>470</v>
      </c>
      <c r="H1114" s="197" t="s">
        <v>471</v>
      </c>
      <c r="J1114" s="195">
        <v>1</v>
      </c>
      <c r="K1114" s="204" t="s">
        <v>224</v>
      </c>
      <c r="L1114" s="199">
        <v>2</v>
      </c>
      <c r="M1114" s="200">
        <v>0.3</v>
      </c>
      <c r="N1114" s="201">
        <v>30</v>
      </c>
    </row>
    <row r="1115" spans="1:14">
      <c r="A1115" s="194">
        <v>41301.081504629627</v>
      </c>
      <c r="B1115" s="195">
        <v>2062</v>
      </c>
      <c r="C1115" s="194"/>
      <c r="D1115" s="194"/>
      <c r="E1115" s="196" t="s">
        <v>1386</v>
      </c>
      <c r="F1115" s="195">
        <v>800</v>
      </c>
      <c r="G1115" s="197" t="s">
        <v>470</v>
      </c>
      <c r="H1115" s="197" t="s">
        <v>471</v>
      </c>
      <c r="J1115" s="195">
        <v>1</v>
      </c>
      <c r="K1115" s="204" t="s">
        <v>224</v>
      </c>
      <c r="L1115" s="199">
        <v>1</v>
      </c>
      <c r="M1115" s="200">
        <v>0.3</v>
      </c>
      <c r="N1115" s="201">
        <v>30</v>
      </c>
    </row>
    <row r="1116" spans="1:14">
      <c r="A1116" s="194">
        <v>41288.292129629626</v>
      </c>
      <c r="B1116" s="195">
        <v>2062</v>
      </c>
      <c r="C1116" s="194"/>
      <c r="D1116" s="194"/>
      <c r="E1116" s="196" t="s">
        <v>948</v>
      </c>
      <c r="F1116" s="195">
        <v>800</v>
      </c>
      <c r="G1116" s="197" t="s">
        <v>470</v>
      </c>
      <c r="H1116" s="197" t="s">
        <v>471</v>
      </c>
      <c r="J1116" s="195">
        <v>1</v>
      </c>
      <c r="K1116" s="204" t="s">
        <v>224</v>
      </c>
      <c r="L1116" s="199">
        <v>1</v>
      </c>
      <c r="M1116" s="200">
        <v>0.5</v>
      </c>
      <c r="N1116" s="201">
        <v>30</v>
      </c>
    </row>
    <row r="1117" spans="1:14">
      <c r="A1117" s="194">
        <v>41290.408796296295</v>
      </c>
      <c r="B1117" s="195">
        <v>2062</v>
      </c>
      <c r="C1117" s="194"/>
      <c r="D1117" s="194"/>
      <c r="E1117" s="196" t="s">
        <v>1025</v>
      </c>
      <c r="F1117" s="195">
        <v>800</v>
      </c>
      <c r="G1117" s="197" t="s">
        <v>470</v>
      </c>
      <c r="H1117" s="197" t="s">
        <v>471</v>
      </c>
      <c r="J1117" s="195">
        <v>1</v>
      </c>
      <c r="K1117" s="204" t="s">
        <v>224</v>
      </c>
      <c r="L1117" s="199">
        <v>1</v>
      </c>
      <c r="M1117" s="200">
        <v>0.7</v>
      </c>
      <c r="N1117" s="201">
        <v>30</v>
      </c>
    </row>
    <row r="1118" spans="1:14">
      <c r="A1118" s="194">
        <v>41298.841238425928</v>
      </c>
      <c r="B1118" s="195">
        <v>2062</v>
      </c>
      <c r="C1118" s="194"/>
      <c r="D1118" s="194"/>
      <c r="E1118" s="196" t="s">
        <v>1291</v>
      </c>
      <c r="F1118" s="195">
        <v>800</v>
      </c>
      <c r="G1118" s="197" t="s">
        <v>470</v>
      </c>
      <c r="H1118" s="197" t="s">
        <v>471</v>
      </c>
      <c r="J1118" s="195">
        <v>1</v>
      </c>
      <c r="K1118" s="204" t="s">
        <v>224</v>
      </c>
      <c r="L1118" s="199">
        <v>2</v>
      </c>
      <c r="M1118" s="200">
        <v>1.1000000000000001</v>
      </c>
      <c r="N1118" s="201">
        <v>30</v>
      </c>
    </row>
    <row r="1119" spans="1:14">
      <c r="A1119" s="194">
        <v>41276.360995370371</v>
      </c>
      <c r="B1119" s="195">
        <v>2062</v>
      </c>
      <c r="C1119" s="194"/>
      <c r="D1119" s="194"/>
      <c r="E1119" s="196" t="s">
        <v>502</v>
      </c>
      <c r="F1119" s="195">
        <v>800</v>
      </c>
      <c r="G1119" s="197" t="s">
        <v>470</v>
      </c>
      <c r="H1119" s="197" t="s">
        <v>471</v>
      </c>
      <c r="J1119" s="195">
        <v>1</v>
      </c>
      <c r="K1119" s="204" t="s">
        <v>224</v>
      </c>
      <c r="L1119" s="199">
        <v>1</v>
      </c>
      <c r="M1119" s="200">
        <v>0.3</v>
      </c>
      <c r="N1119" s="201">
        <v>31</v>
      </c>
    </row>
    <row r="1120" spans="1:14">
      <c r="A1120" s="194">
        <v>41279.85596064815</v>
      </c>
      <c r="B1120" s="195">
        <v>2062</v>
      </c>
      <c r="C1120" s="194"/>
      <c r="D1120" s="194"/>
      <c r="E1120" s="196" t="s">
        <v>637</v>
      </c>
      <c r="F1120" s="195">
        <v>800</v>
      </c>
      <c r="G1120" s="197" t="s">
        <v>470</v>
      </c>
      <c r="H1120" s="197" t="s">
        <v>471</v>
      </c>
      <c r="J1120" s="195">
        <v>1</v>
      </c>
      <c r="K1120" s="204" t="s">
        <v>224</v>
      </c>
      <c r="L1120" s="199">
        <v>2</v>
      </c>
      <c r="M1120" s="200">
        <v>0.4</v>
      </c>
      <c r="N1120" s="201">
        <v>31</v>
      </c>
    </row>
    <row r="1121" spans="1:14">
      <c r="A1121" s="194">
        <v>41286.689212962963</v>
      </c>
      <c r="B1121" s="195">
        <v>2062</v>
      </c>
      <c r="C1121" s="194"/>
      <c r="D1121" s="194"/>
      <c r="E1121" s="196" t="s">
        <v>900</v>
      </c>
      <c r="F1121" s="195">
        <v>800</v>
      </c>
      <c r="G1121" s="197" t="s">
        <v>470</v>
      </c>
      <c r="H1121" s="197" t="s">
        <v>471</v>
      </c>
      <c r="J1121" s="195">
        <v>1</v>
      </c>
      <c r="K1121" s="204" t="s">
        <v>224</v>
      </c>
      <c r="L1121" s="199">
        <v>1</v>
      </c>
      <c r="M1121" s="200">
        <v>0.4</v>
      </c>
      <c r="N1121" s="201">
        <v>31</v>
      </c>
    </row>
    <row r="1122" spans="1:14">
      <c r="A1122" s="194">
        <v>41305.936377314814</v>
      </c>
      <c r="B1122" s="195">
        <v>2062</v>
      </c>
      <c r="C1122" s="194"/>
      <c r="D1122" s="194"/>
      <c r="E1122" s="196" t="s">
        <v>1568</v>
      </c>
      <c r="F1122" s="195">
        <v>800</v>
      </c>
      <c r="G1122" s="197" t="s">
        <v>470</v>
      </c>
      <c r="H1122" s="197" t="s">
        <v>471</v>
      </c>
      <c r="J1122" s="195">
        <v>1</v>
      </c>
      <c r="K1122" s="204" t="s">
        <v>224</v>
      </c>
      <c r="L1122" s="199">
        <v>1</v>
      </c>
      <c r="M1122" s="200">
        <v>0.4</v>
      </c>
      <c r="N1122" s="201">
        <v>31</v>
      </c>
    </row>
    <row r="1123" spans="1:14">
      <c r="A1123" s="194">
        <v>41275.669930555552</v>
      </c>
      <c r="B1123" s="195">
        <v>2062</v>
      </c>
      <c r="C1123" s="194"/>
      <c r="D1123" s="194"/>
      <c r="E1123" s="196" t="s">
        <v>488</v>
      </c>
      <c r="F1123" s="195">
        <v>800</v>
      </c>
      <c r="G1123" s="197" t="s">
        <v>470</v>
      </c>
      <c r="H1123" s="197" t="s">
        <v>471</v>
      </c>
      <c r="J1123" s="195">
        <v>1</v>
      </c>
      <c r="K1123" s="204" t="s">
        <v>224</v>
      </c>
      <c r="L1123" s="199">
        <v>2</v>
      </c>
      <c r="M1123" s="200">
        <v>0.5</v>
      </c>
      <c r="N1123" s="201">
        <v>31</v>
      </c>
    </row>
    <row r="1124" spans="1:14">
      <c r="A1124" s="194">
        <v>41297.282349537039</v>
      </c>
      <c r="B1124" s="195">
        <v>2062</v>
      </c>
      <c r="C1124" s="194"/>
      <c r="D1124" s="194"/>
      <c r="E1124" s="196" t="s">
        <v>1298</v>
      </c>
      <c r="F1124" s="195">
        <v>800</v>
      </c>
      <c r="G1124" s="197" t="s">
        <v>470</v>
      </c>
      <c r="H1124" s="197" t="s">
        <v>471</v>
      </c>
      <c r="J1124" s="195">
        <v>1</v>
      </c>
      <c r="K1124" s="204" t="s">
        <v>224</v>
      </c>
      <c r="L1124" s="199">
        <v>3</v>
      </c>
      <c r="M1124" s="200">
        <v>0.6</v>
      </c>
      <c r="N1124" s="201">
        <v>31</v>
      </c>
    </row>
    <row r="1125" spans="1:14">
      <c r="A1125" s="194">
        <v>41305.97247685185</v>
      </c>
      <c r="B1125" s="195">
        <v>2062</v>
      </c>
      <c r="C1125" s="194"/>
      <c r="D1125" s="194"/>
      <c r="E1125" s="196" t="s">
        <v>1569</v>
      </c>
      <c r="F1125" s="195">
        <v>800</v>
      </c>
      <c r="G1125" s="197" t="s">
        <v>470</v>
      </c>
      <c r="H1125" s="197" t="s">
        <v>471</v>
      </c>
      <c r="J1125" s="195">
        <v>1</v>
      </c>
      <c r="K1125" s="204" t="s">
        <v>224</v>
      </c>
      <c r="L1125" s="199">
        <v>2</v>
      </c>
      <c r="M1125" s="200">
        <v>0.6</v>
      </c>
      <c r="N1125" s="201">
        <v>31</v>
      </c>
    </row>
    <row r="1126" spans="1:14">
      <c r="A1126" s="194">
        <v>41285.821875000001</v>
      </c>
      <c r="B1126" s="195">
        <v>2062</v>
      </c>
      <c r="C1126" s="194"/>
      <c r="D1126" s="194"/>
      <c r="E1126" s="196" t="s">
        <v>910</v>
      </c>
      <c r="F1126" s="195">
        <v>800</v>
      </c>
      <c r="G1126" s="197" t="s">
        <v>470</v>
      </c>
      <c r="H1126" s="197" t="s">
        <v>471</v>
      </c>
      <c r="J1126" s="195">
        <v>1</v>
      </c>
      <c r="K1126" s="204" t="s">
        <v>224</v>
      </c>
      <c r="L1126" s="199">
        <v>2</v>
      </c>
      <c r="M1126" s="200">
        <v>0.7</v>
      </c>
      <c r="N1126" s="201">
        <v>31</v>
      </c>
    </row>
    <row r="1127" spans="1:14">
      <c r="A1127" s="194">
        <v>41298.541944444441</v>
      </c>
      <c r="B1127" s="195">
        <v>2062</v>
      </c>
      <c r="C1127" s="194"/>
      <c r="D1127" s="194"/>
      <c r="E1127" s="196" t="s">
        <v>1285</v>
      </c>
      <c r="F1127" s="195">
        <v>800</v>
      </c>
      <c r="G1127" s="197" t="s">
        <v>470</v>
      </c>
      <c r="H1127" s="197" t="s">
        <v>471</v>
      </c>
      <c r="J1127" s="195">
        <v>1</v>
      </c>
      <c r="K1127" s="204" t="s">
        <v>224</v>
      </c>
      <c r="L1127" s="199">
        <v>2</v>
      </c>
      <c r="M1127" s="200">
        <v>0.7</v>
      </c>
      <c r="N1127" s="201">
        <v>31</v>
      </c>
    </row>
    <row r="1128" spans="1:14">
      <c r="A1128" s="194">
        <v>41276.626863425925</v>
      </c>
      <c r="B1128" s="195">
        <v>2062</v>
      </c>
      <c r="C1128" s="194"/>
      <c r="D1128" s="194"/>
      <c r="E1128" s="196" t="s">
        <v>505</v>
      </c>
      <c r="F1128" s="195">
        <v>800</v>
      </c>
      <c r="G1128" s="197" t="s">
        <v>470</v>
      </c>
      <c r="H1128" s="197" t="s">
        <v>471</v>
      </c>
      <c r="J1128" s="195">
        <v>1</v>
      </c>
      <c r="K1128" s="204" t="s">
        <v>224</v>
      </c>
      <c r="L1128" s="199">
        <v>1</v>
      </c>
      <c r="M1128" s="200">
        <v>1.2</v>
      </c>
      <c r="N1128" s="201">
        <v>31</v>
      </c>
    </row>
    <row r="1129" spans="1:14">
      <c r="A1129" s="194">
        <v>41278.364444444444</v>
      </c>
      <c r="B1129" s="195">
        <v>2062</v>
      </c>
      <c r="C1129" s="194"/>
      <c r="D1129" s="194"/>
      <c r="E1129" s="196" t="s">
        <v>585</v>
      </c>
      <c r="F1129" s="195">
        <v>800</v>
      </c>
      <c r="G1129" s="197" t="s">
        <v>470</v>
      </c>
      <c r="H1129" s="197" t="s">
        <v>471</v>
      </c>
      <c r="J1129" s="195">
        <v>1</v>
      </c>
      <c r="K1129" s="204" t="s">
        <v>224</v>
      </c>
      <c r="L1129" s="199">
        <v>1</v>
      </c>
      <c r="M1129" s="200">
        <v>1.3</v>
      </c>
      <c r="N1129" s="201">
        <v>31</v>
      </c>
    </row>
    <row r="1130" spans="1:14">
      <c r="A1130" s="194">
        <v>41303.647604166668</v>
      </c>
      <c r="B1130" s="195">
        <v>2062</v>
      </c>
      <c r="C1130" s="194"/>
      <c r="D1130" s="194"/>
      <c r="E1130" s="196" t="s">
        <v>1490</v>
      </c>
      <c r="F1130" s="195">
        <v>800</v>
      </c>
      <c r="G1130" s="197" t="s">
        <v>470</v>
      </c>
      <c r="H1130" s="197" t="s">
        <v>471</v>
      </c>
      <c r="J1130" s="195">
        <v>1</v>
      </c>
      <c r="K1130" s="204" t="s">
        <v>224</v>
      </c>
      <c r="L1130" s="199">
        <v>2</v>
      </c>
      <c r="M1130" s="200">
        <v>0.7</v>
      </c>
      <c r="N1130" s="201">
        <v>32</v>
      </c>
    </row>
    <row r="1131" spans="1:14">
      <c r="A1131" s="194">
        <v>41288.599618055552</v>
      </c>
      <c r="B1131" s="195">
        <v>2062</v>
      </c>
      <c r="C1131" s="194"/>
      <c r="D1131" s="194"/>
      <c r="E1131" s="196" t="s">
        <v>954</v>
      </c>
      <c r="F1131" s="195">
        <v>800</v>
      </c>
      <c r="G1131" s="197" t="s">
        <v>470</v>
      </c>
      <c r="H1131" s="197" t="s">
        <v>471</v>
      </c>
      <c r="J1131" s="195">
        <v>1</v>
      </c>
      <c r="K1131" s="204" t="s">
        <v>224</v>
      </c>
      <c r="L1131" s="199">
        <v>2</v>
      </c>
      <c r="M1131" s="200">
        <v>0.8</v>
      </c>
      <c r="N1131" s="201">
        <v>32</v>
      </c>
    </row>
    <row r="1132" spans="1:14">
      <c r="A1132" s="194">
        <v>41288.26295138889</v>
      </c>
      <c r="B1132" s="195">
        <v>2062</v>
      </c>
      <c r="C1132" s="194"/>
      <c r="D1132" s="194"/>
      <c r="E1132" s="196" t="s">
        <v>947</v>
      </c>
      <c r="F1132" s="195">
        <v>800</v>
      </c>
      <c r="G1132" s="197" t="s">
        <v>470</v>
      </c>
      <c r="H1132" s="197" t="s">
        <v>471</v>
      </c>
      <c r="J1132" s="195">
        <v>1</v>
      </c>
      <c r="K1132" s="204" t="s">
        <v>224</v>
      </c>
      <c r="L1132" s="199">
        <v>3</v>
      </c>
      <c r="M1132" s="200">
        <v>0.6</v>
      </c>
      <c r="N1132" s="201">
        <v>33</v>
      </c>
    </row>
    <row r="1133" spans="1:14">
      <c r="A1133" s="194">
        <v>41302.447534722225</v>
      </c>
      <c r="B1133" s="195">
        <v>2062</v>
      </c>
      <c r="C1133" s="194"/>
      <c r="D1133" s="194"/>
      <c r="E1133" s="196" t="s">
        <v>1461</v>
      </c>
      <c r="F1133" s="195">
        <v>800</v>
      </c>
      <c r="G1133" s="197" t="s">
        <v>470</v>
      </c>
      <c r="H1133" s="197" t="s">
        <v>471</v>
      </c>
      <c r="J1133" s="195">
        <v>1</v>
      </c>
      <c r="K1133" s="204" t="s">
        <v>224</v>
      </c>
      <c r="L1133" s="199">
        <v>2</v>
      </c>
      <c r="M1133" s="200">
        <v>0.9</v>
      </c>
      <c r="N1133" s="201">
        <v>33</v>
      </c>
    </row>
    <row r="1134" spans="1:14">
      <c r="A1134" s="194">
        <v>41275.376909722225</v>
      </c>
      <c r="B1134" s="195">
        <v>2062</v>
      </c>
      <c r="C1134" s="194"/>
      <c r="D1134" s="194"/>
      <c r="E1134" s="196" t="s">
        <v>482</v>
      </c>
      <c r="F1134" s="195">
        <v>800</v>
      </c>
      <c r="G1134" s="197" t="s">
        <v>470</v>
      </c>
      <c r="H1134" s="197" t="s">
        <v>471</v>
      </c>
      <c r="J1134" s="195">
        <v>1</v>
      </c>
      <c r="K1134" s="204" t="s">
        <v>224</v>
      </c>
      <c r="L1134" s="199">
        <v>1</v>
      </c>
      <c r="M1134" s="200">
        <v>0.3</v>
      </c>
      <c r="N1134" s="201">
        <v>34</v>
      </c>
    </row>
    <row r="1135" spans="1:14">
      <c r="A1135" s="194">
        <v>41296.267118055555</v>
      </c>
      <c r="B1135" s="195">
        <v>2062</v>
      </c>
      <c r="C1135" s="194"/>
      <c r="D1135" s="194"/>
      <c r="E1135" s="196" t="s">
        <v>1277</v>
      </c>
      <c r="F1135" s="195">
        <v>800</v>
      </c>
      <c r="G1135" s="197" t="s">
        <v>470</v>
      </c>
      <c r="H1135" s="197" t="s">
        <v>471</v>
      </c>
      <c r="J1135" s="195">
        <v>1</v>
      </c>
      <c r="K1135" s="204" t="s">
        <v>224</v>
      </c>
      <c r="L1135" s="199">
        <v>3</v>
      </c>
      <c r="M1135" s="200">
        <v>0.3</v>
      </c>
      <c r="N1135" s="201">
        <v>34</v>
      </c>
    </row>
    <row r="1136" spans="1:14">
      <c r="A1136" s="194">
        <v>41298.350439814814</v>
      </c>
      <c r="B1136" s="195">
        <v>2062</v>
      </c>
      <c r="C1136" s="194"/>
      <c r="D1136" s="194"/>
      <c r="E1136" s="196" t="s">
        <v>1282</v>
      </c>
      <c r="F1136" s="195">
        <v>800</v>
      </c>
      <c r="G1136" s="197" t="s">
        <v>470</v>
      </c>
      <c r="H1136" s="197" t="s">
        <v>471</v>
      </c>
      <c r="J1136" s="195">
        <v>1</v>
      </c>
      <c r="K1136" s="204" t="s">
        <v>224</v>
      </c>
      <c r="L1136" s="199">
        <v>2</v>
      </c>
      <c r="M1136" s="200">
        <v>0.5</v>
      </c>
      <c r="N1136" s="201">
        <v>34</v>
      </c>
    </row>
    <row r="1137" spans="1:14">
      <c r="A1137" s="194">
        <v>41285.449675925927</v>
      </c>
      <c r="B1137" s="195">
        <v>2062</v>
      </c>
      <c r="C1137" s="194"/>
      <c r="D1137" s="194"/>
      <c r="E1137" s="196" t="s">
        <v>893</v>
      </c>
      <c r="F1137" s="195">
        <v>800</v>
      </c>
      <c r="G1137" s="197" t="s">
        <v>470</v>
      </c>
      <c r="H1137" s="197" t="s">
        <v>471</v>
      </c>
      <c r="J1137" s="195">
        <v>1</v>
      </c>
      <c r="K1137" s="204" t="s">
        <v>224</v>
      </c>
      <c r="L1137" s="199">
        <v>2</v>
      </c>
      <c r="M1137" s="200">
        <v>1</v>
      </c>
      <c r="N1137" s="201">
        <v>35</v>
      </c>
    </row>
    <row r="1138" spans="1:14">
      <c r="A1138" s="194">
        <v>41298.839155092595</v>
      </c>
      <c r="B1138" s="195">
        <v>2062</v>
      </c>
      <c r="C1138" s="194"/>
      <c r="D1138" s="194"/>
      <c r="E1138" s="196" t="s">
        <v>1290</v>
      </c>
      <c r="F1138" s="195">
        <v>800</v>
      </c>
      <c r="G1138" s="197" t="s">
        <v>470</v>
      </c>
      <c r="H1138" s="197" t="s">
        <v>471</v>
      </c>
      <c r="J1138" s="195">
        <v>1</v>
      </c>
      <c r="K1138" s="204" t="s">
        <v>224</v>
      </c>
      <c r="L1138" s="199">
        <v>1</v>
      </c>
      <c r="M1138" s="200">
        <v>1.1000000000000001</v>
      </c>
      <c r="N1138" s="201">
        <v>35</v>
      </c>
    </row>
    <row r="1139" spans="1:14">
      <c r="A1139" s="194">
        <v>41282.659444444442</v>
      </c>
      <c r="B1139" s="195">
        <v>2062</v>
      </c>
      <c r="C1139" s="194"/>
      <c r="D1139" s="194"/>
      <c r="E1139" s="196" t="s">
        <v>730</v>
      </c>
      <c r="F1139" s="195">
        <v>800</v>
      </c>
      <c r="G1139" s="197" t="s">
        <v>470</v>
      </c>
      <c r="H1139" s="197" t="s">
        <v>471</v>
      </c>
      <c r="J1139" s="195">
        <v>1</v>
      </c>
      <c r="K1139" s="204" t="s">
        <v>224</v>
      </c>
      <c r="L1139" s="199">
        <v>2</v>
      </c>
      <c r="M1139" s="200">
        <v>0.3</v>
      </c>
      <c r="N1139" s="201">
        <v>36</v>
      </c>
    </row>
    <row r="1140" spans="1:14">
      <c r="A1140" s="194">
        <v>41278.389432870368</v>
      </c>
      <c r="B1140" s="195">
        <v>2062</v>
      </c>
      <c r="C1140" s="194"/>
      <c r="D1140" s="194"/>
      <c r="E1140" s="196" t="s">
        <v>587</v>
      </c>
      <c r="F1140" s="195">
        <v>800</v>
      </c>
      <c r="G1140" s="197" t="s">
        <v>470</v>
      </c>
      <c r="H1140" s="197" t="s">
        <v>471</v>
      </c>
      <c r="J1140" s="195">
        <v>1</v>
      </c>
      <c r="K1140" s="204" t="s">
        <v>224</v>
      </c>
      <c r="L1140" s="199">
        <v>1</v>
      </c>
      <c r="M1140" s="200">
        <v>0.6</v>
      </c>
      <c r="N1140" s="201">
        <v>36</v>
      </c>
    </row>
    <row r="1141" spans="1:14">
      <c r="A1141" s="194">
        <v>41301.018333333333</v>
      </c>
      <c r="B1141" s="195">
        <v>2062</v>
      </c>
      <c r="C1141" s="194"/>
      <c r="D1141" s="194"/>
      <c r="E1141" s="196" t="s">
        <v>1382</v>
      </c>
      <c r="F1141" s="195">
        <v>800</v>
      </c>
      <c r="G1141" s="197" t="s">
        <v>470</v>
      </c>
      <c r="H1141" s="197" t="s">
        <v>471</v>
      </c>
      <c r="J1141" s="195">
        <v>1</v>
      </c>
      <c r="K1141" s="204" t="s">
        <v>224</v>
      </c>
      <c r="L1141" s="199">
        <v>3</v>
      </c>
      <c r="M1141" s="200">
        <v>0.6</v>
      </c>
      <c r="N1141" s="201">
        <v>36</v>
      </c>
    </row>
    <row r="1142" spans="1:14">
      <c r="A1142" s="194">
        <v>41299.352534722224</v>
      </c>
      <c r="B1142" s="195">
        <v>2062</v>
      </c>
      <c r="C1142" s="194"/>
      <c r="D1142" s="194"/>
      <c r="E1142" s="196" t="s">
        <v>1371</v>
      </c>
      <c r="F1142" s="195">
        <v>800</v>
      </c>
      <c r="G1142" s="197" t="s">
        <v>470</v>
      </c>
      <c r="H1142" s="197" t="s">
        <v>471</v>
      </c>
      <c r="J1142" s="195">
        <v>1</v>
      </c>
      <c r="K1142" s="204" t="s">
        <v>224</v>
      </c>
      <c r="L1142" s="199">
        <v>2</v>
      </c>
      <c r="M1142" s="200">
        <v>0.7</v>
      </c>
      <c r="N1142" s="201">
        <v>36</v>
      </c>
    </row>
    <row r="1143" spans="1:14">
      <c r="A1143" s="194">
        <v>41283.394247685188</v>
      </c>
      <c r="B1143" s="195">
        <v>2062</v>
      </c>
      <c r="C1143" s="194"/>
      <c r="D1143" s="194"/>
      <c r="E1143" s="196" t="s">
        <v>754</v>
      </c>
      <c r="F1143" s="195">
        <v>800</v>
      </c>
      <c r="G1143" s="197" t="s">
        <v>470</v>
      </c>
      <c r="H1143" s="197" t="s">
        <v>471</v>
      </c>
      <c r="J1143" s="195">
        <v>1</v>
      </c>
      <c r="K1143" s="204" t="s">
        <v>224</v>
      </c>
      <c r="L1143" s="199">
        <v>2</v>
      </c>
      <c r="M1143" s="200">
        <v>0.8</v>
      </c>
      <c r="N1143" s="201">
        <v>36</v>
      </c>
    </row>
    <row r="1144" spans="1:14">
      <c r="A1144" s="194">
        <v>41289.373402777775</v>
      </c>
      <c r="B1144" s="195">
        <v>2062</v>
      </c>
      <c r="C1144" s="194"/>
      <c r="D1144" s="194"/>
      <c r="E1144" s="196" t="s">
        <v>990</v>
      </c>
      <c r="F1144" s="195">
        <v>800</v>
      </c>
      <c r="G1144" s="197" t="s">
        <v>470</v>
      </c>
      <c r="H1144" s="197" t="s">
        <v>471</v>
      </c>
      <c r="J1144" s="195">
        <v>1</v>
      </c>
      <c r="K1144" s="204" t="s">
        <v>224</v>
      </c>
      <c r="L1144" s="199">
        <v>2</v>
      </c>
      <c r="M1144" s="200">
        <v>0.4</v>
      </c>
      <c r="N1144" s="201">
        <v>37</v>
      </c>
    </row>
    <row r="1145" spans="1:14">
      <c r="A1145" s="194">
        <v>41290.386574074073</v>
      </c>
      <c r="B1145" s="195">
        <v>2062</v>
      </c>
      <c r="C1145" s="194"/>
      <c r="D1145" s="194"/>
      <c r="E1145" s="196" t="s">
        <v>1024</v>
      </c>
      <c r="F1145" s="195">
        <v>800</v>
      </c>
      <c r="G1145" s="197" t="s">
        <v>470</v>
      </c>
      <c r="H1145" s="197" t="s">
        <v>471</v>
      </c>
      <c r="J1145" s="195">
        <v>1</v>
      </c>
      <c r="K1145" s="204" t="s">
        <v>224</v>
      </c>
      <c r="L1145" s="199">
        <v>1</v>
      </c>
      <c r="M1145" s="200">
        <v>0.4</v>
      </c>
      <c r="N1145" s="201">
        <v>37</v>
      </c>
    </row>
    <row r="1146" spans="1:14">
      <c r="A1146" s="194">
        <v>41299.1718287037</v>
      </c>
      <c r="B1146" s="195">
        <v>2062</v>
      </c>
      <c r="C1146" s="194"/>
      <c r="D1146" s="194"/>
      <c r="E1146" s="196" t="s">
        <v>1276</v>
      </c>
      <c r="F1146" s="195">
        <v>800</v>
      </c>
      <c r="G1146" s="197" t="s">
        <v>470</v>
      </c>
      <c r="H1146" s="197" t="s">
        <v>471</v>
      </c>
      <c r="J1146" s="195">
        <v>1</v>
      </c>
      <c r="K1146" s="204" t="s">
        <v>224</v>
      </c>
      <c r="L1146" s="199">
        <v>1</v>
      </c>
      <c r="M1146" s="200">
        <v>1</v>
      </c>
      <c r="N1146" s="201">
        <v>37</v>
      </c>
    </row>
    <row r="1147" spans="1:14">
      <c r="A1147" s="194">
        <v>41298.545416666668</v>
      </c>
      <c r="B1147" s="195">
        <v>2062</v>
      </c>
      <c r="C1147" s="194"/>
      <c r="D1147" s="194"/>
      <c r="E1147" s="196" t="s">
        <v>1286</v>
      </c>
      <c r="F1147" s="195">
        <v>800</v>
      </c>
      <c r="G1147" s="197" t="s">
        <v>470</v>
      </c>
      <c r="H1147" s="197" t="s">
        <v>471</v>
      </c>
      <c r="J1147" s="195">
        <v>1</v>
      </c>
      <c r="K1147" s="204" t="s">
        <v>224</v>
      </c>
      <c r="L1147" s="199">
        <v>1</v>
      </c>
      <c r="M1147" s="200">
        <v>0.5</v>
      </c>
      <c r="N1147" s="201">
        <v>38</v>
      </c>
    </row>
    <row r="1148" spans="1:14">
      <c r="A1148" s="194">
        <v>41303.598877314813</v>
      </c>
      <c r="B1148" s="195">
        <v>2062</v>
      </c>
      <c r="C1148" s="194"/>
      <c r="D1148" s="194"/>
      <c r="E1148" s="196" t="s">
        <v>1489</v>
      </c>
      <c r="F1148" s="195">
        <v>800</v>
      </c>
      <c r="G1148" s="197" t="s">
        <v>470</v>
      </c>
      <c r="H1148" s="197" t="s">
        <v>471</v>
      </c>
      <c r="J1148" s="195">
        <v>1</v>
      </c>
      <c r="K1148" s="204" t="s">
        <v>224</v>
      </c>
      <c r="L1148" s="199">
        <v>2</v>
      </c>
      <c r="M1148" s="200">
        <v>0.6</v>
      </c>
      <c r="N1148" s="201">
        <v>38</v>
      </c>
    </row>
    <row r="1149" spans="1:14">
      <c r="A1149" s="194">
        <v>41289.353263888886</v>
      </c>
      <c r="B1149" s="195">
        <v>2062</v>
      </c>
      <c r="C1149" s="194"/>
      <c r="D1149" s="194"/>
      <c r="E1149" s="196" t="s">
        <v>989</v>
      </c>
      <c r="F1149" s="195">
        <v>800</v>
      </c>
      <c r="G1149" s="197" t="s">
        <v>470</v>
      </c>
      <c r="H1149" s="197" t="s">
        <v>471</v>
      </c>
      <c r="J1149" s="195">
        <v>1</v>
      </c>
      <c r="K1149" s="204" t="s">
        <v>224</v>
      </c>
      <c r="L1149" s="199">
        <v>1</v>
      </c>
      <c r="M1149" s="200">
        <v>0.7</v>
      </c>
      <c r="N1149" s="201">
        <v>38</v>
      </c>
    </row>
    <row r="1150" spans="1:14">
      <c r="A1150" s="194">
        <v>41289.401192129626</v>
      </c>
      <c r="B1150" s="195">
        <v>2062</v>
      </c>
      <c r="C1150" s="194"/>
      <c r="D1150" s="194"/>
      <c r="E1150" s="196" t="s">
        <v>991</v>
      </c>
      <c r="F1150" s="195">
        <v>800</v>
      </c>
      <c r="G1150" s="197" t="s">
        <v>470</v>
      </c>
      <c r="H1150" s="197" t="s">
        <v>471</v>
      </c>
      <c r="J1150" s="195">
        <v>1</v>
      </c>
      <c r="K1150" s="204" t="s">
        <v>224</v>
      </c>
      <c r="L1150" s="199">
        <v>1</v>
      </c>
      <c r="M1150" s="200">
        <v>1.3</v>
      </c>
      <c r="N1150" s="201">
        <v>38</v>
      </c>
    </row>
    <row r="1151" spans="1:14">
      <c r="A1151" s="194">
        <v>41287.030219907407</v>
      </c>
      <c r="B1151" s="195">
        <v>2062</v>
      </c>
      <c r="C1151" s="194"/>
      <c r="D1151" s="194"/>
      <c r="E1151" s="196" t="s">
        <v>839</v>
      </c>
      <c r="F1151" s="195">
        <v>800</v>
      </c>
      <c r="G1151" s="197" t="s">
        <v>470</v>
      </c>
      <c r="H1151" s="197" t="s">
        <v>471</v>
      </c>
      <c r="J1151" s="195">
        <v>1</v>
      </c>
      <c r="K1151" s="204" t="s">
        <v>224</v>
      </c>
      <c r="L1151" s="199">
        <v>2</v>
      </c>
      <c r="M1151" s="200">
        <v>1.8</v>
      </c>
      <c r="N1151" s="201">
        <v>38</v>
      </c>
    </row>
    <row r="1152" spans="1:14">
      <c r="A1152" s="194">
        <v>41288.323391203703</v>
      </c>
      <c r="B1152" s="195">
        <v>2062</v>
      </c>
      <c r="C1152" s="194"/>
      <c r="D1152" s="194"/>
      <c r="E1152" s="196" t="s">
        <v>949</v>
      </c>
      <c r="F1152" s="195">
        <v>800</v>
      </c>
      <c r="G1152" s="197" t="s">
        <v>470</v>
      </c>
      <c r="H1152" s="197" t="s">
        <v>471</v>
      </c>
      <c r="J1152" s="195">
        <v>1</v>
      </c>
      <c r="K1152" s="204" t="s">
        <v>224</v>
      </c>
      <c r="L1152" s="199">
        <v>2</v>
      </c>
      <c r="M1152" s="200">
        <v>0.7</v>
      </c>
      <c r="N1152" s="201">
        <v>39</v>
      </c>
    </row>
    <row r="1153" spans="1:14">
      <c r="A1153" s="194">
        <v>41275.760243055556</v>
      </c>
      <c r="B1153" s="195">
        <v>2062</v>
      </c>
      <c r="C1153" s="194"/>
      <c r="D1153" s="194"/>
      <c r="E1153" s="196" t="s">
        <v>489</v>
      </c>
      <c r="F1153" s="195">
        <v>800</v>
      </c>
      <c r="G1153" s="197" t="s">
        <v>470</v>
      </c>
      <c r="H1153" s="197" t="s">
        <v>471</v>
      </c>
      <c r="J1153" s="195">
        <v>1</v>
      </c>
      <c r="K1153" s="204" t="s">
        <v>224</v>
      </c>
      <c r="L1153" s="199">
        <v>1</v>
      </c>
      <c r="M1153" s="200">
        <v>0.8</v>
      </c>
      <c r="N1153" s="201">
        <v>39</v>
      </c>
    </row>
    <row r="1154" spans="1:14">
      <c r="A1154" s="194">
        <v>41298.871782407405</v>
      </c>
      <c r="B1154" s="195">
        <v>2062</v>
      </c>
      <c r="C1154" s="194"/>
      <c r="D1154" s="194"/>
      <c r="E1154" s="196" t="s">
        <v>1292</v>
      </c>
      <c r="F1154" s="195">
        <v>800</v>
      </c>
      <c r="G1154" s="197" t="s">
        <v>470</v>
      </c>
      <c r="H1154" s="197" t="s">
        <v>471</v>
      </c>
      <c r="J1154" s="195">
        <v>1</v>
      </c>
      <c r="K1154" s="204" t="s">
        <v>224</v>
      </c>
      <c r="L1154" s="199">
        <v>1</v>
      </c>
      <c r="M1154" s="200">
        <v>0.8</v>
      </c>
      <c r="N1154" s="201">
        <v>39</v>
      </c>
    </row>
    <row r="1155" spans="1:14">
      <c r="A1155" s="194">
        <v>41286.614189814813</v>
      </c>
      <c r="B1155" s="195">
        <v>2062</v>
      </c>
      <c r="C1155" s="194"/>
      <c r="D1155" s="194"/>
      <c r="E1155" s="196" t="s">
        <v>898</v>
      </c>
      <c r="F1155" s="195">
        <v>800</v>
      </c>
      <c r="G1155" s="197" t="s">
        <v>470</v>
      </c>
      <c r="H1155" s="197" t="s">
        <v>471</v>
      </c>
      <c r="J1155" s="195">
        <v>1</v>
      </c>
      <c r="K1155" s="204" t="s">
        <v>224</v>
      </c>
      <c r="L1155" s="199">
        <v>3</v>
      </c>
      <c r="M1155" s="200">
        <v>1.3</v>
      </c>
      <c r="N1155" s="201">
        <v>39</v>
      </c>
    </row>
    <row r="1156" spans="1:14">
      <c r="A1156" s="194">
        <v>41290.773935185185</v>
      </c>
      <c r="B1156" s="195">
        <v>2062</v>
      </c>
      <c r="C1156" s="194"/>
      <c r="D1156" s="194"/>
      <c r="E1156" s="196" t="s">
        <v>1027</v>
      </c>
      <c r="F1156" s="195">
        <v>800</v>
      </c>
      <c r="G1156" s="197" t="s">
        <v>470</v>
      </c>
      <c r="H1156" s="197" t="s">
        <v>471</v>
      </c>
      <c r="J1156" s="195">
        <v>1</v>
      </c>
      <c r="K1156" s="204" t="s">
        <v>224</v>
      </c>
      <c r="L1156" s="199">
        <v>2</v>
      </c>
      <c r="M1156" s="200">
        <v>0.3</v>
      </c>
      <c r="N1156" s="201">
        <v>41</v>
      </c>
    </row>
    <row r="1157" spans="1:14">
      <c r="A1157" s="194">
        <v>41303.2809375</v>
      </c>
      <c r="B1157" s="195">
        <v>2062</v>
      </c>
      <c r="C1157" s="194"/>
      <c r="D1157" s="194"/>
      <c r="E1157" s="196" t="s">
        <v>1487</v>
      </c>
      <c r="F1157" s="195">
        <v>800</v>
      </c>
      <c r="G1157" s="197" t="s">
        <v>470</v>
      </c>
      <c r="H1157" s="197" t="s">
        <v>471</v>
      </c>
      <c r="J1157" s="195">
        <v>1</v>
      </c>
      <c r="K1157" s="204" t="s">
        <v>224</v>
      </c>
      <c r="L1157" s="199">
        <v>2</v>
      </c>
      <c r="M1157" s="200">
        <v>0.4</v>
      </c>
      <c r="N1157" s="201">
        <v>41</v>
      </c>
    </row>
    <row r="1158" spans="1:14">
      <c r="A1158" s="194">
        <v>41297.267766203702</v>
      </c>
      <c r="B1158" s="195">
        <v>2062</v>
      </c>
      <c r="C1158" s="194"/>
      <c r="D1158" s="194"/>
      <c r="E1158" s="196" t="s">
        <v>1297</v>
      </c>
      <c r="F1158" s="195">
        <v>800</v>
      </c>
      <c r="G1158" s="197" t="s">
        <v>470</v>
      </c>
      <c r="H1158" s="197" t="s">
        <v>471</v>
      </c>
      <c r="J1158" s="195">
        <v>1</v>
      </c>
      <c r="K1158" s="204" t="s">
        <v>224</v>
      </c>
      <c r="L1158" s="199">
        <v>3</v>
      </c>
      <c r="M1158" s="200">
        <v>0.7</v>
      </c>
      <c r="N1158" s="201">
        <v>46</v>
      </c>
    </row>
    <row r="1159" spans="1:14">
      <c r="A1159" s="194">
        <v>41278.37972222222</v>
      </c>
      <c r="B1159" s="195">
        <v>2062</v>
      </c>
      <c r="C1159" s="194"/>
      <c r="D1159" s="194"/>
      <c r="E1159" s="196" t="s">
        <v>586</v>
      </c>
      <c r="F1159" s="195">
        <v>800</v>
      </c>
      <c r="G1159" s="197" t="s">
        <v>470</v>
      </c>
      <c r="H1159" s="197" t="s">
        <v>471</v>
      </c>
      <c r="J1159" s="195">
        <v>1</v>
      </c>
      <c r="K1159" s="204" t="s">
        <v>224</v>
      </c>
      <c r="L1159" s="199">
        <v>2</v>
      </c>
      <c r="M1159" s="200">
        <v>1</v>
      </c>
      <c r="N1159" s="201">
        <v>47</v>
      </c>
    </row>
    <row r="1160" spans="1:14">
      <c r="A1160" s="194">
        <v>41287.946840277778</v>
      </c>
      <c r="B1160" s="195">
        <v>2062</v>
      </c>
      <c r="C1160" s="194"/>
      <c r="D1160" s="194"/>
      <c r="E1160" s="196" t="s">
        <v>843</v>
      </c>
      <c r="F1160" s="195">
        <v>800</v>
      </c>
      <c r="G1160" s="197" t="s">
        <v>470</v>
      </c>
      <c r="H1160" s="197" t="s">
        <v>471</v>
      </c>
      <c r="J1160" s="195">
        <v>1</v>
      </c>
      <c r="K1160" s="204" t="s">
        <v>224</v>
      </c>
      <c r="L1160" s="199">
        <v>1</v>
      </c>
      <c r="M1160" s="200">
        <v>0.9</v>
      </c>
      <c r="N1160" s="201">
        <v>49</v>
      </c>
    </row>
    <row r="1161" spans="1:14">
      <c r="A1161" s="194">
        <v>41296.451701388891</v>
      </c>
      <c r="B1161" s="195">
        <v>2062</v>
      </c>
      <c r="C1161" s="194"/>
      <c r="D1161" s="194"/>
      <c r="E1161" s="198"/>
      <c r="G1161" s="202"/>
      <c r="J1161" s="195">
        <v>2</v>
      </c>
      <c r="K1161" s="204" t="s">
        <v>32</v>
      </c>
      <c r="L1161" s="199">
        <v>1</v>
      </c>
      <c r="M1161" s="200">
        <v>0.7</v>
      </c>
      <c r="N1161" s="201">
        <v>18</v>
      </c>
    </row>
    <row r="1162" spans="1:14">
      <c r="A1162" s="194">
        <v>41290.760844907411</v>
      </c>
      <c r="B1162" s="195">
        <v>2062</v>
      </c>
      <c r="C1162" s="194"/>
      <c r="D1162" s="194"/>
      <c r="E1162" s="198"/>
      <c r="G1162" s="202"/>
      <c r="J1162" s="195">
        <v>2</v>
      </c>
      <c r="K1162" s="204" t="s">
        <v>32</v>
      </c>
      <c r="L1162" s="199">
        <v>2</v>
      </c>
      <c r="M1162" s="200">
        <v>0.5</v>
      </c>
      <c r="N1162" s="201">
        <v>21</v>
      </c>
    </row>
    <row r="1163" spans="1:14">
      <c r="A1163" s="194">
        <v>41305.914861111109</v>
      </c>
      <c r="B1163" s="195">
        <v>2062</v>
      </c>
      <c r="C1163" s="194"/>
      <c r="D1163" s="194"/>
      <c r="E1163" s="198"/>
      <c r="G1163" s="202"/>
      <c r="J1163" s="195">
        <v>2</v>
      </c>
      <c r="K1163" s="204" t="s">
        <v>32</v>
      </c>
      <c r="L1163" s="199">
        <v>2</v>
      </c>
      <c r="M1163" s="200">
        <v>1.1000000000000001</v>
      </c>
      <c r="N1163" s="201">
        <v>22</v>
      </c>
    </row>
    <row r="1164" spans="1:14">
      <c r="A1164" s="194">
        <v>41299.850578703707</v>
      </c>
      <c r="B1164" s="195">
        <v>2062</v>
      </c>
      <c r="C1164" s="194"/>
      <c r="D1164" s="194"/>
      <c r="E1164" s="198"/>
      <c r="G1164" s="202"/>
      <c r="J1164" s="195">
        <v>2</v>
      </c>
      <c r="K1164" s="204" t="s">
        <v>32</v>
      </c>
      <c r="L1164" s="199">
        <v>1</v>
      </c>
      <c r="M1164" s="200">
        <v>24</v>
      </c>
      <c r="N1164" s="201">
        <v>22</v>
      </c>
    </row>
    <row r="1165" spans="1:14">
      <c r="A1165" s="194">
        <v>41300.950972222221</v>
      </c>
      <c r="B1165" s="195">
        <v>2062</v>
      </c>
      <c r="C1165" s="194"/>
      <c r="D1165" s="194"/>
      <c r="E1165" s="198"/>
      <c r="G1165" s="202"/>
      <c r="J1165" s="195">
        <v>2</v>
      </c>
      <c r="K1165" s="204" t="s">
        <v>32</v>
      </c>
      <c r="L1165" s="199">
        <v>1</v>
      </c>
      <c r="M1165" s="200">
        <v>0.5</v>
      </c>
      <c r="N1165" s="201">
        <v>23</v>
      </c>
    </row>
    <row r="1166" spans="1:14">
      <c r="A1166" s="194">
        <v>41275.009432870371</v>
      </c>
      <c r="B1166" s="195">
        <v>2062</v>
      </c>
      <c r="C1166" s="194"/>
      <c r="D1166" s="194"/>
      <c r="E1166" s="198"/>
      <c r="G1166" s="202"/>
      <c r="J1166" s="195">
        <v>2</v>
      </c>
      <c r="K1166" s="204" t="s">
        <v>32</v>
      </c>
      <c r="L1166" s="199">
        <v>2</v>
      </c>
      <c r="M1166" s="200">
        <v>1</v>
      </c>
      <c r="N1166" s="201">
        <v>24</v>
      </c>
    </row>
    <row r="1167" spans="1:14">
      <c r="A1167" s="194">
        <v>41280.693449074075</v>
      </c>
      <c r="B1167" s="195">
        <v>2062</v>
      </c>
      <c r="C1167" s="194"/>
      <c r="D1167" s="194"/>
      <c r="E1167" s="198"/>
      <c r="G1167" s="202"/>
      <c r="J1167" s="195">
        <v>2</v>
      </c>
      <c r="K1167" s="204" t="s">
        <v>32</v>
      </c>
      <c r="L1167" s="199">
        <v>1</v>
      </c>
      <c r="M1167" s="200">
        <v>0.5</v>
      </c>
      <c r="N1167" s="201">
        <v>25</v>
      </c>
    </row>
    <row r="1168" spans="1:14">
      <c r="A1168" s="194">
        <v>41275.794861111113</v>
      </c>
      <c r="B1168" s="195">
        <v>2062</v>
      </c>
      <c r="C1168" s="194"/>
      <c r="D1168" s="194"/>
      <c r="E1168" s="198"/>
      <c r="G1168" s="202"/>
      <c r="J1168" s="195">
        <v>2</v>
      </c>
      <c r="K1168" s="204" t="s">
        <v>32</v>
      </c>
      <c r="L1168" s="199">
        <v>2</v>
      </c>
      <c r="M1168" s="200">
        <v>1.1000000000000001</v>
      </c>
      <c r="N1168" s="201">
        <v>25</v>
      </c>
    </row>
    <row r="1169" spans="1:14">
      <c r="A1169" s="194">
        <v>41278.944155092591</v>
      </c>
      <c r="B1169" s="195">
        <v>2062</v>
      </c>
      <c r="C1169" s="194"/>
      <c r="D1169" s="194"/>
      <c r="E1169" s="198"/>
      <c r="G1169" s="202"/>
      <c r="J1169" s="195">
        <v>2</v>
      </c>
      <c r="K1169" s="204" t="s">
        <v>32</v>
      </c>
      <c r="L1169" s="199">
        <v>1</v>
      </c>
      <c r="M1169" s="200">
        <v>1.3</v>
      </c>
      <c r="N1169" s="201">
        <v>25</v>
      </c>
    </row>
    <row r="1170" spans="1:14">
      <c r="A1170" s="194">
        <v>41297.892627314817</v>
      </c>
      <c r="B1170" s="195">
        <v>2062</v>
      </c>
      <c r="C1170" s="194"/>
      <c r="D1170" s="194"/>
      <c r="E1170" s="198"/>
      <c r="G1170" s="202"/>
      <c r="J1170" s="195">
        <v>2</v>
      </c>
      <c r="K1170" s="204" t="s">
        <v>32</v>
      </c>
      <c r="L1170" s="199">
        <v>1</v>
      </c>
      <c r="M1170" s="200">
        <v>1.5</v>
      </c>
      <c r="N1170" s="201">
        <v>25</v>
      </c>
    </row>
    <row r="1171" spans="1:14">
      <c r="A1171" s="194">
        <v>41299.58016203704</v>
      </c>
      <c r="B1171" s="195">
        <v>2062</v>
      </c>
      <c r="C1171" s="194"/>
      <c r="D1171" s="194"/>
      <c r="E1171" s="198"/>
      <c r="G1171" s="202"/>
      <c r="J1171" s="195">
        <v>2</v>
      </c>
      <c r="K1171" s="204" t="s">
        <v>32</v>
      </c>
      <c r="L1171" s="199">
        <v>2</v>
      </c>
      <c r="M1171" s="200">
        <v>0.4</v>
      </c>
      <c r="N1171" s="201">
        <v>27</v>
      </c>
    </row>
    <row r="1172" spans="1:14">
      <c r="A1172" s="194">
        <v>41282.771689814814</v>
      </c>
      <c r="B1172" s="195">
        <v>2062</v>
      </c>
      <c r="C1172" s="194"/>
      <c r="D1172" s="194"/>
      <c r="E1172" s="198"/>
      <c r="G1172" s="202"/>
      <c r="J1172" s="195">
        <v>2</v>
      </c>
      <c r="K1172" s="204" t="s">
        <v>32</v>
      </c>
      <c r="L1172" s="199">
        <v>2</v>
      </c>
      <c r="M1172" s="200">
        <v>0.5</v>
      </c>
      <c r="N1172" s="201">
        <v>27</v>
      </c>
    </row>
    <row r="1173" spans="1:14">
      <c r="A1173" s="194">
        <v>41282.525335648148</v>
      </c>
      <c r="B1173" s="195">
        <v>2062</v>
      </c>
      <c r="C1173" s="194"/>
      <c r="D1173" s="194"/>
      <c r="E1173" s="198"/>
      <c r="G1173" s="202"/>
      <c r="J1173" s="195">
        <v>2</v>
      </c>
      <c r="K1173" s="204" t="s">
        <v>32</v>
      </c>
      <c r="L1173" s="199">
        <v>1</v>
      </c>
      <c r="M1173" s="200">
        <v>0.4</v>
      </c>
      <c r="N1173" s="201">
        <v>28</v>
      </c>
    </row>
    <row r="1174" spans="1:14">
      <c r="A1174" s="194">
        <v>41275.605231481481</v>
      </c>
      <c r="B1174" s="195">
        <v>2062</v>
      </c>
      <c r="C1174" s="194"/>
      <c r="D1174" s="194"/>
      <c r="E1174" s="198"/>
      <c r="G1174" s="202"/>
      <c r="J1174" s="195">
        <v>2</v>
      </c>
      <c r="K1174" s="204" t="s">
        <v>32</v>
      </c>
      <c r="L1174" s="199">
        <v>1</v>
      </c>
      <c r="M1174" s="200">
        <v>0.4</v>
      </c>
      <c r="N1174" s="201">
        <v>28</v>
      </c>
    </row>
    <row r="1175" spans="1:14">
      <c r="A1175" s="194">
        <v>41285.562141203707</v>
      </c>
      <c r="B1175" s="195">
        <v>2062</v>
      </c>
      <c r="C1175" s="194"/>
      <c r="D1175" s="194"/>
      <c r="E1175" s="198"/>
      <c r="G1175" s="202"/>
      <c r="J1175" s="195">
        <v>2</v>
      </c>
      <c r="K1175" s="204" t="s">
        <v>32</v>
      </c>
      <c r="L1175" s="199">
        <v>2</v>
      </c>
      <c r="M1175" s="200">
        <v>1</v>
      </c>
      <c r="N1175" s="201">
        <v>28</v>
      </c>
    </row>
    <row r="1176" spans="1:14">
      <c r="A1176" s="194">
        <v>41288.503796296296</v>
      </c>
      <c r="B1176" s="195">
        <v>2062</v>
      </c>
      <c r="C1176" s="194"/>
      <c r="D1176" s="194"/>
      <c r="E1176" s="198"/>
      <c r="G1176" s="202"/>
      <c r="J1176" s="195">
        <v>2</v>
      </c>
      <c r="K1176" s="204" t="s">
        <v>32</v>
      </c>
      <c r="L1176" s="199">
        <v>1</v>
      </c>
      <c r="M1176" s="200">
        <v>0.3</v>
      </c>
      <c r="N1176" s="201">
        <v>29</v>
      </c>
    </row>
    <row r="1177" spans="1:14">
      <c r="A1177" s="194">
        <v>41284.605254629627</v>
      </c>
      <c r="B1177" s="195">
        <v>2062</v>
      </c>
      <c r="C1177" s="194"/>
      <c r="D1177" s="194"/>
      <c r="E1177" s="198"/>
      <c r="G1177" s="202"/>
      <c r="J1177" s="195">
        <v>2</v>
      </c>
      <c r="K1177" s="204" t="s">
        <v>32</v>
      </c>
      <c r="L1177" s="199">
        <v>2</v>
      </c>
      <c r="M1177" s="200">
        <v>1.2</v>
      </c>
      <c r="N1177" s="201">
        <v>29</v>
      </c>
    </row>
    <row r="1178" spans="1:14">
      <c r="A1178" s="194">
        <v>41302.629548611112</v>
      </c>
      <c r="B1178" s="195">
        <v>2062</v>
      </c>
      <c r="C1178" s="194"/>
      <c r="D1178" s="194"/>
      <c r="E1178" s="198"/>
      <c r="G1178" s="202"/>
      <c r="J1178" s="195">
        <v>2</v>
      </c>
      <c r="K1178" s="204" t="s">
        <v>32</v>
      </c>
      <c r="L1178" s="199">
        <v>2</v>
      </c>
      <c r="M1178" s="200">
        <v>1.3</v>
      </c>
      <c r="N1178" s="201">
        <v>29</v>
      </c>
    </row>
    <row r="1179" spans="1:14">
      <c r="A1179" s="194">
        <v>41305.392094907409</v>
      </c>
      <c r="B1179" s="195">
        <v>2062</v>
      </c>
      <c r="C1179" s="194"/>
      <c r="D1179" s="194"/>
      <c r="E1179" s="198"/>
      <c r="G1179" s="202"/>
      <c r="J1179" s="195">
        <v>2</v>
      </c>
      <c r="K1179" s="204" t="s">
        <v>32</v>
      </c>
      <c r="L1179" s="199">
        <v>1</v>
      </c>
      <c r="M1179" s="200">
        <v>0.7</v>
      </c>
      <c r="N1179" s="201">
        <v>30</v>
      </c>
    </row>
    <row r="1180" spans="1:14">
      <c r="A1180" s="194">
        <v>41282.873923611114</v>
      </c>
      <c r="B1180" s="195">
        <v>2062</v>
      </c>
      <c r="C1180" s="194"/>
      <c r="D1180" s="194"/>
      <c r="E1180" s="198"/>
      <c r="G1180" s="202"/>
      <c r="J1180" s="195">
        <v>2</v>
      </c>
      <c r="K1180" s="204" t="s">
        <v>32</v>
      </c>
      <c r="L1180" s="199">
        <v>2</v>
      </c>
      <c r="M1180" s="200">
        <v>0.7</v>
      </c>
      <c r="N1180" s="201">
        <v>31</v>
      </c>
    </row>
    <row r="1181" spans="1:14">
      <c r="A1181" s="194">
        <v>41301.533634259256</v>
      </c>
      <c r="B1181" s="195">
        <v>2062</v>
      </c>
      <c r="C1181" s="194"/>
      <c r="D1181" s="194"/>
      <c r="E1181" s="198"/>
      <c r="G1181" s="202"/>
      <c r="J1181" s="195">
        <v>2</v>
      </c>
      <c r="K1181" s="204" t="s">
        <v>32</v>
      </c>
      <c r="L1181" s="199">
        <v>1</v>
      </c>
      <c r="M1181" s="200">
        <v>1.2</v>
      </c>
      <c r="N1181" s="201">
        <v>31</v>
      </c>
    </row>
    <row r="1182" spans="1:14">
      <c r="A1182" s="194">
        <v>41281.828125</v>
      </c>
      <c r="B1182" s="195">
        <v>2062</v>
      </c>
      <c r="C1182" s="194"/>
      <c r="D1182" s="194"/>
      <c r="E1182" s="198"/>
      <c r="G1182" s="202"/>
      <c r="J1182" s="195">
        <v>2</v>
      </c>
      <c r="K1182" s="204" t="s">
        <v>32</v>
      </c>
      <c r="L1182" s="199">
        <v>2</v>
      </c>
      <c r="M1182" s="200">
        <v>1.5</v>
      </c>
      <c r="N1182" s="201">
        <v>31</v>
      </c>
    </row>
    <row r="1183" spans="1:14">
      <c r="A1183" s="194">
        <v>41275.428877314815</v>
      </c>
      <c r="B1183" s="195">
        <v>2062</v>
      </c>
      <c r="C1183" s="194"/>
      <c r="D1183" s="194"/>
      <c r="E1183" s="198"/>
      <c r="G1183" s="202"/>
      <c r="J1183" s="195">
        <v>2</v>
      </c>
      <c r="K1183" s="204" t="s">
        <v>32</v>
      </c>
      <c r="L1183" s="199">
        <v>1</v>
      </c>
      <c r="M1183" s="200">
        <v>1.1000000000000001</v>
      </c>
      <c r="N1183" s="201">
        <v>32</v>
      </c>
    </row>
    <row r="1184" spans="1:14">
      <c r="A1184" s="194">
        <v>41305.530856481484</v>
      </c>
      <c r="B1184" s="195">
        <v>2062</v>
      </c>
      <c r="C1184" s="194"/>
      <c r="D1184" s="194"/>
      <c r="E1184" s="198"/>
      <c r="G1184" s="202"/>
      <c r="J1184" s="195">
        <v>2</v>
      </c>
      <c r="K1184" s="204" t="s">
        <v>32</v>
      </c>
      <c r="L1184" s="199">
        <v>1</v>
      </c>
      <c r="M1184" s="200">
        <v>0.3</v>
      </c>
      <c r="N1184" s="201">
        <v>33</v>
      </c>
    </row>
    <row r="1185" spans="1:14">
      <c r="A1185" s="194">
        <v>41288.591979166667</v>
      </c>
      <c r="B1185" s="195">
        <v>2062</v>
      </c>
      <c r="C1185" s="194"/>
      <c r="D1185" s="194"/>
      <c r="E1185" s="198"/>
      <c r="G1185" s="202"/>
      <c r="J1185" s="195">
        <v>2</v>
      </c>
      <c r="K1185" s="204" t="s">
        <v>32</v>
      </c>
      <c r="L1185" s="199">
        <v>1</v>
      </c>
      <c r="M1185" s="200">
        <v>0.3</v>
      </c>
      <c r="N1185" s="201">
        <v>33</v>
      </c>
    </row>
    <row r="1186" spans="1:14">
      <c r="A1186" s="194">
        <v>41281.698379629626</v>
      </c>
      <c r="B1186" s="195">
        <v>2062</v>
      </c>
      <c r="C1186" s="194"/>
      <c r="D1186" s="194"/>
      <c r="E1186" s="198"/>
      <c r="G1186" s="202"/>
      <c r="J1186" s="195">
        <v>2</v>
      </c>
      <c r="K1186" s="204" t="s">
        <v>32</v>
      </c>
      <c r="L1186" s="199">
        <v>1</v>
      </c>
      <c r="M1186" s="200">
        <v>0.4</v>
      </c>
      <c r="N1186" s="201">
        <v>33</v>
      </c>
    </row>
    <row r="1187" spans="1:14">
      <c r="A1187" s="194">
        <v>41290.778101851851</v>
      </c>
      <c r="B1187" s="195">
        <v>2062</v>
      </c>
      <c r="C1187" s="194"/>
      <c r="D1187" s="194"/>
      <c r="E1187" s="198"/>
      <c r="G1187" s="202"/>
      <c r="J1187" s="195">
        <v>2</v>
      </c>
      <c r="K1187" s="204" t="s">
        <v>32</v>
      </c>
      <c r="L1187" s="199">
        <v>1</v>
      </c>
      <c r="M1187" s="200">
        <v>0.7</v>
      </c>
      <c r="N1187" s="201">
        <v>33</v>
      </c>
    </row>
    <row r="1188" spans="1:14">
      <c r="A1188" s="194">
        <v>41298.882893518516</v>
      </c>
      <c r="B1188" s="195">
        <v>2062</v>
      </c>
      <c r="C1188" s="194"/>
      <c r="D1188" s="194"/>
      <c r="E1188" s="198"/>
      <c r="G1188" s="202"/>
      <c r="J1188" s="195">
        <v>2</v>
      </c>
      <c r="K1188" s="204" t="s">
        <v>32</v>
      </c>
      <c r="L1188" s="199">
        <v>1</v>
      </c>
      <c r="M1188" s="200">
        <v>0.3</v>
      </c>
      <c r="N1188" s="201">
        <v>34</v>
      </c>
    </row>
    <row r="1189" spans="1:14">
      <c r="A1189" s="194">
        <v>41276.644907407404</v>
      </c>
      <c r="B1189" s="195">
        <v>2062</v>
      </c>
      <c r="C1189" s="194"/>
      <c r="D1189" s="194"/>
      <c r="E1189" s="198"/>
      <c r="G1189" s="202"/>
      <c r="J1189" s="195">
        <v>2</v>
      </c>
      <c r="K1189" s="204" t="s">
        <v>32</v>
      </c>
      <c r="L1189" s="199">
        <v>3</v>
      </c>
      <c r="M1189" s="200">
        <v>0.5</v>
      </c>
      <c r="N1189" s="201">
        <v>34</v>
      </c>
    </row>
    <row r="1190" spans="1:14">
      <c r="A1190" s="194">
        <v>41276.641446759262</v>
      </c>
      <c r="B1190" s="195">
        <v>2062</v>
      </c>
      <c r="C1190" s="194"/>
      <c r="D1190" s="194"/>
      <c r="E1190" s="198"/>
      <c r="G1190" s="202"/>
      <c r="J1190" s="195">
        <v>2</v>
      </c>
      <c r="K1190" s="204" t="s">
        <v>32</v>
      </c>
      <c r="L1190" s="199">
        <v>2</v>
      </c>
      <c r="M1190" s="200">
        <v>0.8</v>
      </c>
      <c r="N1190" s="201">
        <v>34</v>
      </c>
    </row>
    <row r="1191" spans="1:14">
      <c r="A1191" s="194">
        <v>41289.265752314815</v>
      </c>
      <c r="B1191" s="195">
        <v>2062</v>
      </c>
      <c r="C1191" s="194"/>
      <c r="D1191" s="194"/>
      <c r="E1191" s="198"/>
      <c r="G1191" s="202"/>
      <c r="J1191" s="195">
        <v>2</v>
      </c>
      <c r="K1191" s="204" t="s">
        <v>32</v>
      </c>
      <c r="L1191" s="199">
        <v>1</v>
      </c>
      <c r="M1191" s="200">
        <v>0.4</v>
      </c>
      <c r="N1191" s="201">
        <v>35</v>
      </c>
    </row>
    <row r="1192" spans="1:14">
      <c r="A1192" s="194">
        <v>41296.356712962966</v>
      </c>
      <c r="B1192" s="195">
        <v>2062</v>
      </c>
      <c r="C1192" s="194"/>
      <c r="D1192" s="194"/>
      <c r="E1192" s="198"/>
      <c r="G1192" s="202"/>
      <c r="J1192" s="195">
        <v>2</v>
      </c>
      <c r="K1192" s="204" t="s">
        <v>32</v>
      </c>
      <c r="L1192" s="199">
        <v>2</v>
      </c>
      <c r="M1192" s="200">
        <v>0.5</v>
      </c>
      <c r="N1192" s="201">
        <v>36</v>
      </c>
    </row>
    <row r="1193" spans="1:14">
      <c r="A1193" s="194">
        <v>41288.665682870371</v>
      </c>
      <c r="B1193" s="195">
        <v>2062</v>
      </c>
      <c r="C1193" s="194"/>
      <c r="D1193" s="194"/>
      <c r="E1193" s="198"/>
      <c r="G1193" s="202"/>
      <c r="J1193" s="195">
        <v>2</v>
      </c>
      <c r="K1193" s="204" t="s">
        <v>32</v>
      </c>
      <c r="L1193" s="199">
        <v>1</v>
      </c>
      <c r="M1193" s="200">
        <v>0.5</v>
      </c>
      <c r="N1193" s="201">
        <v>36</v>
      </c>
    </row>
    <row r="1194" spans="1:14">
      <c r="A1194" s="194">
        <v>41283.294965277775</v>
      </c>
      <c r="B1194" s="195">
        <v>2062</v>
      </c>
      <c r="C1194" s="194"/>
      <c r="D1194" s="194"/>
      <c r="E1194" s="198"/>
      <c r="G1194" s="202"/>
      <c r="J1194" s="195">
        <v>2</v>
      </c>
      <c r="K1194" s="204" t="s">
        <v>32</v>
      </c>
      <c r="L1194" s="199">
        <v>1</v>
      </c>
      <c r="M1194" s="200">
        <v>0.4</v>
      </c>
      <c r="N1194" s="201">
        <v>37</v>
      </c>
    </row>
    <row r="1195" spans="1:14">
      <c r="A1195" s="194">
        <v>41282.350497685184</v>
      </c>
      <c r="B1195" s="195">
        <v>2062</v>
      </c>
      <c r="C1195" s="194"/>
      <c r="D1195" s="194"/>
      <c r="E1195" s="198"/>
      <c r="G1195" s="202"/>
      <c r="J1195" s="195">
        <v>2</v>
      </c>
      <c r="K1195" s="204" t="s">
        <v>32</v>
      </c>
      <c r="L1195" s="199">
        <v>2</v>
      </c>
      <c r="M1195" s="200">
        <v>0.8</v>
      </c>
      <c r="N1195" s="201">
        <v>38</v>
      </c>
    </row>
    <row r="1196" spans="1:14">
      <c r="A1196" s="194">
        <v>41279.766377314816</v>
      </c>
      <c r="B1196" s="195">
        <v>2062</v>
      </c>
      <c r="C1196" s="194"/>
      <c r="D1196" s="194"/>
      <c r="E1196" s="198"/>
      <c r="G1196" s="202"/>
      <c r="J1196" s="195">
        <v>2</v>
      </c>
      <c r="K1196" s="204" t="s">
        <v>32</v>
      </c>
      <c r="L1196" s="199">
        <v>1</v>
      </c>
      <c r="M1196" s="200">
        <v>0.3</v>
      </c>
      <c r="N1196" s="201">
        <v>40</v>
      </c>
    </row>
    <row r="1197" spans="1:14">
      <c r="A1197" s="194">
        <v>41282.628194444442</v>
      </c>
      <c r="B1197" s="195">
        <v>2062</v>
      </c>
      <c r="C1197" s="194"/>
      <c r="D1197" s="194"/>
      <c r="E1197" s="198"/>
      <c r="G1197" s="202"/>
      <c r="J1197" s="195">
        <v>2</v>
      </c>
      <c r="K1197" s="204" t="s">
        <v>32</v>
      </c>
      <c r="L1197" s="199">
        <v>2</v>
      </c>
      <c r="M1197" s="200">
        <v>0.3</v>
      </c>
      <c r="N1197" s="201">
        <v>41</v>
      </c>
    </row>
    <row r="1198" spans="1:14">
      <c r="A1198" s="194">
        <v>41289.321331018517</v>
      </c>
      <c r="B1198" s="195">
        <v>2062</v>
      </c>
      <c r="C1198" s="194"/>
      <c r="D1198" s="194"/>
      <c r="E1198" s="198"/>
      <c r="G1198" s="202"/>
      <c r="J1198" s="195">
        <v>2</v>
      </c>
      <c r="K1198" s="204" t="s">
        <v>32</v>
      </c>
      <c r="L1198" s="199">
        <v>3</v>
      </c>
      <c r="M1198" s="200">
        <v>1.7</v>
      </c>
      <c r="N1198" s="201">
        <v>42</v>
      </c>
    </row>
    <row r="1199" spans="1:14">
      <c r="A1199" s="194">
        <v>41289.450358796297</v>
      </c>
      <c r="B1199" s="195">
        <v>2062</v>
      </c>
      <c r="C1199" s="194"/>
      <c r="D1199" s="194"/>
      <c r="E1199" s="198"/>
      <c r="G1199" s="202"/>
      <c r="J1199" s="195">
        <v>2</v>
      </c>
      <c r="K1199" s="204" t="s">
        <v>32</v>
      </c>
      <c r="L1199" s="199">
        <v>1</v>
      </c>
      <c r="M1199" s="200">
        <v>0.6</v>
      </c>
      <c r="N1199" s="201">
        <v>43</v>
      </c>
    </row>
    <row r="1200" spans="1:14">
      <c r="A1200" s="194">
        <v>41288.301168981481</v>
      </c>
      <c r="B1200" s="195">
        <v>2062</v>
      </c>
      <c r="C1200" s="194"/>
      <c r="D1200" s="194"/>
      <c r="E1200" s="198"/>
      <c r="G1200" s="202"/>
      <c r="J1200" s="195">
        <v>2</v>
      </c>
      <c r="K1200" s="204" t="s">
        <v>32</v>
      </c>
      <c r="L1200" s="199">
        <v>3</v>
      </c>
      <c r="M1200" s="200">
        <v>1.2</v>
      </c>
      <c r="N1200" s="201">
        <v>43</v>
      </c>
    </row>
    <row r="1201" spans="1:14">
      <c r="A1201" s="194">
        <v>41289.473275462966</v>
      </c>
      <c r="B1201" s="195">
        <v>2062</v>
      </c>
      <c r="C1201" s="194"/>
      <c r="D1201" s="194"/>
      <c r="E1201" s="198"/>
      <c r="G1201" s="202"/>
      <c r="J1201" s="195">
        <v>3</v>
      </c>
      <c r="K1201" s="204" t="s">
        <v>1595</v>
      </c>
      <c r="L1201" s="199">
        <v>1</v>
      </c>
      <c r="M1201" s="200">
        <v>1.2</v>
      </c>
      <c r="N1201" s="201">
        <v>24</v>
      </c>
    </row>
    <row r="1202" spans="1:14">
      <c r="A1202" s="194">
        <v>41301.052349537036</v>
      </c>
      <c r="B1202" s="195">
        <v>2062</v>
      </c>
      <c r="C1202" s="194"/>
      <c r="D1202" s="194"/>
      <c r="E1202" s="198"/>
      <c r="G1202" s="202"/>
      <c r="J1202" s="195">
        <v>3</v>
      </c>
      <c r="K1202" s="204" t="s">
        <v>1595</v>
      </c>
      <c r="L1202" s="199">
        <v>1</v>
      </c>
      <c r="M1202" s="200">
        <v>0.4</v>
      </c>
      <c r="N1202" s="201">
        <v>29</v>
      </c>
    </row>
    <row r="1203" spans="1:14">
      <c r="A1203" s="194">
        <v>41300.914178240739</v>
      </c>
      <c r="B1203" s="195">
        <v>2062</v>
      </c>
      <c r="C1203" s="194"/>
      <c r="D1203" s="194"/>
      <c r="E1203" s="198"/>
      <c r="G1203" s="202"/>
      <c r="J1203" s="195">
        <v>3</v>
      </c>
      <c r="K1203" s="204" t="s">
        <v>1595</v>
      </c>
      <c r="L1203" s="199">
        <v>2</v>
      </c>
      <c r="M1203" s="200">
        <v>0.6</v>
      </c>
      <c r="N1203" s="201">
        <v>31</v>
      </c>
    </row>
    <row r="1204" spans="1:14">
      <c r="A1204" s="194">
        <v>41286.648935185185</v>
      </c>
      <c r="B1204" s="195">
        <v>2062</v>
      </c>
      <c r="C1204" s="194"/>
      <c r="D1204" s="194"/>
      <c r="E1204" s="198"/>
      <c r="G1204" s="202"/>
      <c r="J1204" s="195">
        <v>3</v>
      </c>
      <c r="K1204" s="204" t="s">
        <v>1595</v>
      </c>
      <c r="L1204" s="199">
        <v>2</v>
      </c>
      <c r="M1204" s="200">
        <v>1.9</v>
      </c>
      <c r="N1204" s="201">
        <v>33</v>
      </c>
    </row>
    <row r="1205" spans="1:14">
      <c r="A1205" s="194">
        <v>41298.280312499999</v>
      </c>
      <c r="B1205" s="195">
        <v>2062</v>
      </c>
      <c r="C1205" s="194"/>
      <c r="D1205" s="194"/>
      <c r="E1205" s="198"/>
      <c r="G1205" s="202"/>
      <c r="J1205" s="195">
        <v>3</v>
      </c>
      <c r="K1205" s="204" t="s">
        <v>1595</v>
      </c>
      <c r="L1205" s="199">
        <v>3</v>
      </c>
      <c r="M1205" s="200">
        <v>1</v>
      </c>
      <c r="N1205" s="201">
        <v>47</v>
      </c>
    </row>
    <row r="1206" spans="1:14">
      <c r="A1206" s="194">
        <v>41285.475347222222</v>
      </c>
      <c r="B1206" s="195">
        <v>2062</v>
      </c>
      <c r="C1206" s="194"/>
      <c r="D1206" s="194"/>
      <c r="E1206" s="198"/>
      <c r="G1206" s="202"/>
      <c r="J1206" s="195">
        <v>10</v>
      </c>
      <c r="K1206" s="204" t="s">
        <v>31</v>
      </c>
      <c r="L1206" s="199">
        <v>1</v>
      </c>
      <c r="M1206" s="200">
        <v>0.3</v>
      </c>
      <c r="N1206" s="201">
        <v>35</v>
      </c>
    </row>
    <row r="1207" spans="1:14">
      <c r="A1207" s="194">
        <v>41299.315034722225</v>
      </c>
      <c r="B1207" s="195">
        <v>2062</v>
      </c>
      <c r="C1207" s="194"/>
      <c r="D1207" s="194"/>
      <c r="E1207" s="198"/>
      <c r="G1207" s="202"/>
      <c r="J1207" s="195">
        <v>11</v>
      </c>
      <c r="K1207" s="204" t="s">
        <v>1</v>
      </c>
      <c r="L1207" s="199">
        <v>1</v>
      </c>
      <c r="M1207" s="200">
        <v>0.7</v>
      </c>
      <c r="N1207" s="201">
        <v>17</v>
      </c>
    </row>
    <row r="1208" spans="1:14">
      <c r="A1208" s="194">
        <v>41279.651087962964</v>
      </c>
      <c r="B1208" s="195">
        <v>2062</v>
      </c>
      <c r="C1208" s="194"/>
      <c r="D1208" s="194"/>
      <c r="E1208" s="198"/>
      <c r="G1208" s="202"/>
      <c r="J1208" s="195">
        <v>11</v>
      </c>
      <c r="K1208" s="204" t="s">
        <v>1</v>
      </c>
      <c r="L1208" s="199">
        <v>1</v>
      </c>
      <c r="M1208" s="200">
        <v>0.6</v>
      </c>
      <c r="N1208" s="201">
        <v>26</v>
      </c>
    </row>
    <row r="1209" spans="1:14">
      <c r="A1209" s="194">
        <v>41276.858715277776</v>
      </c>
      <c r="B1209" s="195">
        <v>2062</v>
      </c>
      <c r="C1209" s="194"/>
      <c r="D1209" s="194"/>
      <c r="E1209" s="196" t="s">
        <v>1998</v>
      </c>
      <c r="G1209" s="202"/>
      <c r="J1209" s="195">
        <v>11</v>
      </c>
      <c r="K1209" s="204" t="s">
        <v>1</v>
      </c>
      <c r="L1209" s="199">
        <v>2</v>
      </c>
      <c r="M1209" s="200">
        <v>0.8</v>
      </c>
      <c r="N1209" s="201">
        <v>27</v>
      </c>
    </row>
    <row r="1210" spans="1:14">
      <c r="A1210" s="194">
        <v>41301.530844907407</v>
      </c>
      <c r="B1210" s="195">
        <v>2062</v>
      </c>
      <c r="C1210" s="194"/>
      <c r="D1210" s="194"/>
      <c r="E1210" s="198"/>
      <c r="G1210" s="202"/>
      <c r="J1210" s="195">
        <v>11</v>
      </c>
      <c r="K1210" s="204" t="s">
        <v>1</v>
      </c>
      <c r="L1210" s="199">
        <v>2</v>
      </c>
      <c r="M1210" s="200">
        <v>0.3</v>
      </c>
      <c r="N1210" s="201">
        <v>29</v>
      </c>
    </row>
    <row r="1211" spans="1:14">
      <c r="A1211" s="194">
        <v>41284.355370370373</v>
      </c>
      <c r="B1211" s="195">
        <v>2062</v>
      </c>
      <c r="C1211" s="194"/>
      <c r="D1211" s="194"/>
      <c r="E1211" s="198"/>
      <c r="G1211" s="202"/>
      <c r="J1211" s="195">
        <v>11</v>
      </c>
      <c r="K1211" s="204" t="s">
        <v>1</v>
      </c>
      <c r="L1211" s="199">
        <v>2</v>
      </c>
      <c r="M1211" s="200">
        <v>0.3</v>
      </c>
      <c r="N1211" s="201">
        <v>29</v>
      </c>
    </row>
    <row r="1212" spans="1:14">
      <c r="A1212" s="194">
        <v>41305.4059837963</v>
      </c>
      <c r="B1212" s="195">
        <v>2062</v>
      </c>
      <c r="C1212" s="194"/>
      <c r="D1212" s="194"/>
      <c r="E1212" s="198"/>
      <c r="G1212" s="202"/>
      <c r="J1212" s="195">
        <v>11</v>
      </c>
      <c r="K1212" s="204" t="s">
        <v>1</v>
      </c>
      <c r="L1212" s="199">
        <v>2</v>
      </c>
      <c r="M1212" s="200">
        <v>1</v>
      </c>
      <c r="N1212" s="201">
        <v>29</v>
      </c>
    </row>
    <row r="1213" spans="1:14">
      <c r="A1213" s="194">
        <v>41299.369201388887</v>
      </c>
      <c r="B1213" s="195">
        <v>2062</v>
      </c>
      <c r="C1213" s="194"/>
      <c r="D1213" s="194"/>
      <c r="E1213" s="198"/>
      <c r="G1213" s="202"/>
      <c r="J1213" s="195">
        <v>11</v>
      </c>
      <c r="K1213" s="204" t="s">
        <v>1</v>
      </c>
      <c r="L1213" s="199">
        <v>2</v>
      </c>
      <c r="M1213" s="200">
        <v>0.3</v>
      </c>
      <c r="N1213" s="201">
        <v>30</v>
      </c>
    </row>
    <row r="1214" spans="1:14">
      <c r="A1214" s="194">
        <v>41290.722650462965</v>
      </c>
      <c r="B1214" s="195">
        <v>2062</v>
      </c>
      <c r="C1214" s="194"/>
      <c r="D1214" s="194"/>
      <c r="E1214" s="196" t="s">
        <v>2090</v>
      </c>
      <c r="G1214" s="202"/>
      <c r="J1214" s="195">
        <v>11</v>
      </c>
      <c r="K1214" s="204" t="s">
        <v>1</v>
      </c>
      <c r="L1214" s="199">
        <v>1</v>
      </c>
      <c r="M1214" s="200">
        <v>0.3</v>
      </c>
      <c r="N1214" s="201">
        <v>32</v>
      </c>
    </row>
    <row r="1215" spans="1:14">
      <c r="A1215" s="194">
        <v>41299.314340277779</v>
      </c>
      <c r="B1215" s="195">
        <v>2062</v>
      </c>
      <c r="C1215" s="194"/>
      <c r="D1215" s="194"/>
      <c r="E1215" s="198"/>
      <c r="G1215" s="202"/>
      <c r="J1215" s="195">
        <v>11</v>
      </c>
      <c r="K1215" s="204" t="s">
        <v>1</v>
      </c>
      <c r="L1215" s="199">
        <v>1</v>
      </c>
      <c r="M1215" s="200">
        <v>0.7</v>
      </c>
      <c r="N1215" s="201">
        <v>33</v>
      </c>
    </row>
    <row r="1216" spans="1:14">
      <c r="A1216" s="194">
        <v>41288.760844907411</v>
      </c>
      <c r="B1216" s="195">
        <v>2062</v>
      </c>
      <c r="C1216" s="194"/>
      <c r="D1216" s="194"/>
      <c r="E1216" s="196" t="s">
        <v>2096</v>
      </c>
      <c r="G1216" s="202"/>
      <c r="J1216" s="195">
        <v>13</v>
      </c>
      <c r="K1216" s="204" t="s">
        <v>3</v>
      </c>
      <c r="L1216" s="199">
        <v>1</v>
      </c>
      <c r="M1216" s="200">
        <v>0.4</v>
      </c>
      <c r="N1216" s="201">
        <v>29</v>
      </c>
    </row>
    <row r="1217" spans="1:14">
      <c r="A1217" s="194">
        <v>41281.776736111111</v>
      </c>
      <c r="B1217" s="195">
        <v>2062</v>
      </c>
      <c r="C1217" s="194"/>
      <c r="D1217" s="194"/>
      <c r="E1217" s="198"/>
      <c r="G1217" s="202"/>
      <c r="J1217" s="195">
        <v>13</v>
      </c>
      <c r="K1217" s="204" t="s">
        <v>3</v>
      </c>
      <c r="L1217" s="199">
        <v>1</v>
      </c>
      <c r="M1217" s="200">
        <v>1.1000000000000001</v>
      </c>
      <c r="N1217" s="201">
        <v>30</v>
      </c>
    </row>
    <row r="1218" spans="1:14">
      <c r="A1218" s="194">
        <v>41289.26158564815</v>
      </c>
      <c r="B1218" s="195">
        <v>2062</v>
      </c>
      <c r="C1218" s="194"/>
      <c r="D1218" s="194"/>
      <c r="E1218" s="196" t="s">
        <v>1774</v>
      </c>
      <c r="G1218" s="202"/>
      <c r="J1218" s="195">
        <v>13</v>
      </c>
      <c r="K1218" s="204" t="s">
        <v>3</v>
      </c>
      <c r="L1218" s="199">
        <v>1</v>
      </c>
      <c r="M1218" s="200">
        <v>0.7</v>
      </c>
      <c r="N1218" s="201">
        <v>31</v>
      </c>
    </row>
    <row r="1219" spans="1:14">
      <c r="A1219" s="194">
        <v>41296.375451388885</v>
      </c>
      <c r="B1219" s="195">
        <v>2062</v>
      </c>
      <c r="C1219" s="194"/>
      <c r="D1219" s="194"/>
      <c r="E1219" s="196" t="s">
        <v>1657</v>
      </c>
      <c r="G1219" s="202"/>
      <c r="J1219" s="195">
        <v>13</v>
      </c>
      <c r="K1219" s="204" t="s">
        <v>3</v>
      </c>
      <c r="L1219" s="199">
        <v>1</v>
      </c>
      <c r="M1219" s="200">
        <v>0.4</v>
      </c>
      <c r="N1219" s="201">
        <v>32</v>
      </c>
    </row>
    <row r="1220" spans="1:14">
      <c r="A1220" s="194">
        <v>41276.596886574072</v>
      </c>
      <c r="B1220" s="195">
        <v>2062</v>
      </c>
      <c r="C1220" s="194"/>
      <c r="D1220" s="194"/>
      <c r="E1220" s="196" t="s">
        <v>2086</v>
      </c>
      <c r="G1220" s="202"/>
      <c r="J1220" s="195">
        <v>13</v>
      </c>
      <c r="K1220" s="204" t="s">
        <v>3</v>
      </c>
      <c r="L1220" s="199">
        <v>1</v>
      </c>
      <c r="M1220" s="200">
        <v>0.3</v>
      </c>
      <c r="N1220" s="201">
        <v>36</v>
      </c>
    </row>
    <row r="1221" spans="1:14">
      <c r="A1221" s="194">
        <v>41286.443344907406</v>
      </c>
      <c r="B1221" s="195">
        <v>2062</v>
      </c>
      <c r="C1221" s="194"/>
      <c r="D1221" s="194"/>
      <c r="E1221" s="196" t="s">
        <v>2160</v>
      </c>
      <c r="G1221" s="202"/>
      <c r="J1221" s="195">
        <v>13</v>
      </c>
      <c r="K1221" s="204" t="s">
        <v>3</v>
      </c>
      <c r="L1221" s="199">
        <v>2</v>
      </c>
      <c r="M1221" s="200">
        <v>0.5</v>
      </c>
      <c r="N1221" s="201">
        <v>41</v>
      </c>
    </row>
    <row r="1222" spans="1:14">
      <c r="A1222" s="194">
        <v>41296.848229166666</v>
      </c>
      <c r="B1222" s="195">
        <v>2062</v>
      </c>
      <c r="C1222" s="194"/>
      <c r="D1222" s="194"/>
      <c r="E1222" s="198"/>
      <c r="G1222" s="202"/>
      <c r="J1222" s="195">
        <v>13</v>
      </c>
      <c r="K1222" s="204" t="s">
        <v>3</v>
      </c>
      <c r="L1222" s="199">
        <v>1</v>
      </c>
      <c r="M1222" s="200">
        <v>0.7</v>
      </c>
      <c r="N1222" s="201">
        <v>41</v>
      </c>
    </row>
    <row r="1223" spans="1:14">
      <c r="A1223" s="194">
        <v>41296.541979166665</v>
      </c>
      <c r="B1223" s="195">
        <v>2062</v>
      </c>
      <c r="C1223" s="194"/>
      <c r="D1223" s="194"/>
      <c r="E1223" s="198"/>
      <c r="G1223" s="202"/>
      <c r="J1223" s="195">
        <v>14</v>
      </c>
      <c r="K1223" s="204" t="s">
        <v>2</v>
      </c>
      <c r="L1223" s="199">
        <v>1</v>
      </c>
      <c r="M1223" s="200">
        <v>0.5</v>
      </c>
      <c r="N1223" s="201">
        <v>34</v>
      </c>
    </row>
    <row r="1224" spans="1:14">
      <c r="A1224" s="194">
        <v>41281.88921296296</v>
      </c>
      <c r="B1224" s="195">
        <v>2062</v>
      </c>
      <c r="C1224" s="194"/>
      <c r="D1224" s="194"/>
      <c r="E1224" s="198"/>
      <c r="G1224" s="202"/>
      <c r="J1224" s="195">
        <v>14</v>
      </c>
      <c r="K1224" s="204" t="s">
        <v>2</v>
      </c>
      <c r="L1224" s="199">
        <v>1</v>
      </c>
      <c r="M1224" s="200">
        <v>0.4</v>
      </c>
      <c r="N1224" s="201">
        <v>37</v>
      </c>
    </row>
    <row r="1225" spans="1:14">
      <c r="A1225" s="194">
        <v>41282.335289351853</v>
      </c>
      <c r="B1225" s="195">
        <v>2062</v>
      </c>
      <c r="C1225" s="194"/>
      <c r="D1225" s="194"/>
      <c r="E1225" s="198"/>
      <c r="G1225" s="202"/>
      <c r="J1225" s="195">
        <v>15</v>
      </c>
      <c r="K1225" s="204" t="s">
        <v>4</v>
      </c>
      <c r="L1225" s="199">
        <v>2</v>
      </c>
      <c r="M1225" s="200">
        <v>6.1</v>
      </c>
      <c r="N1225" s="201">
        <v>0</v>
      </c>
    </row>
    <row r="1226" spans="1:14">
      <c r="A1226" s="194">
        <v>41303.53707175926</v>
      </c>
      <c r="B1226" s="195">
        <v>2062</v>
      </c>
      <c r="C1226" s="194"/>
      <c r="D1226" s="194"/>
      <c r="E1226" s="198"/>
      <c r="G1226" s="202"/>
      <c r="J1226" s="195">
        <v>15</v>
      </c>
      <c r="K1226" s="204" t="s">
        <v>4</v>
      </c>
      <c r="L1226" s="199">
        <v>1</v>
      </c>
      <c r="M1226" s="200">
        <v>0.3</v>
      </c>
      <c r="N1226" s="201">
        <v>28</v>
      </c>
    </row>
    <row r="1227" spans="1:14">
      <c r="A1227" s="194">
        <v>41288.571145833332</v>
      </c>
      <c r="B1227" s="195">
        <v>2062</v>
      </c>
      <c r="C1227" s="194"/>
      <c r="D1227" s="194"/>
      <c r="E1227" s="198"/>
      <c r="G1227" s="202"/>
      <c r="J1227" s="195">
        <v>15</v>
      </c>
      <c r="K1227" s="204" t="s">
        <v>4</v>
      </c>
      <c r="L1227" s="199">
        <v>1</v>
      </c>
      <c r="M1227" s="200">
        <v>0.6</v>
      </c>
      <c r="N1227" s="201">
        <v>29</v>
      </c>
    </row>
    <row r="1228" spans="1:14">
      <c r="A1228" s="194">
        <v>41289.597546296296</v>
      </c>
      <c r="B1228" s="195">
        <v>2062</v>
      </c>
      <c r="C1228" s="194"/>
      <c r="D1228" s="194"/>
      <c r="E1228" s="198"/>
      <c r="G1228" s="202"/>
      <c r="J1228" s="195">
        <v>15</v>
      </c>
      <c r="K1228" s="204" t="s">
        <v>4</v>
      </c>
      <c r="L1228" s="199">
        <v>1</v>
      </c>
      <c r="M1228" s="200">
        <v>0.3</v>
      </c>
      <c r="N1228" s="201">
        <v>31</v>
      </c>
    </row>
    <row r="1229" spans="1:14">
      <c r="A1229" s="194">
        <v>41286.306574074071</v>
      </c>
      <c r="B1229" s="195">
        <v>2062</v>
      </c>
      <c r="C1229" s="194"/>
      <c r="D1229" s="194"/>
      <c r="E1229" s="198"/>
      <c r="G1229" s="202"/>
      <c r="J1229" s="195">
        <v>17</v>
      </c>
      <c r="K1229" s="204" t="s">
        <v>11</v>
      </c>
      <c r="L1229" s="199">
        <v>1</v>
      </c>
      <c r="M1229" s="200">
        <v>0.5</v>
      </c>
      <c r="N1229" s="201">
        <v>16</v>
      </c>
    </row>
    <row r="1230" spans="1:14">
      <c r="A1230" s="194">
        <v>41287.590601851851</v>
      </c>
      <c r="B1230" s="195">
        <v>2062</v>
      </c>
      <c r="C1230" s="194"/>
      <c r="D1230" s="194"/>
      <c r="E1230" s="198"/>
      <c r="G1230" s="202"/>
      <c r="J1230" s="195">
        <v>17</v>
      </c>
      <c r="K1230" s="204" t="s">
        <v>11</v>
      </c>
      <c r="L1230" s="199">
        <v>1</v>
      </c>
      <c r="M1230" s="200">
        <v>0.7</v>
      </c>
      <c r="N1230" s="201">
        <v>16</v>
      </c>
    </row>
    <row r="1231" spans="1:14">
      <c r="A1231" s="194">
        <v>41297.48641203704</v>
      </c>
      <c r="B1231" s="195">
        <v>2062</v>
      </c>
      <c r="C1231" s="194"/>
      <c r="D1231" s="194"/>
      <c r="E1231" s="198"/>
      <c r="G1231" s="202"/>
      <c r="J1231" s="195">
        <v>17</v>
      </c>
      <c r="K1231" s="204" t="s">
        <v>11</v>
      </c>
      <c r="L1231" s="199">
        <v>1</v>
      </c>
      <c r="M1231" s="200">
        <v>2.2000000000000002</v>
      </c>
      <c r="N1231" s="201">
        <v>16</v>
      </c>
    </row>
    <row r="1232" spans="1:14">
      <c r="A1232" s="194">
        <v>41277.814976851849</v>
      </c>
      <c r="B1232" s="195">
        <v>2062</v>
      </c>
      <c r="C1232" s="194"/>
      <c r="D1232" s="194"/>
      <c r="E1232" s="198"/>
      <c r="G1232" s="202"/>
      <c r="J1232" s="195">
        <v>17</v>
      </c>
      <c r="K1232" s="204" t="s">
        <v>11</v>
      </c>
      <c r="L1232" s="199">
        <v>1</v>
      </c>
      <c r="M1232" s="200">
        <v>0.5</v>
      </c>
      <c r="N1232" s="201">
        <v>17</v>
      </c>
    </row>
    <row r="1233" spans="1:14">
      <c r="A1233" s="194">
        <v>41298.762187499997</v>
      </c>
      <c r="B1233" s="195">
        <v>2062</v>
      </c>
      <c r="C1233" s="194"/>
      <c r="D1233" s="194"/>
      <c r="E1233" s="198"/>
      <c r="G1233" s="202"/>
      <c r="J1233" s="195">
        <v>17</v>
      </c>
      <c r="K1233" s="204" t="s">
        <v>11</v>
      </c>
      <c r="L1233" s="199">
        <v>1</v>
      </c>
      <c r="M1233" s="200">
        <v>0.7</v>
      </c>
      <c r="N1233" s="201">
        <v>17</v>
      </c>
    </row>
    <row r="1234" spans="1:14">
      <c r="A1234" s="194">
        <v>41302.231956018521</v>
      </c>
      <c r="B1234" s="195">
        <v>2062</v>
      </c>
      <c r="C1234" s="194"/>
      <c r="D1234" s="194"/>
      <c r="E1234" s="198"/>
      <c r="G1234" s="202"/>
      <c r="J1234" s="195">
        <v>17</v>
      </c>
      <c r="K1234" s="204" t="s">
        <v>11</v>
      </c>
      <c r="L1234" s="199">
        <v>1</v>
      </c>
      <c r="M1234" s="200">
        <v>30.6</v>
      </c>
      <c r="N1234" s="201">
        <v>17</v>
      </c>
    </row>
    <row r="1235" spans="1:14">
      <c r="A1235" s="194">
        <v>41275.387337962966</v>
      </c>
      <c r="B1235" s="195">
        <v>2062</v>
      </c>
      <c r="C1235" s="194"/>
      <c r="D1235" s="194"/>
      <c r="E1235" s="198"/>
      <c r="G1235" s="202"/>
      <c r="J1235" s="195">
        <v>17</v>
      </c>
      <c r="K1235" s="204" t="s">
        <v>11</v>
      </c>
      <c r="L1235" s="199">
        <v>2</v>
      </c>
      <c r="M1235" s="200">
        <v>0.9</v>
      </c>
      <c r="N1235" s="201">
        <v>18</v>
      </c>
    </row>
    <row r="1236" spans="1:14">
      <c r="A1236" s="194">
        <v>41287.670474537037</v>
      </c>
      <c r="B1236" s="195">
        <v>2062</v>
      </c>
      <c r="C1236" s="194"/>
      <c r="D1236" s="194"/>
      <c r="E1236" s="198"/>
      <c r="G1236" s="202"/>
      <c r="J1236" s="195">
        <v>17</v>
      </c>
      <c r="K1236" s="204" t="s">
        <v>11</v>
      </c>
      <c r="L1236" s="199">
        <v>2</v>
      </c>
      <c r="M1236" s="200">
        <v>1.5</v>
      </c>
      <c r="N1236" s="201">
        <v>19</v>
      </c>
    </row>
    <row r="1237" spans="1:14">
      <c r="A1237" s="194">
        <v>41291.218761574077</v>
      </c>
      <c r="B1237" s="195">
        <v>2062</v>
      </c>
      <c r="C1237" s="194"/>
      <c r="D1237" s="194"/>
      <c r="E1237" s="198"/>
      <c r="G1237" s="202"/>
      <c r="J1237" s="195">
        <v>17</v>
      </c>
      <c r="K1237" s="204" t="s">
        <v>11</v>
      </c>
      <c r="L1237" s="199">
        <v>1</v>
      </c>
      <c r="M1237" s="200">
        <v>31.4</v>
      </c>
      <c r="N1237" s="201">
        <v>20</v>
      </c>
    </row>
    <row r="1238" spans="1:14">
      <c r="A1238" s="194">
        <v>41288.929675925923</v>
      </c>
      <c r="B1238" s="195">
        <v>2062</v>
      </c>
      <c r="C1238" s="194"/>
      <c r="D1238" s="194"/>
      <c r="E1238" s="198"/>
      <c r="G1238" s="202"/>
      <c r="J1238" s="195">
        <v>17</v>
      </c>
      <c r="K1238" s="204" t="s">
        <v>11</v>
      </c>
      <c r="L1238" s="199">
        <v>2</v>
      </c>
      <c r="M1238" s="200">
        <v>17.7</v>
      </c>
      <c r="N1238" s="201">
        <v>21</v>
      </c>
    </row>
    <row r="1239" spans="1:14">
      <c r="A1239" s="194">
        <v>41276.369340277779</v>
      </c>
      <c r="B1239" s="195">
        <v>2062</v>
      </c>
      <c r="C1239" s="194"/>
      <c r="D1239" s="194"/>
      <c r="E1239" s="198"/>
      <c r="G1239" s="202"/>
      <c r="J1239" s="195">
        <v>17</v>
      </c>
      <c r="K1239" s="204" t="s">
        <v>11</v>
      </c>
      <c r="L1239" s="199">
        <v>1</v>
      </c>
      <c r="M1239" s="200">
        <v>1.5</v>
      </c>
      <c r="N1239" s="201">
        <v>22</v>
      </c>
    </row>
    <row r="1240" spans="1:14">
      <c r="A1240" s="194">
        <v>41285.338043981479</v>
      </c>
      <c r="B1240" s="195">
        <v>2062</v>
      </c>
      <c r="C1240" s="194"/>
      <c r="D1240" s="194"/>
      <c r="E1240" s="198"/>
      <c r="G1240" s="202"/>
      <c r="J1240" s="195">
        <v>17</v>
      </c>
      <c r="K1240" s="204" t="s">
        <v>11</v>
      </c>
      <c r="L1240" s="199">
        <v>1</v>
      </c>
      <c r="M1240" s="200">
        <v>0.9</v>
      </c>
      <c r="N1240" s="201">
        <v>28</v>
      </c>
    </row>
    <row r="1241" spans="1:14">
      <c r="A1241" s="194">
        <v>41283.62327546296</v>
      </c>
      <c r="B1241" s="195">
        <v>2062</v>
      </c>
      <c r="C1241" s="194"/>
      <c r="D1241" s="194"/>
      <c r="E1241" s="198"/>
      <c r="G1241" s="202"/>
      <c r="J1241" s="195">
        <v>17</v>
      </c>
      <c r="K1241" s="204" t="s">
        <v>11</v>
      </c>
      <c r="L1241" s="199">
        <v>1</v>
      </c>
      <c r="M1241" s="200">
        <v>0.5</v>
      </c>
      <c r="N1241" s="201">
        <v>31</v>
      </c>
    </row>
    <row r="1242" spans="1:14">
      <c r="A1242" s="194">
        <v>41285.263043981482</v>
      </c>
      <c r="B1242" s="195">
        <v>2062</v>
      </c>
      <c r="C1242" s="194"/>
      <c r="D1242" s="194"/>
      <c r="E1242" s="196" t="s">
        <v>1922</v>
      </c>
      <c r="G1242" s="202"/>
      <c r="J1242" s="195">
        <v>17</v>
      </c>
      <c r="K1242" s="204" t="s">
        <v>11</v>
      </c>
      <c r="L1242" s="199">
        <v>2</v>
      </c>
      <c r="M1242" s="200">
        <v>0.6</v>
      </c>
      <c r="N1242" s="201">
        <v>31</v>
      </c>
    </row>
    <row r="1243" spans="1:14">
      <c r="A1243" s="194">
        <v>41290.257407407407</v>
      </c>
      <c r="B1243" s="195">
        <v>2062</v>
      </c>
      <c r="C1243" s="194"/>
      <c r="D1243" s="194"/>
      <c r="E1243" s="198"/>
      <c r="G1243" s="202"/>
      <c r="J1243" s="195">
        <v>17</v>
      </c>
      <c r="K1243" s="204" t="s">
        <v>11</v>
      </c>
      <c r="L1243" s="199">
        <v>3</v>
      </c>
      <c r="M1243" s="200">
        <v>0.9</v>
      </c>
      <c r="N1243" s="201">
        <v>37</v>
      </c>
    </row>
    <row r="1244" spans="1:14">
      <c r="A1244" s="194">
        <v>41286.703321759262</v>
      </c>
      <c r="B1244" s="195">
        <v>2062</v>
      </c>
      <c r="C1244" s="194"/>
      <c r="D1244" s="194"/>
      <c r="E1244" s="198"/>
      <c r="G1244" s="202"/>
      <c r="J1244" s="195">
        <v>18</v>
      </c>
      <c r="K1244" s="204" t="s">
        <v>5</v>
      </c>
      <c r="L1244" s="199">
        <v>1</v>
      </c>
      <c r="M1244" s="200">
        <v>19</v>
      </c>
      <c r="N1244" s="201">
        <v>20</v>
      </c>
    </row>
    <row r="1245" spans="1:14">
      <c r="A1245" s="194">
        <v>41275.526770833334</v>
      </c>
      <c r="B1245" s="195">
        <v>2062</v>
      </c>
      <c r="C1245" s="194"/>
      <c r="D1245" s="194"/>
      <c r="E1245" s="196" t="s">
        <v>1744</v>
      </c>
      <c r="G1245" s="202"/>
      <c r="J1245" s="195">
        <v>19</v>
      </c>
      <c r="K1245" s="204" t="s">
        <v>1745</v>
      </c>
      <c r="L1245" s="199">
        <v>1</v>
      </c>
      <c r="M1245" s="200">
        <v>0.5</v>
      </c>
      <c r="N1245" s="201">
        <v>27</v>
      </c>
    </row>
    <row r="1246" spans="1:14">
      <c r="A1246" s="194">
        <v>41285.616296296299</v>
      </c>
      <c r="B1246" s="195">
        <v>2062</v>
      </c>
      <c r="C1246" s="194"/>
      <c r="D1246" s="194"/>
      <c r="E1246" s="196" t="s">
        <v>2118</v>
      </c>
      <c r="G1246" s="202"/>
      <c r="J1246" s="195">
        <v>24</v>
      </c>
      <c r="K1246" s="204" t="s">
        <v>25</v>
      </c>
      <c r="L1246" s="199">
        <v>1</v>
      </c>
      <c r="M1246" s="200">
        <v>0.4</v>
      </c>
      <c r="N1246" s="201">
        <v>16</v>
      </c>
    </row>
    <row r="1247" spans="1:14">
      <c r="A1247" s="194">
        <v>41300.766296296293</v>
      </c>
      <c r="B1247" s="195">
        <v>2062</v>
      </c>
      <c r="C1247" s="194"/>
      <c r="D1247" s="194"/>
      <c r="E1247" s="196" t="s">
        <v>1855</v>
      </c>
      <c r="G1247" s="202"/>
      <c r="J1247" s="195">
        <v>24</v>
      </c>
      <c r="K1247" s="204" t="s">
        <v>25</v>
      </c>
      <c r="L1247" s="199">
        <v>2</v>
      </c>
      <c r="M1247" s="200">
        <v>0.7</v>
      </c>
      <c r="N1247" s="201">
        <v>16</v>
      </c>
    </row>
    <row r="1248" spans="1:14">
      <c r="A1248" s="194">
        <v>41280.575381944444</v>
      </c>
      <c r="B1248" s="195">
        <v>2062</v>
      </c>
      <c r="C1248" s="194"/>
      <c r="D1248" s="194"/>
      <c r="E1248" s="196" t="s">
        <v>1710</v>
      </c>
      <c r="G1248" s="202"/>
      <c r="J1248" s="195">
        <v>24</v>
      </c>
      <c r="K1248" s="204" t="s">
        <v>25</v>
      </c>
      <c r="L1248" s="199">
        <v>1</v>
      </c>
      <c r="M1248" s="200">
        <v>0.3</v>
      </c>
      <c r="N1248" s="201">
        <v>20</v>
      </c>
    </row>
    <row r="1249" spans="1:14">
      <c r="A1249" s="194">
        <v>41284.913553240738</v>
      </c>
      <c r="B1249" s="195">
        <v>2062</v>
      </c>
      <c r="C1249" s="194"/>
      <c r="D1249" s="194"/>
      <c r="E1249" s="196" t="s">
        <v>1718</v>
      </c>
      <c r="G1249" s="202"/>
      <c r="J1249" s="195">
        <v>24</v>
      </c>
      <c r="K1249" s="204" t="s">
        <v>25</v>
      </c>
      <c r="L1249" s="199">
        <v>1</v>
      </c>
      <c r="M1249" s="200">
        <v>0.5</v>
      </c>
      <c r="N1249" s="201">
        <v>21</v>
      </c>
    </row>
    <row r="1250" spans="1:14">
      <c r="A1250" s="194">
        <v>41298.55027777778</v>
      </c>
      <c r="B1250" s="195">
        <v>2062</v>
      </c>
      <c r="C1250" s="194"/>
      <c r="D1250" s="194"/>
      <c r="E1250" s="196" t="s">
        <v>1635</v>
      </c>
      <c r="G1250" s="202"/>
      <c r="J1250" s="195">
        <v>24</v>
      </c>
      <c r="K1250" s="204" t="s">
        <v>25</v>
      </c>
      <c r="L1250" s="199">
        <v>2</v>
      </c>
      <c r="M1250" s="200">
        <v>0.4</v>
      </c>
      <c r="N1250" s="201">
        <v>22</v>
      </c>
    </row>
    <row r="1251" spans="1:14">
      <c r="A1251" s="194">
        <v>41296.476701388892</v>
      </c>
      <c r="B1251" s="195">
        <v>2062</v>
      </c>
      <c r="C1251" s="194"/>
      <c r="D1251" s="194"/>
      <c r="E1251" s="196" t="s">
        <v>1784</v>
      </c>
      <c r="G1251" s="202"/>
      <c r="J1251" s="195">
        <v>24</v>
      </c>
      <c r="K1251" s="204" t="s">
        <v>25</v>
      </c>
      <c r="L1251" s="199">
        <v>1</v>
      </c>
      <c r="M1251" s="200">
        <v>0.6</v>
      </c>
      <c r="N1251" s="201">
        <v>22</v>
      </c>
    </row>
    <row r="1252" spans="1:14">
      <c r="A1252" s="194">
        <v>41299.914189814815</v>
      </c>
      <c r="B1252" s="195">
        <v>2062</v>
      </c>
      <c r="C1252" s="194"/>
      <c r="D1252" s="194"/>
      <c r="E1252" s="196" t="s">
        <v>1677</v>
      </c>
      <c r="G1252" s="202"/>
      <c r="J1252" s="195">
        <v>24</v>
      </c>
      <c r="K1252" s="204" t="s">
        <v>25</v>
      </c>
      <c r="L1252" s="199">
        <v>2</v>
      </c>
      <c r="M1252" s="200">
        <v>0.5</v>
      </c>
      <c r="N1252" s="201">
        <v>23</v>
      </c>
    </row>
    <row r="1253" spans="1:14">
      <c r="A1253" s="194">
        <v>41275.538587962961</v>
      </c>
      <c r="B1253" s="195">
        <v>2062</v>
      </c>
      <c r="C1253" s="194"/>
      <c r="D1253" s="194"/>
      <c r="E1253" s="196" t="s">
        <v>1764</v>
      </c>
      <c r="G1253" s="202"/>
      <c r="J1253" s="195">
        <v>24</v>
      </c>
      <c r="K1253" s="204" t="s">
        <v>25</v>
      </c>
      <c r="L1253" s="199">
        <v>1</v>
      </c>
      <c r="M1253" s="200">
        <v>1.5</v>
      </c>
      <c r="N1253" s="201">
        <v>23</v>
      </c>
    </row>
    <row r="1254" spans="1:14">
      <c r="A1254" s="194">
        <v>41286.339398148149</v>
      </c>
      <c r="B1254" s="195">
        <v>2062</v>
      </c>
      <c r="C1254" s="194"/>
      <c r="D1254" s="194"/>
      <c r="E1254" s="196" t="s">
        <v>1624</v>
      </c>
      <c r="G1254" s="202"/>
      <c r="J1254" s="195">
        <v>24</v>
      </c>
      <c r="K1254" s="204" t="s">
        <v>25</v>
      </c>
      <c r="L1254" s="199">
        <v>2</v>
      </c>
      <c r="M1254" s="200">
        <v>17.100000000000001</v>
      </c>
      <c r="N1254" s="201">
        <v>25</v>
      </c>
    </row>
    <row r="1255" spans="1:14">
      <c r="A1255" s="194">
        <v>41287.719780092593</v>
      </c>
      <c r="B1255" s="195">
        <v>2062</v>
      </c>
      <c r="C1255" s="194"/>
      <c r="D1255" s="194"/>
      <c r="E1255" s="196" t="s">
        <v>1908</v>
      </c>
      <c r="G1255" s="202"/>
      <c r="J1255" s="195">
        <v>24</v>
      </c>
      <c r="K1255" s="204" t="s">
        <v>25</v>
      </c>
      <c r="L1255" s="199">
        <v>1</v>
      </c>
      <c r="M1255" s="200">
        <v>0.6</v>
      </c>
      <c r="N1255" s="201">
        <v>27</v>
      </c>
    </row>
    <row r="1256" spans="1:14">
      <c r="A1256" s="194">
        <v>41297.867615740739</v>
      </c>
      <c r="B1256" s="195">
        <v>2062</v>
      </c>
      <c r="C1256" s="194"/>
      <c r="D1256" s="194"/>
      <c r="E1256" s="196" t="s">
        <v>1748</v>
      </c>
      <c r="G1256" s="202"/>
      <c r="J1256" s="195">
        <v>24</v>
      </c>
      <c r="K1256" s="204" t="s">
        <v>25</v>
      </c>
      <c r="L1256" s="199">
        <v>2</v>
      </c>
      <c r="M1256" s="200">
        <v>0.3</v>
      </c>
      <c r="N1256" s="201">
        <v>28</v>
      </c>
    </row>
    <row r="1257" spans="1:14">
      <c r="A1257" s="194">
        <v>41276.569803240738</v>
      </c>
      <c r="B1257" s="195">
        <v>2062</v>
      </c>
      <c r="C1257" s="194"/>
      <c r="D1257" s="194"/>
      <c r="E1257" s="196" t="s">
        <v>1932</v>
      </c>
      <c r="G1257" s="202"/>
      <c r="J1257" s="195">
        <v>24</v>
      </c>
      <c r="K1257" s="204" t="s">
        <v>25</v>
      </c>
      <c r="L1257" s="199">
        <v>1</v>
      </c>
      <c r="M1257" s="200">
        <v>0.4</v>
      </c>
      <c r="N1257" s="201">
        <v>28</v>
      </c>
    </row>
    <row r="1258" spans="1:14">
      <c r="A1258" s="194">
        <v>41287.835057870368</v>
      </c>
      <c r="B1258" s="195">
        <v>2062</v>
      </c>
      <c r="C1258" s="194"/>
      <c r="D1258" s="194"/>
      <c r="E1258" s="196" t="s">
        <v>2024</v>
      </c>
      <c r="G1258" s="202"/>
      <c r="J1258" s="195">
        <v>24</v>
      </c>
      <c r="K1258" s="204" t="s">
        <v>25</v>
      </c>
      <c r="L1258" s="199">
        <v>1</v>
      </c>
      <c r="M1258" s="200">
        <v>0.4</v>
      </c>
      <c r="N1258" s="201">
        <v>28</v>
      </c>
    </row>
    <row r="1259" spans="1:14">
      <c r="A1259" s="194">
        <v>41285.581597222219</v>
      </c>
      <c r="B1259" s="195">
        <v>2062</v>
      </c>
      <c r="C1259" s="194"/>
      <c r="D1259" s="194"/>
      <c r="E1259" s="196" t="s">
        <v>1716</v>
      </c>
      <c r="G1259" s="202"/>
      <c r="J1259" s="195">
        <v>24</v>
      </c>
      <c r="K1259" s="204" t="s">
        <v>25</v>
      </c>
      <c r="L1259" s="199">
        <v>1</v>
      </c>
      <c r="M1259" s="200">
        <v>1.8</v>
      </c>
      <c r="N1259" s="201">
        <v>29</v>
      </c>
    </row>
    <row r="1260" spans="1:14">
      <c r="A1260" s="194">
        <v>41300.515601851854</v>
      </c>
      <c r="B1260" s="195">
        <v>2062</v>
      </c>
      <c r="C1260" s="194"/>
      <c r="D1260" s="194"/>
      <c r="E1260" s="196" t="s">
        <v>2110</v>
      </c>
      <c r="G1260" s="202"/>
      <c r="J1260" s="195">
        <v>24</v>
      </c>
      <c r="K1260" s="204" t="s">
        <v>25</v>
      </c>
      <c r="L1260" s="199">
        <v>1</v>
      </c>
      <c r="M1260" s="200">
        <v>0.4</v>
      </c>
      <c r="N1260" s="201">
        <v>30</v>
      </c>
    </row>
    <row r="1261" spans="1:14">
      <c r="A1261" s="194">
        <v>41278.844849537039</v>
      </c>
      <c r="B1261" s="195">
        <v>2062</v>
      </c>
      <c r="C1261" s="194"/>
      <c r="D1261" s="194"/>
      <c r="E1261" s="196" t="s">
        <v>1759</v>
      </c>
      <c r="G1261" s="202"/>
      <c r="J1261" s="195">
        <v>24</v>
      </c>
      <c r="K1261" s="204" t="s">
        <v>25</v>
      </c>
      <c r="L1261" s="199">
        <v>1</v>
      </c>
      <c r="M1261" s="200">
        <v>0.5</v>
      </c>
      <c r="N1261" s="201">
        <v>30</v>
      </c>
    </row>
    <row r="1262" spans="1:14">
      <c r="A1262" s="194">
        <v>41290.385891203703</v>
      </c>
      <c r="B1262" s="195">
        <v>2062</v>
      </c>
      <c r="C1262" s="194"/>
      <c r="D1262" s="194"/>
      <c r="E1262" s="196" t="s">
        <v>2029</v>
      </c>
      <c r="G1262" s="202"/>
      <c r="J1262" s="195">
        <v>24</v>
      </c>
      <c r="K1262" s="204" t="s">
        <v>25</v>
      </c>
      <c r="L1262" s="199">
        <v>1</v>
      </c>
      <c r="M1262" s="200">
        <v>1.3</v>
      </c>
      <c r="N1262" s="201">
        <v>30</v>
      </c>
    </row>
    <row r="1263" spans="1:14">
      <c r="A1263" s="194">
        <v>41276.955277777779</v>
      </c>
      <c r="B1263" s="195">
        <v>2062</v>
      </c>
      <c r="C1263" s="194"/>
      <c r="D1263" s="194"/>
      <c r="E1263" s="196" t="s">
        <v>2051</v>
      </c>
      <c r="G1263" s="202"/>
      <c r="J1263" s="195">
        <v>24</v>
      </c>
      <c r="K1263" s="204" t="s">
        <v>25</v>
      </c>
      <c r="L1263" s="199">
        <v>2</v>
      </c>
      <c r="M1263" s="200">
        <v>5.3</v>
      </c>
      <c r="N1263" s="201">
        <v>30</v>
      </c>
    </row>
    <row r="1264" spans="1:14">
      <c r="A1264" s="194">
        <v>41278.858043981483</v>
      </c>
      <c r="B1264" s="195">
        <v>2062</v>
      </c>
      <c r="C1264" s="194"/>
      <c r="D1264" s="194"/>
      <c r="E1264" s="196" t="s">
        <v>1914</v>
      </c>
      <c r="G1264" s="202"/>
      <c r="J1264" s="195">
        <v>24</v>
      </c>
      <c r="K1264" s="204" t="s">
        <v>25</v>
      </c>
      <c r="L1264" s="199">
        <v>1</v>
      </c>
      <c r="M1264" s="200">
        <v>0.3</v>
      </c>
      <c r="N1264" s="201">
        <v>31</v>
      </c>
    </row>
    <row r="1265" spans="1:14">
      <c r="A1265" s="194">
        <v>41280.730266203704</v>
      </c>
      <c r="B1265" s="195">
        <v>2062</v>
      </c>
      <c r="C1265" s="194"/>
      <c r="D1265" s="194"/>
      <c r="E1265" s="196" t="s">
        <v>2020</v>
      </c>
      <c r="G1265" s="202"/>
      <c r="J1265" s="195">
        <v>24</v>
      </c>
      <c r="K1265" s="204" t="s">
        <v>25</v>
      </c>
      <c r="L1265" s="199">
        <v>1</v>
      </c>
      <c r="M1265" s="200">
        <v>0.4</v>
      </c>
      <c r="N1265" s="201">
        <v>31</v>
      </c>
    </row>
    <row r="1266" spans="1:14">
      <c r="A1266" s="194">
        <v>41275.672719907408</v>
      </c>
      <c r="B1266" s="195">
        <v>2062</v>
      </c>
      <c r="C1266" s="194"/>
      <c r="D1266" s="194"/>
      <c r="E1266" s="196" t="s">
        <v>2008</v>
      </c>
      <c r="G1266" s="202"/>
      <c r="J1266" s="195">
        <v>24</v>
      </c>
      <c r="K1266" s="204" t="s">
        <v>25</v>
      </c>
      <c r="L1266" s="199">
        <v>3</v>
      </c>
      <c r="M1266" s="200">
        <v>0.7</v>
      </c>
      <c r="N1266" s="201">
        <v>31</v>
      </c>
    </row>
    <row r="1267" spans="1:14">
      <c r="A1267" s="194">
        <v>41287.599629629629</v>
      </c>
      <c r="B1267" s="195">
        <v>2062</v>
      </c>
      <c r="C1267" s="194"/>
      <c r="D1267" s="194"/>
      <c r="E1267" s="196" t="s">
        <v>1980</v>
      </c>
      <c r="G1267" s="202"/>
      <c r="J1267" s="195">
        <v>24</v>
      </c>
      <c r="K1267" s="204" t="s">
        <v>25</v>
      </c>
      <c r="L1267" s="199">
        <v>1</v>
      </c>
      <c r="M1267" s="200">
        <v>0.8</v>
      </c>
      <c r="N1267" s="201">
        <v>31</v>
      </c>
    </row>
    <row r="1268" spans="1:14">
      <c r="A1268" s="194">
        <v>41277.56422453704</v>
      </c>
      <c r="B1268" s="195">
        <v>2062</v>
      </c>
      <c r="C1268" s="194"/>
      <c r="D1268" s="194"/>
      <c r="E1268" s="196" t="s">
        <v>2009</v>
      </c>
      <c r="G1268" s="202"/>
      <c r="J1268" s="195">
        <v>24</v>
      </c>
      <c r="K1268" s="204" t="s">
        <v>25</v>
      </c>
      <c r="L1268" s="199">
        <v>1</v>
      </c>
      <c r="M1268" s="200">
        <v>1.4</v>
      </c>
      <c r="N1268" s="201">
        <v>32</v>
      </c>
    </row>
    <row r="1269" spans="1:14">
      <c r="A1269" s="194">
        <v>41280.620856481481</v>
      </c>
      <c r="B1269" s="195">
        <v>2062</v>
      </c>
      <c r="C1269" s="194"/>
      <c r="D1269" s="194"/>
      <c r="E1269" s="196" t="s">
        <v>1861</v>
      </c>
      <c r="G1269" s="202"/>
      <c r="J1269" s="195">
        <v>24</v>
      </c>
      <c r="K1269" s="204" t="s">
        <v>25</v>
      </c>
      <c r="L1269" s="199">
        <v>1</v>
      </c>
      <c r="M1269" s="200">
        <v>29.4</v>
      </c>
      <c r="N1269" s="201">
        <v>33</v>
      </c>
    </row>
    <row r="1270" spans="1:14">
      <c r="A1270" s="194">
        <v>41283.427442129629</v>
      </c>
      <c r="B1270" s="195">
        <v>2062</v>
      </c>
      <c r="C1270" s="194"/>
      <c r="D1270" s="194"/>
      <c r="E1270" s="196" t="s">
        <v>1896</v>
      </c>
      <c r="G1270" s="202"/>
      <c r="J1270" s="195">
        <v>24</v>
      </c>
      <c r="K1270" s="204" t="s">
        <v>25</v>
      </c>
      <c r="L1270" s="199">
        <v>1</v>
      </c>
      <c r="M1270" s="200">
        <v>0.4</v>
      </c>
      <c r="N1270" s="201">
        <v>34</v>
      </c>
    </row>
    <row r="1271" spans="1:14">
      <c r="A1271" s="194">
        <v>41298.356689814813</v>
      </c>
      <c r="B1271" s="195">
        <v>2062</v>
      </c>
      <c r="C1271" s="194"/>
      <c r="D1271" s="194"/>
      <c r="E1271" s="196" t="s">
        <v>1965</v>
      </c>
      <c r="G1271" s="202"/>
      <c r="J1271" s="195">
        <v>24</v>
      </c>
      <c r="K1271" s="204" t="s">
        <v>25</v>
      </c>
      <c r="L1271" s="199">
        <v>2</v>
      </c>
      <c r="M1271" s="200">
        <v>0.5</v>
      </c>
      <c r="N1271" s="201">
        <v>34</v>
      </c>
    </row>
    <row r="1272" spans="1:14">
      <c r="A1272" s="194">
        <v>41290.707372685189</v>
      </c>
      <c r="B1272" s="195">
        <v>2062</v>
      </c>
      <c r="C1272" s="194"/>
      <c r="D1272" s="194"/>
      <c r="E1272" s="196" t="s">
        <v>2099</v>
      </c>
      <c r="G1272" s="202"/>
      <c r="J1272" s="195">
        <v>29</v>
      </c>
      <c r="K1272" s="204" t="s">
        <v>39</v>
      </c>
      <c r="L1272" s="199">
        <v>3</v>
      </c>
      <c r="M1272" s="200">
        <v>0.5</v>
      </c>
      <c r="N1272" s="201">
        <v>18</v>
      </c>
    </row>
    <row r="1273" spans="1:14">
      <c r="A1273" s="194">
        <v>41275.110810185186</v>
      </c>
      <c r="B1273" s="195">
        <v>2062</v>
      </c>
      <c r="C1273" s="194"/>
      <c r="D1273" s="194"/>
      <c r="E1273" s="196" t="s">
        <v>2067</v>
      </c>
      <c r="G1273" s="202"/>
      <c r="J1273" s="195">
        <v>29</v>
      </c>
      <c r="K1273" s="204" t="s">
        <v>39</v>
      </c>
      <c r="L1273" s="199">
        <v>1</v>
      </c>
      <c r="M1273" s="200">
        <v>0.4</v>
      </c>
      <c r="N1273" s="201">
        <v>21</v>
      </c>
    </row>
    <row r="1274" spans="1:14">
      <c r="A1274" s="194">
        <v>41285.971145833333</v>
      </c>
      <c r="B1274" s="195">
        <v>2062</v>
      </c>
      <c r="C1274" s="194"/>
      <c r="D1274" s="194"/>
      <c r="E1274" s="196" t="s">
        <v>1919</v>
      </c>
      <c r="G1274" s="202"/>
      <c r="J1274" s="195">
        <v>29</v>
      </c>
      <c r="K1274" s="204" t="s">
        <v>39</v>
      </c>
      <c r="L1274" s="199">
        <v>1</v>
      </c>
      <c r="M1274" s="200">
        <v>0.6</v>
      </c>
      <c r="N1274" s="201">
        <v>22</v>
      </c>
    </row>
    <row r="1275" spans="1:14">
      <c r="A1275" s="194">
        <v>41284.539270833331</v>
      </c>
      <c r="B1275" s="195">
        <v>2062</v>
      </c>
      <c r="C1275" s="194"/>
      <c r="D1275" s="194"/>
      <c r="E1275" s="196" t="s">
        <v>1903</v>
      </c>
      <c r="G1275" s="202"/>
      <c r="J1275" s="195">
        <v>29</v>
      </c>
      <c r="K1275" s="204" t="s">
        <v>39</v>
      </c>
      <c r="L1275" s="199">
        <v>1</v>
      </c>
      <c r="M1275" s="200">
        <v>0.5</v>
      </c>
      <c r="N1275" s="201">
        <v>25</v>
      </c>
    </row>
    <row r="1276" spans="1:14">
      <c r="A1276" s="194">
        <v>41286.997581018521</v>
      </c>
      <c r="B1276" s="195">
        <v>2062</v>
      </c>
      <c r="C1276" s="194"/>
      <c r="D1276" s="194"/>
      <c r="E1276" s="196" t="s">
        <v>1934</v>
      </c>
      <c r="G1276" s="202"/>
      <c r="J1276" s="195">
        <v>29</v>
      </c>
      <c r="K1276" s="204" t="s">
        <v>39</v>
      </c>
      <c r="L1276" s="199">
        <v>1</v>
      </c>
      <c r="M1276" s="200">
        <v>1.7</v>
      </c>
      <c r="N1276" s="201">
        <v>25</v>
      </c>
    </row>
    <row r="1277" spans="1:14">
      <c r="A1277" s="194">
        <v>41283.865601851852</v>
      </c>
      <c r="B1277" s="195">
        <v>2062</v>
      </c>
      <c r="C1277" s="194"/>
      <c r="D1277" s="194"/>
      <c r="E1277" s="196" t="s">
        <v>1753</v>
      </c>
      <c r="G1277" s="202"/>
      <c r="J1277" s="195">
        <v>29</v>
      </c>
      <c r="K1277" s="204" t="s">
        <v>39</v>
      </c>
      <c r="L1277" s="199">
        <v>1</v>
      </c>
      <c r="M1277" s="200">
        <v>0.3</v>
      </c>
      <c r="N1277" s="201">
        <v>26</v>
      </c>
    </row>
    <row r="1278" spans="1:14">
      <c r="A1278" s="194">
        <v>41302.831516203703</v>
      </c>
      <c r="B1278" s="195">
        <v>2062</v>
      </c>
      <c r="C1278" s="194"/>
      <c r="D1278" s="194"/>
      <c r="E1278" s="196" t="s">
        <v>1827</v>
      </c>
      <c r="G1278" s="202"/>
      <c r="J1278" s="195">
        <v>29</v>
      </c>
      <c r="K1278" s="204" t="s">
        <v>39</v>
      </c>
      <c r="L1278" s="199">
        <v>2</v>
      </c>
      <c r="M1278" s="200">
        <v>0.8</v>
      </c>
      <c r="N1278" s="201">
        <v>26</v>
      </c>
    </row>
    <row r="1279" spans="1:14">
      <c r="A1279" s="194">
        <v>41305.953738425924</v>
      </c>
      <c r="B1279" s="195">
        <v>2062</v>
      </c>
      <c r="C1279" s="194"/>
      <c r="D1279" s="194"/>
      <c r="E1279" s="196" t="s">
        <v>2077</v>
      </c>
      <c r="G1279" s="202"/>
      <c r="J1279" s="195">
        <v>29</v>
      </c>
      <c r="K1279" s="204" t="s">
        <v>39</v>
      </c>
      <c r="L1279" s="199">
        <v>1</v>
      </c>
      <c r="M1279" s="200">
        <v>0.8</v>
      </c>
      <c r="N1279" s="201">
        <v>26</v>
      </c>
    </row>
    <row r="1280" spans="1:14">
      <c r="A1280" s="194">
        <v>41297.789861111109</v>
      </c>
      <c r="B1280" s="195">
        <v>2062</v>
      </c>
      <c r="C1280" s="194"/>
      <c r="D1280" s="194"/>
      <c r="E1280" s="196" t="s">
        <v>1720</v>
      </c>
      <c r="G1280" s="202"/>
      <c r="J1280" s="195">
        <v>29</v>
      </c>
      <c r="K1280" s="204" t="s">
        <v>39</v>
      </c>
      <c r="L1280" s="199">
        <v>2</v>
      </c>
      <c r="M1280" s="200">
        <v>0.4</v>
      </c>
      <c r="N1280" s="201">
        <v>27</v>
      </c>
    </row>
    <row r="1281" spans="1:14">
      <c r="A1281" s="194">
        <v>41284.546215277776</v>
      </c>
      <c r="B1281" s="195">
        <v>2062</v>
      </c>
      <c r="C1281" s="194"/>
      <c r="D1281" s="194"/>
      <c r="E1281" s="196" t="s">
        <v>1782</v>
      </c>
      <c r="G1281" s="202"/>
      <c r="J1281" s="195">
        <v>29</v>
      </c>
      <c r="K1281" s="204" t="s">
        <v>39</v>
      </c>
      <c r="L1281" s="199">
        <v>2</v>
      </c>
      <c r="M1281" s="200">
        <v>0.4</v>
      </c>
      <c r="N1281" s="201">
        <v>27</v>
      </c>
    </row>
    <row r="1282" spans="1:14">
      <c r="A1282" s="194">
        <v>41287.662129629629</v>
      </c>
      <c r="B1282" s="195">
        <v>2062</v>
      </c>
      <c r="C1282" s="194"/>
      <c r="D1282" s="194"/>
      <c r="E1282" s="196" t="s">
        <v>1788</v>
      </c>
      <c r="G1282" s="202"/>
      <c r="J1282" s="195">
        <v>29</v>
      </c>
      <c r="K1282" s="204" t="s">
        <v>39</v>
      </c>
      <c r="L1282" s="199">
        <v>3</v>
      </c>
      <c r="M1282" s="200">
        <v>0.5</v>
      </c>
      <c r="N1282" s="201">
        <v>27</v>
      </c>
    </row>
    <row r="1283" spans="1:14">
      <c r="A1283" s="194">
        <v>41290.432280092595</v>
      </c>
      <c r="B1283" s="195">
        <v>2062</v>
      </c>
      <c r="C1283" s="194"/>
      <c r="D1283" s="194"/>
      <c r="E1283" s="196" t="s">
        <v>2059</v>
      </c>
      <c r="G1283" s="202"/>
      <c r="J1283" s="195">
        <v>29</v>
      </c>
      <c r="K1283" s="204" t="s">
        <v>39</v>
      </c>
      <c r="L1283" s="199">
        <v>3</v>
      </c>
      <c r="M1283" s="200">
        <v>0.5</v>
      </c>
      <c r="N1283" s="201">
        <v>27</v>
      </c>
    </row>
    <row r="1284" spans="1:14">
      <c r="A1284" s="194">
        <v>41298.888449074075</v>
      </c>
      <c r="B1284" s="195">
        <v>2062</v>
      </c>
      <c r="C1284" s="194"/>
      <c r="D1284" s="194"/>
      <c r="E1284" s="196" t="s">
        <v>2062</v>
      </c>
      <c r="G1284" s="202"/>
      <c r="J1284" s="195">
        <v>29</v>
      </c>
      <c r="K1284" s="204" t="s">
        <v>39</v>
      </c>
      <c r="L1284" s="199">
        <v>2</v>
      </c>
      <c r="M1284" s="200">
        <v>0.6</v>
      </c>
      <c r="N1284" s="201">
        <v>27</v>
      </c>
    </row>
    <row r="1285" spans="1:14">
      <c r="A1285" s="194">
        <v>41287.893379629626</v>
      </c>
      <c r="B1285" s="195">
        <v>2062</v>
      </c>
      <c r="C1285" s="194"/>
      <c r="D1285" s="194"/>
      <c r="E1285" s="196" t="s">
        <v>1686</v>
      </c>
      <c r="G1285" s="202"/>
      <c r="J1285" s="195">
        <v>29</v>
      </c>
      <c r="K1285" s="204" t="s">
        <v>39</v>
      </c>
      <c r="L1285" s="199">
        <v>1</v>
      </c>
      <c r="M1285" s="200">
        <v>0.5</v>
      </c>
      <c r="N1285" s="201">
        <v>29</v>
      </c>
    </row>
    <row r="1286" spans="1:14">
      <c r="A1286" s="194">
        <v>41279.905949074076</v>
      </c>
      <c r="B1286" s="195">
        <v>2062</v>
      </c>
      <c r="C1286" s="194"/>
      <c r="D1286" s="194"/>
      <c r="E1286" s="196" t="s">
        <v>1988</v>
      </c>
      <c r="G1286" s="202"/>
      <c r="J1286" s="195">
        <v>29</v>
      </c>
      <c r="K1286" s="204" t="s">
        <v>39</v>
      </c>
      <c r="L1286" s="199">
        <v>1</v>
      </c>
      <c r="M1286" s="200">
        <v>0.3</v>
      </c>
      <c r="N1286" s="201">
        <v>30</v>
      </c>
    </row>
    <row r="1287" spans="1:14">
      <c r="A1287" s="194">
        <v>41290.535034722219</v>
      </c>
      <c r="B1287" s="195">
        <v>2062</v>
      </c>
      <c r="C1287" s="194"/>
      <c r="D1287" s="194"/>
      <c r="E1287" s="196" t="s">
        <v>1740</v>
      </c>
      <c r="G1287" s="202"/>
      <c r="J1287" s="195">
        <v>29</v>
      </c>
      <c r="K1287" s="204" t="s">
        <v>39</v>
      </c>
      <c r="L1287" s="199">
        <v>2</v>
      </c>
      <c r="M1287" s="200">
        <v>0.4</v>
      </c>
      <c r="N1287" s="201">
        <v>31</v>
      </c>
    </row>
    <row r="1288" spans="1:14">
      <c r="A1288" s="194">
        <v>41286.432939814818</v>
      </c>
      <c r="B1288" s="195">
        <v>2062</v>
      </c>
      <c r="C1288" s="194"/>
      <c r="D1288" s="194"/>
      <c r="E1288" s="196" t="s">
        <v>2032</v>
      </c>
      <c r="G1288" s="202"/>
      <c r="J1288" s="195">
        <v>29</v>
      </c>
      <c r="K1288" s="204" t="s">
        <v>39</v>
      </c>
      <c r="L1288" s="199">
        <v>1</v>
      </c>
      <c r="M1288" s="200">
        <v>0.4</v>
      </c>
      <c r="N1288" s="201">
        <v>32</v>
      </c>
    </row>
    <row r="1289" spans="1:14">
      <c r="A1289" s="194">
        <v>41282.962812500002</v>
      </c>
      <c r="B1289" s="195">
        <v>2062</v>
      </c>
      <c r="C1289" s="194"/>
      <c r="D1289" s="194"/>
      <c r="E1289" s="196" t="s">
        <v>1663</v>
      </c>
      <c r="G1289" s="202"/>
      <c r="J1289" s="195">
        <v>29</v>
      </c>
      <c r="K1289" s="204" t="s">
        <v>39</v>
      </c>
      <c r="L1289" s="199">
        <v>3</v>
      </c>
      <c r="M1289" s="200">
        <v>0.5</v>
      </c>
      <c r="N1289" s="201">
        <v>32</v>
      </c>
    </row>
    <row r="1290" spans="1:14">
      <c r="A1290" s="194">
        <v>41297.868321759262</v>
      </c>
      <c r="B1290" s="195">
        <v>2062</v>
      </c>
      <c r="C1290" s="194"/>
      <c r="D1290" s="194"/>
      <c r="E1290" s="196" t="s">
        <v>1858</v>
      </c>
      <c r="G1290" s="202"/>
      <c r="J1290" s="195">
        <v>29</v>
      </c>
      <c r="K1290" s="204" t="s">
        <v>39</v>
      </c>
      <c r="L1290" s="199">
        <v>1</v>
      </c>
      <c r="M1290" s="200">
        <v>0.8</v>
      </c>
      <c r="N1290" s="201">
        <v>32</v>
      </c>
    </row>
    <row r="1291" spans="1:14">
      <c r="A1291" s="194">
        <v>41285.397037037037</v>
      </c>
      <c r="B1291" s="195">
        <v>2062</v>
      </c>
      <c r="C1291" s="194"/>
      <c r="D1291" s="194"/>
      <c r="E1291" s="196" t="s">
        <v>2123</v>
      </c>
      <c r="G1291" s="202"/>
      <c r="J1291" s="195">
        <v>29</v>
      </c>
      <c r="K1291" s="204" t="s">
        <v>39</v>
      </c>
      <c r="L1291" s="199">
        <v>1</v>
      </c>
      <c r="M1291" s="200">
        <v>0.7</v>
      </c>
      <c r="N1291" s="201">
        <v>34</v>
      </c>
    </row>
    <row r="1292" spans="1:14">
      <c r="A1292" s="194">
        <v>41282.569074074076</v>
      </c>
      <c r="B1292" s="195">
        <v>2062</v>
      </c>
      <c r="C1292" s="194"/>
      <c r="D1292" s="194"/>
      <c r="E1292" s="196" t="s">
        <v>2165</v>
      </c>
      <c r="G1292" s="202"/>
      <c r="J1292" s="195">
        <v>29</v>
      </c>
      <c r="K1292" s="204" t="s">
        <v>39</v>
      </c>
      <c r="L1292" s="199">
        <v>1</v>
      </c>
      <c r="M1292" s="200">
        <v>0.7</v>
      </c>
      <c r="N1292" s="201">
        <v>34</v>
      </c>
    </row>
    <row r="1293" spans="1:14">
      <c r="A1293" s="194">
        <v>41276.892731481479</v>
      </c>
      <c r="B1293" s="195">
        <v>2062</v>
      </c>
      <c r="C1293" s="194"/>
      <c r="D1293" s="194"/>
      <c r="E1293" s="196" t="s">
        <v>1895</v>
      </c>
      <c r="G1293" s="202"/>
      <c r="J1293" s="195">
        <v>29</v>
      </c>
      <c r="K1293" s="204" t="s">
        <v>39</v>
      </c>
      <c r="L1293" s="199">
        <v>3</v>
      </c>
      <c r="M1293" s="200">
        <v>0.4</v>
      </c>
      <c r="N1293" s="201">
        <v>36</v>
      </c>
    </row>
    <row r="1294" spans="1:14">
      <c r="A1294" s="194">
        <v>41285.527418981481</v>
      </c>
      <c r="B1294" s="195">
        <v>2062</v>
      </c>
      <c r="C1294" s="194"/>
      <c r="D1294" s="194"/>
      <c r="E1294" s="196" t="s">
        <v>1746</v>
      </c>
      <c r="G1294" s="202"/>
      <c r="J1294" s="195">
        <v>29</v>
      </c>
      <c r="K1294" s="204" t="s">
        <v>39</v>
      </c>
      <c r="L1294" s="199">
        <v>2</v>
      </c>
      <c r="M1294" s="200">
        <v>0.5</v>
      </c>
      <c r="N1294" s="201">
        <v>38</v>
      </c>
    </row>
    <row r="1295" spans="1:14">
      <c r="A1295" s="194">
        <v>41297.540578703702</v>
      </c>
      <c r="B1295" s="195">
        <v>2062</v>
      </c>
      <c r="C1295" s="194"/>
      <c r="D1295" s="194"/>
      <c r="E1295" s="198"/>
      <c r="G1295" s="202"/>
      <c r="J1295" s="195">
        <v>4400</v>
      </c>
      <c r="K1295" s="204" t="s">
        <v>37</v>
      </c>
      <c r="L1295" s="199">
        <v>1</v>
      </c>
      <c r="M1295" s="200">
        <v>1.7</v>
      </c>
      <c r="N1295" s="201">
        <v>16</v>
      </c>
    </row>
    <row r="1296" spans="1:14">
      <c r="A1296" s="194">
        <v>41289.078067129631</v>
      </c>
      <c r="B1296" s="195">
        <v>2062</v>
      </c>
      <c r="C1296" s="194"/>
      <c r="D1296" s="194"/>
      <c r="E1296" s="198"/>
      <c r="G1296" s="202"/>
      <c r="J1296" s="195">
        <v>4400</v>
      </c>
      <c r="K1296" s="204" t="s">
        <v>37</v>
      </c>
      <c r="L1296" s="199">
        <v>1</v>
      </c>
      <c r="M1296" s="200">
        <v>1</v>
      </c>
      <c r="N1296" s="201">
        <v>18</v>
      </c>
    </row>
    <row r="1297" spans="1:14">
      <c r="A1297" s="194">
        <v>41298.544039351851</v>
      </c>
      <c r="B1297" s="195">
        <v>2062</v>
      </c>
      <c r="C1297" s="194"/>
      <c r="D1297" s="194"/>
      <c r="E1297" s="198"/>
      <c r="G1297" s="202"/>
      <c r="J1297" s="195">
        <v>4400</v>
      </c>
      <c r="K1297" s="204" t="s">
        <v>37</v>
      </c>
      <c r="L1297" s="199">
        <v>2</v>
      </c>
      <c r="M1297" s="200">
        <v>1.3</v>
      </c>
      <c r="N1297" s="201">
        <v>21</v>
      </c>
    </row>
    <row r="1298" spans="1:14">
      <c r="A1298" s="194">
        <v>41285.914907407408</v>
      </c>
      <c r="B1298" s="195">
        <v>2062</v>
      </c>
      <c r="C1298" s="194"/>
      <c r="D1298" s="194"/>
      <c r="E1298" s="198"/>
      <c r="G1298" s="202"/>
      <c r="J1298" s="195">
        <v>4400</v>
      </c>
      <c r="K1298" s="204" t="s">
        <v>37</v>
      </c>
      <c r="L1298" s="199">
        <v>1</v>
      </c>
      <c r="M1298" s="200">
        <v>0.4</v>
      </c>
      <c r="N1298" s="201">
        <v>22</v>
      </c>
    </row>
    <row r="1299" spans="1:14">
      <c r="A1299" s="194">
        <v>41296.587824074071</v>
      </c>
      <c r="B1299" s="195">
        <v>2062</v>
      </c>
      <c r="C1299" s="194"/>
      <c r="D1299" s="194"/>
      <c r="E1299" s="198"/>
      <c r="G1299" s="202"/>
      <c r="J1299" s="195">
        <v>4400</v>
      </c>
      <c r="K1299" s="204" t="s">
        <v>37</v>
      </c>
      <c r="L1299" s="199">
        <v>1</v>
      </c>
      <c r="M1299" s="200">
        <v>0.8</v>
      </c>
      <c r="N1299" s="201">
        <v>22</v>
      </c>
    </row>
    <row r="1300" spans="1:14">
      <c r="A1300" s="194">
        <v>41277.465613425928</v>
      </c>
      <c r="B1300" s="195">
        <v>2062</v>
      </c>
      <c r="C1300" s="194"/>
      <c r="D1300" s="194"/>
      <c r="E1300" s="198"/>
      <c r="G1300" s="202"/>
      <c r="J1300" s="195">
        <v>4400</v>
      </c>
      <c r="K1300" s="204" t="s">
        <v>37</v>
      </c>
      <c r="L1300" s="199">
        <v>2</v>
      </c>
      <c r="M1300" s="200">
        <v>0.9</v>
      </c>
      <c r="N1300" s="201">
        <v>23</v>
      </c>
    </row>
    <row r="1301" spans="1:14">
      <c r="A1301" s="194">
        <v>41277.817060185182</v>
      </c>
      <c r="B1301" s="195">
        <v>2062</v>
      </c>
      <c r="C1301" s="194"/>
      <c r="D1301" s="194"/>
      <c r="E1301" s="198"/>
      <c r="G1301" s="202"/>
      <c r="J1301" s="195">
        <v>4400</v>
      </c>
      <c r="K1301" s="204" t="s">
        <v>37</v>
      </c>
      <c r="L1301" s="199">
        <v>2</v>
      </c>
      <c r="M1301" s="200">
        <v>0.6</v>
      </c>
      <c r="N1301" s="201">
        <v>25</v>
      </c>
    </row>
    <row r="1302" spans="1:14">
      <c r="A1302" s="194">
        <v>41291.051678240743</v>
      </c>
      <c r="B1302" s="195">
        <v>2062</v>
      </c>
      <c r="C1302" s="194"/>
      <c r="D1302" s="194"/>
      <c r="E1302" s="198"/>
      <c r="G1302" s="202"/>
      <c r="J1302" s="195">
        <v>4400</v>
      </c>
      <c r="K1302" s="204" t="s">
        <v>37</v>
      </c>
      <c r="L1302" s="199">
        <v>1</v>
      </c>
      <c r="M1302" s="200">
        <v>0.8</v>
      </c>
      <c r="N1302" s="201">
        <v>25</v>
      </c>
    </row>
    <row r="1303" spans="1:14">
      <c r="A1303" s="194">
        <v>41281.760868055557</v>
      </c>
      <c r="B1303" s="195">
        <v>2062</v>
      </c>
      <c r="C1303" s="194"/>
      <c r="D1303" s="194"/>
      <c r="E1303" s="198"/>
      <c r="G1303" s="202"/>
      <c r="J1303" s="195">
        <v>4400</v>
      </c>
      <c r="K1303" s="204" t="s">
        <v>37</v>
      </c>
      <c r="L1303" s="199">
        <v>1</v>
      </c>
      <c r="M1303" s="200">
        <v>0.7</v>
      </c>
      <c r="N1303" s="201">
        <v>28</v>
      </c>
    </row>
    <row r="1304" spans="1:14">
      <c r="A1304" s="194">
        <v>41305.275416666664</v>
      </c>
      <c r="B1304" s="195">
        <v>2062</v>
      </c>
      <c r="C1304" s="194"/>
      <c r="D1304" s="194"/>
      <c r="E1304" s="198"/>
      <c r="G1304" s="202"/>
      <c r="J1304" s="195">
        <v>4400</v>
      </c>
      <c r="K1304" s="204" t="s">
        <v>37</v>
      </c>
      <c r="L1304" s="199">
        <v>1</v>
      </c>
      <c r="M1304" s="200">
        <v>0.9</v>
      </c>
      <c r="N1304" s="201">
        <v>29</v>
      </c>
    </row>
    <row r="1305" spans="1:14">
      <c r="A1305" s="194">
        <v>41289.01835648148</v>
      </c>
      <c r="B1305" s="195">
        <v>2062</v>
      </c>
      <c r="C1305" s="194"/>
      <c r="D1305" s="194"/>
      <c r="E1305" s="198"/>
      <c r="G1305" s="202"/>
      <c r="J1305" s="195">
        <v>4400</v>
      </c>
      <c r="K1305" s="204" t="s">
        <v>37</v>
      </c>
      <c r="L1305" s="199">
        <v>1</v>
      </c>
      <c r="M1305" s="200">
        <v>1</v>
      </c>
      <c r="N1305" s="201">
        <v>30</v>
      </c>
    </row>
    <row r="1306" spans="1:14">
      <c r="A1306" s="194">
        <v>41284.353298611109</v>
      </c>
      <c r="B1306" s="195">
        <v>2062</v>
      </c>
      <c r="C1306" s="194"/>
      <c r="D1306" s="194"/>
      <c r="E1306" s="198"/>
      <c r="G1306" s="202"/>
      <c r="J1306" s="195">
        <v>6100</v>
      </c>
      <c r="K1306" s="204" t="s">
        <v>38</v>
      </c>
      <c r="L1306" s="199">
        <v>1</v>
      </c>
      <c r="M1306" s="200">
        <v>0.4</v>
      </c>
      <c r="N1306" s="201">
        <v>40</v>
      </c>
    </row>
    <row r="1307" spans="1:14">
      <c r="A1307" s="194">
        <v>41305.410844907405</v>
      </c>
      <c r="B1307" s="195">
        <v>2062</v>
      </c>
      <c r="C1307" s="194"/>
      <c r="D1307" s="194"/>
      <c r="E1307" s="198"/>
      <c r="G1307" s="202"/>
      <c r="J1307" s="195">
        <v>7400</v>
      </c>
      <c r="K1307" s="204" t="s">
        <v>35</v>
      </c>
      <c r="L1307" s="199">
        <v>2</v>
      </c>
      <c r="M1307" s="200">
        <v>0.7</v>
      </c>
      <c r="N1307" s="201">
        <v>30</v>
      </c>
    </row>
    <row r="1308" spans="1:14">
      <c r="A1308" s="194">
        <v>41301.341412037036</v>
      </c>
      <c r="B1308" s="195">
        <v>2071</v>
      </c>
      <c r="C1308" s="194"/>
      <c r="D1308" s="194"/>
      <c r="E1308" s="196" t="s">
        <v>222</v>
      </c>
      <c r="F1308" s="195">
        <v>455</v>
      </c>
      <c r="G1308" s="197" t="s">
        <v>143</v>
      </c>
      <c r="H1308" s="197" t="s">
        <v>223</v>
      </c>
      <c r="J1308" s="195">
        <v>1</v>
      </c>
      <c r="K1308" s="204" t="s">
        <v>224</v>
      </c>
      <c r="L1308" s="199">
        <v>3</v>
      </c>
      <c r="M1308" s="200">
        <v>24.9</v>
      </c>
      <c r="N1308" s="201">
        <v>18</v>
      </c>
    </row>
    <row r="1309" spans="1:14">
      <c r="A1309" s="194">
        <v>41283.392800925925</v>
      </c>
      <c r="B1309" s="195">
        <v>2071</v>
      </c>
      <c r="C1309" s="194"/>
      <c r="D1309" s="194"/>
      <c r="E1309" s="196" t="s">
        <v>286</v>
      </c>
      <c r="F1309" s="195">
        <v>456</v>
      </c>
      <c r="G1309" s="197" t="s">
        <v>141</v>
      </c>
      <c r="H1309" s="197" t="s">
        <v>223</v>
      </c>
      <c r="I1309" s="196" t="s">
        <v>226</v>
      </c>
      <c r="J1309" s="195">
        <v>1</v>
      </c>
      <c r="K1309" s="204" t="s">
        <v>224</v>
      </c>
      <c r="L1309" s="199">
        <v>3</v>
      </c>
      <c r="M1309" s="200">
        <v>0.3</v>
      </c>
      <c r="N1309" s="201">
        <v>23</v>
      </c>
    </row>
    <row r="1310" spans="1:14">
      <c r="A1310" s="194">
        <v>41304.380358796298</v>
      </c>
      <c r="B1310" s="195">
        <v>2071</v>
      </c>
      <c r="C1310" s="194"/>
      <c r="D1310" s="194"/>
      <c r="E1310" s="196" t="s">
        <v>397</v>
      </c>
      <c r="F1310" s="195">
        <v>456</v>
      </c>
      <c r="G1310" s="197" t="s">
        <v>141</v>
      </c>
      <c r="H1310" s="197" t="s">
        <v>223</v>
      </c>
      <c r="I1310" s="196" t="s">
        <v>226</v>
      </c>
      <c r="J1310" s="195">
        <v>1</v>
      </c>
      <c r="K1310" s="204" t="s">
        <v>224</v>
      </c>
      <c r="L1310" s="199">
        <v>3</v>
      </c>
      <c r="M1310" s="200">
        <v>0.3</v>
      </c>
      <c r="N1310" s="201">
        <v>23</v>
      </c>
    </row>
    <row r="1311" spans="1:14">
      <c r="A1311" s="194">
        <v>41300.042511574073</v>
      </c>
      <c r="B1311" s="195">
        <v>2071</v>
      </c>
      <c r="C1311" s="194"/>
      <c r="D1311" s="194"/>
      <c r="E1311" s="196" t="s">
        <v>370</v>
      </c>
      <c r="F1311" s="195">
        <v>456</v>
      </c>
      <c r="G1311" s="197" t="s">
        <v>141</v>
      </c>
      <c r="H1311" s="197" t="s">
        <v>223</v>
      </c>
      <c r="I1311" s="196" t="s">
        <v>226</v>
      </c>
      <c r="J1311" s="195">
        <v>1</v>
      </c>
      <c r="K1311" s="204" t="s">
        <v>224</v>
      </c>
      <c r="L1311" s="199">
        <v>3</v>
      </c>
      <c r="M1311" s="200">
        <v>0.6</v>
      </c>
      <c r="N1311" s="201">
        <v>24</v>
      </c>
    </row>
    <row r="1312" spans="1:14">
      <c r="A1312" s="194">
        <v>41302.339386574073</v>
      </c>
      <c r="B1312" s="195">
        <v>2071</v>
      </c>
      <c r="C1312" s="194"/>
      <c r="D1312" s="194"/>
      <c r="E1312" s="196" t="s">
        <v>377</v>
      </c>
      <c r="F1312" s="195">
        <v>456</v>
      </c>
      <c r="G1312" s="197" t="s">
        <v>141</v>
      </c>
      <c r="H1312" s="197" t="s">
        <v>223</v>
      </c>
      <c r="I1312" s="196" t="s">
        <v>226</v>
      </c>
      <c r="J1312" s="195">
        <v>1</v>
      </c>
      <c r="K1312" s="204" t="s">
        <v>224</v>
      </c>
      <c r="L1312" s="199">
        <v>3</v>
      </c>
      <c r="M1312" s="200">
        <v>0.3</v>
      </c>
      <c r="N1312" s="201">
        <v>25</v>
      </c>
    </row>
    <row r="1313" spans="1:14">
      <c r="A1313" s="194">
        <v>41302.490439814814</v>
      </c>
      <c r="B1313" s="195">
        <v>2071</v>
      </c>
      <c r="C1313" s="194"/>
      <c r="D1313" s="194"/>
      <c r="E1313" s="196" t="s">
        <v>378</v>
      </c>
      <c r="F1313" s="195">
        <v>456</v>
      </c>
      <c r="G1313" s="197" t="s">
        <v>141</v>
      </c>
      <c r="H1313" s="197" t="s">
        <v>223</v>
      </c>
      <c r="I1313" s="196" t="s">
        <v>226</v>
      </c>
      <c r="J1313" s="195">
        <v>1</v>
      </c>
      <c r="K1313" s="204" t="s">
        <v>224</v>
      </c>
      <c r="L1313" s="199">
        <v>3</v>
      </c>
      <c r="M1313" s="200">
        <v>0.4</v>
      </c>
      <c r="N1313" s="201">
        <v>30</v>
      </c>
    </row>
    <row r="1314" spans="1:14">
      <c r="A1314" s="194">
        <v>41301.509189814817</v>
      </c>
      <c r="B1314" s="195">
        <v>2071</v>
      </c>
      <c r="C1314" s="194"/>
      <c r="D1314" s="194"/>
      <c r="E1314" s="196" t="s">
        <v>363</v>
      </c>
      <c r="F1314" s="195">
        <v>456</v>
      </c>
      <c r="G1314" s="197" t="s">
        <v>141</v>
      </c>
      <c r="H1314" s="197" t="s">
        <v>223</v>
      </c>
      <c r="I1314" s="196" t="s">
        <v>226</v>
      </c>
      <c r="J1314" s="195">
        <v>1</v>
      </c>
      <c r="K1314" s="204" t="s">
        <v>224</v>
      </c>
      <c r="L1314" s="199">
        <v>3</v>
      </c>
      <c r="M1314" s="200">
        <v>0.9</v>
      </c>
      <c r="N1314" s="201">
        <v>30</v>
      </c>
    </row>
    <row r="1315" spans="1:14">
      <c r="A1315" s="194">
        <v>41291.367164351854</v>
      </c>
      <c r="B1315" s="195">
        <v>2071</v>
      </c>
      <c r="C1315" s="194"/>
      <c r="D1315" s="194"/>
      <c r="E1315" s="196" t="s">
        <v>319</v>
      </c>
      <c r="F1315" s="195">
        <v>456</v>
      </c>
      <c r="G1315" s="197" t="s">
        <v>141</v>
      </c>
      <c r="H1315" s="197" t="s">
        <v>223</v>
      </c>
      <c r="I1315" s="196" t="s">
        <v>226</v>
      </c>
      <c r="J1315" s="195">
        <v>1</v>
      </c>
      <c r="K1315" s="204" t="s">
        <v>224</v>
      </c>
      <c r="L1315" s="199">
        <v>2</v>
      </c>
      <c r="M1315" s="200">
        <v>0.9</v>
      </c>
      <c r="N1315" s="201">
        <v>31</v>
      </c>
    </row>
    <row r="1316" spans="1:14">
      <c r="A1316" s="194">
        <v>41276.769780092596</v>
      </c>
      <c r="B1316" s="195">
        <v>2071</v>
      </c>
      <c r="C1316" s="194"/>
      <c r="D1316" s="194"/>
      <c r="E1316" s="196" t="s">
        <v>238</v>
      </c>
      <c r="F1316" s="195">
        <v>456</v>
      </c>
      <c r="G1316" s="197" t="s">
        <v>141</v>
      </c>
      <c r="H1316" s="197" t="s">
        <v>223</v>
      </c>
      <c r="I1316" s="196" t="s">
        <v>226</v>
      </c>
      <c r="J1316" s="195">
        <v>1</v>
      </c>
      <c r="K1316" s="204" t="s">
        <v>224</v>
      </c>
      <c r="L1316" s="199">
        <v>2</v>
      </c>
      <c r="M1316" s="200">
        <v>0.5</v>
      </c>
      <c r="N1316" s="201">
        <v>32</v>
      </c>
    </row>
    <row r="1317" spans="1:14">
      <c r="A1317" s="194">
        <v>41304.356064814812</v>
      </c>
      <c r="B1317" s="195">
        <v>2071</v>
      </c>
      <c r="C1317" s="194"/>
      <c r="D1317" s="194"/>
      <c r="E1317" s="196" t="s">
        <v>396</v>
      </c>
      <c r="F1317" s="195">
        <v>456</v>
      </c>
      <c r="G1317" s="197" t="s">
        <v>141</v>
      </c>
      <c r="H1317" s="197" t="s">
        <v>223</v>
      </c>
      <c r="I1317" s="196" t="s">
        <v>226</v>
      </c>
      <c r="J1317" s="195">
        <v>1</v>
      </c>
      <c r="K1317" s="204" t="s">
        <v>224</v>
      </c>
      <c r="L1317" s="199">
        <v>2</v>
      </c>
      <c r="M1317" s="200">
        <v>0.8</v>
      </c>
      <c r="N1317" s="201">
        <v>35</v>
      </c>
    </row>
    <row r="1318" spans="1:14">
      <c r="A1318" s="194">
        <v>41301.311261574076</v>
      </c>
      <c r="B1318" s="195">
        <v>2071</v>
      </c>
      <c r="C1318" s="194"/>
      <c r="D1318" s="194"/>
      <c r="E1318" s="196" t="s">
        <v>362</v>
      </c>
      <c r="F1318" s="195">
        <v>456</v>
      </c>
      <c r="G1318" s="197" t="s">
        <v>141</v>
      </c>
      <c r="H1318" s="197" t="s">
        <v>223</v>
      </c>
      <c r="I1318" s="196" t="s">
        <v>226</v>
      </c>
      <c r="J1318" s="195">
        <v>1</v>
      </c>
      <c r="K1318" s="204" t="s">
        <v>224</v>
      </c>
      <c r="L1318" s="199">
        <v>2</v>
      </c>
      <c r="M1318" s="200">
        <v>0.3</v>
      </c>
      <c r="N1318" s="201">
        <v>36</v>
      </c>
    </row>
    <row r="1319" spans="1:14">
      <c r="A1319" s="194">
        <v>41303.564050925925</v>
      </c>
      <c r="B1319" s="195">
        <v>2071</v>
      </c>
      <c r="C1319" s="194"/>
      <c r="D1319" s="194"/>
      <c r="E1319" s="196" t="s">
        <v>462</v>
      </c>
      <c r="F1319" s="195">
        <v>466</v>
      </c>
      <c r="G1319" s="197" t="s">
        <v>142</v>
      </c>
      <c r="H1319" s="197" t="s">
        <v>223</v>
      </c>
      <c r="I1319" s="196" t="s">
        <v>402</v>
      </c>
      <c r="J1319" s="195">
        <v>1</v>
      </c>
      <c r="K1319" s="204" t="s">
        <v>224</v>
      </c>
      <c r="L1319" s="199">
        <v>1</v>
      </c>
      <c r="M1319" s="200">
        <v>0.4</v>
      </c>
      <c r="N1319" s="201">
        <v>27</v>
      </c>
    </row>
    <row r="1320" spans="1:14">
      <c r="A1320" s="194">
        <v>41300.359872685185</v>
      </c>
      <c r="B1320" s="195">
        <v>2071</v>
      </c>
      <c r="C1320" s="194"/>
      <c r="D1320" s="194"/>
      <c r="E1320" s="196" t="s">
        <v>1433</v>
      </c>
      <c r="F1320" s="195">
        <v>800</v>
      </c>
      <c r="G1320" s="197" t="s">
        <v>470</v>
      </c>
      <c r="H1320" s="197" t="s">
        <v>471</v>
      </c>
      <c r="J1320" s="195">
        <v>1</v>
      </c>
      <c r="K1320" s="204" t="s">
        <v>224</v>
      </c>
      <c r="L1320" s="199">
        <v>1</v>
      </c>
      <c r="M1320" s="200">
        <v>0.7</v>
      </c>
      <c r="N1320" s="201">
        <v>0</v>
      </c>
    </row>
    <row r="1321" spans="1:14">
      <c r="A1321" s="194">
        <v>41291.612662037034</v>
      </c>
      <c r="B1321" s="195">
        <v>2071</v>
      </c>
      <c r="C1321" s="194"/>
      <c r="D1321" s="194"/>
      <c r="E1321" s="196" t="s">
        <v>1093</v>
      </c>
      <c r="F1321" s="195">
        <v>800</v>
      </c>
      <c r="G1321" s="197" t="s">
        <v>470</v>
      </c>
      <c r="H1321" s="197" t="s">
        <v>471</v>
      </c>
      <c r="J1321" s="195">
        <v>1</v>
      </c>
      <c r="K1321" s="204" t="s">
        <v>224</v>
      </c>
      <c r="L1321" s="199">
        <v>1</v>
      </c>
      <c r="M1321" s="200">
        <v>0.7</v>
      </c>
      <c r="N1321" s="201">
        <v>16</v>
      </c>
    </row>
    <row r="1322" spans="1:14">
      <c r="A1322" s="194">
        <v>41288.368530092594</v>
      </c>
      <c r="B1322" s="195">
        <v>2071</v>
      </c>
      <c r="C1322" s="194"/>
      <c r="D1322" s="194"/>
      <c r="E1322" s="196" t="s">
        <v>969</v>
      </c>
      <c r="F1322" s="195">
        <v>800</v>
      </c>
      <c r="G1322" s="197" t="s">
        <v>470</v>
      </c>
      <c r="H1322" s="197" t="s">
        <v>471</v>
      </c>
      <c r="J1322" s="195">
        <v>1</v>
      </c>
      <c r="K1322" s="204" t="s">
        <v>224</v>
      </c>
      <c r="L1322" s="199">
        <v>3</v>
      </c>
      <c r="M1322" s="200">
        <v>0.9</v>
      </c>
      <c r="N1322" s="201">
        <v>20</v>
      </c>
    </row>
    <row r="1323" spans="1:14">
      <c r="A1323" s="194">
        <v>41304.593217592592</v>
      </c>
      <c r="B1323" s="195">
        <v>2071</v>
      </c>
      <c r="C1323" s="194"/>
      <c r="D1323" s="194"/>
      <c r="E1323" s="196" t="s">
        <v>1538</v>
      </c>
      <c r="F1323" s="195">
        <v>800</v>
      </c>
      <c r="G1323" s="197" t="s">
        <v>470</v>
      </c>
      <c r="H1323" s="197" t="s">
        <v>471</v>
      </c>
      <c r="J1323" s="195">
        <v>1</v>
      </c>
      <c r="K1323" s="204" t="s">
        <v>224</v>
      </c>
      <c r="L1323" s="199">
        <v>3</v>
      </c>
      <c r="M1323" s="200">
        <v>0.4</v>
      </c>
      <c r="N1323" s="201">
        <v>25</v>
      </c>
    </row>
    <row r="1324" spans="1:14">
      <c r="A1324" s="194">
        <v>41296.351875</v>
      </c>
      <c r="B1324" s="195">
        <v>2071</v>
      </c>
      <c r="C1324" s="194"/>
      <c r="D1324" s="194"/>
      <c r="E1324" s="196" t="s">
        <v>1280</v>
      </c>
      <c r="F1324" s="195">
        <v>800</v>
      </c>
      <c r="G1324" s="197" t="s">
        <v>470</v>
      </c>
      <c r="H1324" s="197" t="s">
        <v>471</v>
      </c>
      <c r="J1324" s="195">
        <v>1</v>
      </c>
      <c r="K1324" s="204" t="s">
        <v>224</v>
      </c>
      <c r="L1324" s="199">
        <v>1</v>
      </c>
      <c r="M1324" s="200">
        <v>0.8</v>
      </c>
      <c r="N1324" s="201">
        <v>25</v>
      </c>
    </row>
    <row r="1325" spans="1:14">
      <c r="A1325" s="194">
        <v>41299.643483796295</v>
      </c>
      <c r="B1325" s="195">
        <v>2071</v>
      </c>
      <c r="C1325" s="194"/>
      <c r="D1325" s="194"/>
      <c r="E1325" s="196" t="s">
        <v>1378</v>
      </c>
      <c r="F1325" s="195">
        <v>800</v>
      </c>
      <c r="G1325" s="197" t="s">
        <v>470</v>
      </c>
      <c r="H1325" s="197" t="s">
        <v>471</v>
      </c>
      <c r="J1325" s="195">
        <v>1</v>
      </c>
      <c r="K1325" s="204" t="s">
        <v>224</v>
      </c>
      <c r="L1325" s="199">
        <v>1</v>
      </c>
      <c r="M1325" s="200">
        <v>1.1000000000000001</v>
      </c>
      <c r="N1325" s="201">
        <v>26</v>
      </c>
    </row>
    <row r="1326" spans="1:14">
      <c r="A1326" s="194">
        <v>41277.660081018519</v>
      </c>
      <c r="B1326" s="195">
        <v>2071</v>
      </c>
      <c r="C1326" s="194"/>
      <c r="D1326" s="194"/>
      <c r="E1326" s="196" t="s">
        <v>613</v>
      </c>
      <c r="F1326" s="195">
        <v>800</v>
      </c>
      <c r="G1326" s="197" t="s">
        <v>470</v>
      </c>
      <c r="H1326" s="197" t="s">
        <v>471</v>
      </c>
      <c r="J1326" s="195">
        <v>1</v>
      </c>
      <c r="K1326" s="204" t="s">
        <v>224</v>
      </c>
      <c r="L1326" s="199">
        <v>3</v>
      </c>
      <c r="M1326" s="200">
        <v>1.7</v>
      </c>
      <c r="N1326" s="201">
        <v>26</v>
      </c>
    </row>
    <row r="1327" spans="1:14">
      <c r="A1327" s="194">
        <v>41291.598773148151</v>
      </c>
      <c r="B1327" s="195">
        <v>2071</v>
      </c>
      <c r="C1327" s="194"/>
      <c r="D1327" s="194"/>
      <c r="E1327" s="196" t="s">
        <v>1092</v>
      </c>
      <c r="F1327" s="195">
        <v>800</v>
      </c>
      <c r="G1327" s="197" t="s">
        <v>470</v>
      </c>
      <c r="H1327" s="197" t="s">
        <v>471</v>
      </c>
      <c r="J1327" s="195">
        <v>1</v>
      </c>
      <c r="K1327" s="204" t="s">
        <v>224</v>
      </c>
      <c r="L1327" s="199">
        <v>3</v>
      </c>
      <c r="M1327" s="200">
        <v>0.8</v>
      </c>
      <c r="N1327" s="201">
        <v>28</v>
      </c>
    </row>
    <row r="1328" spans="1:14">
      <c r="A1328" s="194">
        <v>41301.646678240744</v>
      </c>
      <c r="B1328" s="195">
        <v>2071</v>
      </c>
      <c r="C1328" s="194"/>
      <c r="D1328" s="194"/>
      <c r="E1328" s="196" t="s">
        <v>1395</v>
      </c>
      <c r="F1328" s="195">
        <v>800</v>
      </c>
      <c r="G1328" s="197" t="s">
        <v>470</v>
      </c>
      <c r="H1328" s="197" t="s">
        <v>471</v>
      </c>
      <c r="J1328" s="195">
        <v>1</v>
      </c>
      <c r="K1328" s="204" t="s">
        <v>224</v>
      </c>
      <c r="L1328" s="199">
        <v>2</v>
      </c>
      <c r="M1328" s="200">
        <v>0.3</v>
      </c>
      <c r="N1328" s="201">
        <v>30</v>
      </c>
    </row>
    <row r="1329" spans="1:14">
      <c r="A1329" s="194">
        <v>41288.598055555558</v>
      </c>
      <c r="B1329" s="195">
        <v>2071</v>
      </c>
      <c r="C1329" s="194"/>
      <c r="D1329" s="194"/>
      <c r="E1329" s="196" t="s">
        <v>970</v>
      </c>
      <c r="F1329" s="195">
        <v>800</v>
      </c>
      <c r="G1329" s="197" t="s">
        <v>470</v>
      </c>
      <c r="H1329" s="197" t="s">
        <v>471</v>
      </c>
      <c r="J1329" s="195">
        <v>1</v>
      </c>
      <c r="K1329" s="204" t="s">
        <v>224</v>
      </c>
      <c r="L1329" s="199">
        <v>2</v>
      </c>
      <c r="M1329" s="200">
        <v>0.7</v>
      </c>
      <c r="N1329" s="201">
        <v>31</v>
      </c>
    </row>
    <row r="1330" spans="1:14">
      <c r="A1330" s="194">
        <v>41304.623078703706</v>
      </c>
      <c r="B1330" s="195">
        <v>2071</v>
      </c>
      <c r="C1330" s="194"/>
      <c r="D1330" s="194"/>
      <c r="E1330" s="196" t="s">
        <v>1539</v>
      </c>
      <c r="F1330" s="195">
        <v>800</v>
      </c>
      <c r="G1330" s="197" t="s">
        <v>470</v>
      </c>
      <c r="H1330" s="197" t="s">
        <v>471</v>
      </c>
      <c r="J1330" s="195">
        <v>1</v>
      </c>
      <c r="K1330" s="204" t="s">
        <v>224</v>
      </c>
      <c r="L1330" s="199">
        <v>3</v>
      </c>
      <c r="M1330" s="200">
        <v>0.3</v>
      </c>
      <c r="N1330" s="201">
        <v>32</v>
      </c>
    </row>
    <row r="1331" spans="1:14">
      <c r="A1331" s="194">
        <v>41296.534178240741</v>
      </c>
      <c r="B1331" s="195">
        <v>2071</v>
      </c>
      <c r="C1331" s="194"/>
      <c r="D1331" s="194"/>
      <c r="E1331" s="196" t="s">
        <v>1281</v>
      </c>
      <c r="F1331" s="195">
        <v>800</v>
      </c>
      <c r="G1331" s="197" t="s">
        <v>470</v>
      </c>
      <c r="H1331" s="197" t="s">
        <v>471</v>
      </c>
      <c r="J1331" s="195">
        <v>1</v>
      </c>
      <c r="K1331" s="204" t="s">
        <v>224</v>
      </c>
      <c r="L1331" s="199">
        <v>3</v>
      </c>
      <c r="M1331" s="200">
        <v>0.5</v>
      </c>
      <c r="N1331" s="201">
        <v>33</v>
      </c>
    </row>
    <row r="1332" spans="1:14">
      <c r="A1332" s="194">
        <v>41305.589756944442</v>
      </c>
      <c r="B1332" s="195">
        <v>2071</v>
      </c>
      <c r="C1332" s="194"/>
      <c r="D1332" s="194"/>
      <c r="E1332" s="196" t="s">
        <v>1570</v>
      </c>
      <c r="F1332" s="195">
        <v>800</v>
      </c>
      <c r="G1332" s="197" t="s">
        <v>470</v>
      </c>
      <c r="H1332" s="197" t="s">
        <v>471</v>
      </c>
      <c r="J1332" s="195">
        <v>1</v>
      </c>
      <c r="K1332" s="204" t="s">
        <v>224</v>
      </c>
      <c r="L1332" s="199">
        <v>3</v>
      </c>
      <c r="M1332" s="200">
        <v>0.5</v>
      </c>
      <c r="N1332" s="201">
        <v>33</v>
      </c>
    </row>
    <row r="1333" spans="1:14">
      <c r="A1333" s="194">
        <v>41302.651122685187</v>
      </c>
      <c r="B1333" s="195">
        <v>2071</v>
      </c>
      <c r="C1333" s="194"/>
      <c r="D1333" s="194"/>
      <c r="E1333" s="196" t="s">
        <v>1467</v>
      </c>
      <c r="F1333" s="195">
        <v>800</v>
      </c>
      <c r="G1333" s="197" t="s">
        <v>470</v>
      </c>
      <c r="H1333" s="197" t="s">
        <v>471</v>
      </c>
      <c r="J1333" s="195">
        <v>1</v>
      </c>
      <c r="K1333" s="204" t="s">
        <v>224</v>
      </c>
      <c r="L1333" s="199">
        <v>3</v>
      </c>
      <c r="M1333" s="200">
        <v>0.5</v>
      </c>
      <c r="N1333" s="201">
        <v>36</v>
      </c>
    </row>
    <row r="1334" spans="1:14">
      <c r="A1334" s="194">
        <v>41291.33798611111</v>
      </c>
      <c r="B1334" s="195">
        <v>2071</v>
      </c>
      <c r="C1334" s="194"/>
      <c r="D1334" s="194"/>
      <c r="E1334" s="196" t="s">
        <v>1091</v>
      </c>
      <c r="F1334" s="195">
        <v>800</v>
      </c>
      <c r="G1334" s="197" t="s">
        <v>470</v>
      </c>
      <c r="H1334" s="197" t="s">
        <v>471</v>
      </c>
      <c r="J1334" s="195">
        <v>1</v>
      </c>
      <c r="K1334" s="204" t="s">
        <v>224</v>
      </c>
      <c r="L1334" s="199">
        <v>3</v>
      </c>
      <c r="M1334" s="200">
        <v>0.7</v>
      </c>
      <c r="N1334" s="201">
        <v>36</v>
      </c>
    </row>
    <row r="1335" spans="1:14">
      <c r="A1335" s="194">
        <v>41299.688622685186</v>
      </c>
      <c r="B1335" s="195">
        <v>2071</v>
      </c>
      <c r="C1335" s="194"/>
      <c r="D1335" s="194"/>
      <c r="E1335" s="196" t="s">
        <v>1379</v>
      </c>
      <c r="F1335" s="195">
        <v>800</v>
      </c>
      <c r="G1335" s="197" t="s">
        <v>470</v>
      </c>
      <c r="H1335" s="197" t="s">
        <v>471</v>
      </c>
      <c r="J1335" s="195">
        <v>1</v>
      </c>
      <c r="K1335" s="204" t="s">
        <v>224</v>
      </c>
      <c r="L1335" s="199">
        <v>3</v>
      </c>
      <c r="M1335" s="200">
        <v>1.1000000000000001</v>
      </c>
      <c r="N1335" s="201">
        <v>36</v>
      </c>
    </row>
    <row r="1336" spans="1:14">
      <c r="A1336" s="194">
        <v>41305.595995370371</v>
      </c>
      <c r="B1336" s="195">
        <v>2071</v>
      </c>
      <c r="C1336" s="194"/>
      <c r="D1336" s="194"/>
      <c r="E1336" s="196" t="s">
        <v>1571</v>
      </c>
      <c r="F1336" s="195">
        <v>800</v>
      </c>
      <c r="G1336" s="197" t="s">
        <v>470</v>
      </c>
      <c r="H1336" s="197" t="s">
        <v>471</v>
      </c>
      <c r="J1336" s="195">
        <v>1</v>
      </c>
      <c r="K1336" s="204" t="s">
        <v>224</v>
      </c>
      <c r="L1336" s="199">
        <v>3</v>
      </c>
      <c r="M1336" s="200">
        <v>0.4</v>
      </c>
      <c r="N1336" s="201">
        <v>37</v>
      </c>
    </row>
    <row r="1337" spans="1:14">
      <c r="A1337" s="194">
        <v>41302.608495370368</v>
      </c>
      <c r="B1337" s="195">
        <v>2071</v>
      </c>
      <c r="C1337" s="194"/>
      <c r="D1337" s="194"/>
      <c r="E1337" s="196" t="s">
        <v>1466</v>
      </c>
      <c r="F1337" s="195">
        <v>800</v>
      </c>
      <c r="G1337" s="197" t="s">
        <v>470</v>
      </c>
      <c r="H1337" s="197" t="s">
        <v>471</v>
      </c>
      <c r="J1337" s="195">
        <v>1</v>
      </c>
      <c r="K1337" s="204" t="s">
        <v>224</v>
      </c>
      <c r="L1337" s="199">
        <v>1</v>
      </c>
      <c r="M1337" s="200">
        <v>0.5</v>
      </c>
      <c r="N1337" s="201">
        <v>37</v>
      </c>
    </row>
    <row r="1338" spans="1:14">
      <c r="A1338" s="194">
        <v>41305.648356481484</v>
      </c>
      <c r="B1338" s="195">
        <v>2071</v>
      </c>
      <c r="C1338" s="194"/>
      <c r="D1338" s="194"/>
      <c r="E1338" s="196" t="s">
        <v>1572</v>
      </c>
      <c r="F1338" s="195">
        <v>800</v>
      </c>
      <c r="G1338" s="197" t="s">
        <v>470</v>
      </c>
      <c r="H1338" s="197" t="s">
        <v>471</v>
      </c>
      <c r="J1338" s="195">
        <v>1</v>
      </c>
      <c r="K1338" s="204" t="s">
        <v>224</v>
      </c>
      <c r="L1338" s="199">
        <v>3</v>
      </c>
      <c r="M1338" s="200">
        <v>0.6</v>
      </c>
      <c r="N1338" s="201">
        <v>40</v>
      </c>
    </row>
    <row r="1339" spans="1:14">
      <c r="A1339" s="194">
        <v>41304.221689814818</v>
      </c>
      <c r="B1339" s="195">
        <v>2071</v>
      </c>
      <c r="C1339" s="194"/>
      <c r="D1339" s="194"/>
      <c r="E1339" s="198"/>
      <c r="G1339" s="202"/>
      <c r="J1339" s="195">
        <v>2</v>
      </c>
      <c r="K1339" s="204" t="s">
        <v>32</v>
      </c>
      <c r="L1339" s="199">
        <v>1</v>
      </c>
      <c r="M1339" s="200">
        <v>0.3</v>
      </c>
      <c r="N1339" s="201">
        <v>19</v>
      </c>
    </row>
    <row r="1340" spans="1:14">
      <c r="A1340" s="194">
        <v>41299.457789351851</v>
      </c>
      <c r="B1340" s="195">
        <v>2071</v>
      </c>
      <c r="C1340" s="194"/>
      <c r="D1340" s="194"/>
      <c r="E1340" s="198"/>
      <c r="G1340" s="202"/>
      <c r="J1340" s="195">
        <v>2</v>
      </c>
      <c r="K1340" s="204" t="s">
        <v>32</v>
      </c>
      <c r="L1340" s="199">
        <v>3</v>
      </c>
      <c r="M1340" s="200">
        <v>0.7</v>
      </c>
      <c r="N1340" s="201">
        <v>19</v>
      </c>
    </row>
    <row r="1341" spans="1:14">
      <c r="A1341" s="194">
        <v>41300.54042824074</v>
      </c>
      <c r="B1341" s="195">
        <v>2071</v>
      </c>
      <c r="C1341" s="194"/>
      <c r="D1341" s="194"/>
      <c r="E1341" s="198"/>
      <c r="G1341" s="202"/>
      <c r="J1341" s="195">
        <v>2</v>
      </c>
      <c r="K1341" s="204" t="s">
        <v>32</v>
      </c>
      <c r="L1341" s="199">
        <v>3</v>
      </c>
      <c r="M1341" s="200">
        <v>0.3</v>
      </c>
      <c r="N1341" s="201">
        <v>20</v>
      </c>
    </row>
    <row r="1342" spans="1:14">
      <c r="A1342" s="194">
        <v>41284.461921296293</v>
      </c>
      <c r="B1342" s="195">
        <v>2071</v>
      </c>
      <c r="C1342" s="194"/>
      <c r="D1342" s="194"/>
      <c r="E1342" s="198"/>
      <c r="G1342" s="202"/>
      <c r="J1342" s="195">
        <v>2</v>
      </c>
      <c r="K1342" s="204" t="s">
        <v>32</v>
      </c>
      <c r="L1342" s="199">
        <v>3</v>
      </c>
      <c r="M1342" s="200">
        <v>0.7</v>
      </c>
      <c r="N1342" s="201">
        <v>22</v>
      </c>
    </row>
    <row r="1343" spans="1:14">
      <c r="A1343" s="194">
        <v>41291.380347222221</v>
      </c>
      <c r="B1343" s="195">
        <v>2071</v>
      </c>
      <c r="C1343" s="194"/>
      <c r="D1343" s="194"/>
      <c r="E1343" s="198"/>
      <c r="G1343" s="202"/>
      <c r="J1343" s="195">
        <v>2</v>
      </c>
      <c r="K1343" s="204" t="s">
        <v>32</v>
      </c>
      <c r="L1343" s="199">
        <v>3</v>
      </c>
      <c r="M1343" s="200">
        <v>0.4</v>
      </c>
      <c r="N1343" s="201">
        <v>23</v>
      </c>
    </row>
    <row r="1344" spans="1:14">
      <c r="A1344" s="194">
        <v>41283.52579861111</v>
      </c>
      <c r="B1344" s="195">
        <v>2071</v>
      </c>
      <c r="C1344" s="194"/>
      <c r="D1344" s="194"/>
      <c r="E1344" s="198"/>
      <c r="G1344" s="202"/>
      <c r="J1344" s="195">
        <v>2</v>
      </c>
      <c r="K1344" s="204" t="s">
        <v>32</v>
      </c>
      <c r="L1344" s="199">
        <v>1</v>
      </c>
      <c r="M1344" s="200">
        <v>1</v>
      </c>
      <c r="N1344" s="201">
        <v>23</v>
      </c>
    </row>
    <row r="1345" spans="1:14">
      <c r="A1345" s="194">
        <v>41301.375150462962</v>
      </c>
      <c r="B1345" s="195">
        <v>2071</v>
      </c>
      <c r="C1345" s="194"/>
      <c r="D1345" s="194"/>
      <c r="E1345" s="198"/>
      <c r="G1345" s="202"/>
      <c r="J1345" s="195">
        <v>2</v>
      </c>
      <c r="K1345" s="204" t="s">
        <v>32</v>
      </c>
      <c r="L1345" s="199">
        <v>1</v>
      </c>
      <c r="M1345" s="200">
        <v>0.3</v>
      </c>
      <c r="N1345" s="201">
        <v>26</v>
      </c>
    </row>
    <row r="1346" spans="1:14">
      <c r="A1346" s="194">
        <v>41277.278194444443</v>
      </c>
      <c r="B1346" s="195">
        <v>2071</v>
      </c>
      <c r="C1346" s="194"/>
      <c r="D1346" s="194"/>
      <c r="E1346" s="198"/>
      <c r="G1346" s="202"/>
      <c r="J1346" s="195">
        <v>2</v>
      </c>
      <c r="K1346" s="204" t="s">
        <v>32</v>
      </c>
      <c r="L1346" s="199">
        <v>1</v>
      </c>
      <c r="M1346" s="200">
        <v>1.2</v>
      </c>
      <c r="N1346" s="201">
        <v>26</v>
      </c>
    </row>
    <row r="1347" spans="1:14">
      <c r="A1347" s="194">
        <v>41275.128553240742</v>
      </c>
      <c r="B1347" s="195">
        <v>2071</v>
      </c>
      <c r="C1347" s="194"/>
      <c r="D1347" s="194"/>
      <c r="E1347" s="198"/>
      <c r="G1347" s="202"/>
      <c r="J1347" s="195">
        <v>2</v>
      </c>
      <c r="K1347" s="204" t="s">
        <v>32</v>
      </c>
      <c r="L1347" s="199">
        <v>1</v>
      </c>
      <c r="M1347" s="200">
        <v>2.1</v>
      </c>
      <c r="N1347" s="201">
        <v>27</v>
      </c>
    </row>
    <row r="1348" spans="1:14">
      <c r="A1348" s="194">
        <v>41296.35193287037</v>
      </c>
      <c r="B1348" s="195">
        <v>2071</v>
      </c>
      <c r="C1348" s="194"/>
      <c r="D1348" s="194"/>
      <c r="E1348" s="198"/>
      <c r="G1348" s="202"/>
      <c r="J1348" s="195">
        <v>2</v>
      </c>
      <c r="K1348" s="204" t="s">
        <v>32</v>
      </c>
      <c r="L1348" s="199">
        <v>1</v>
      </c>
      <c r="M1348" s="200">
        <v>5.8</v>
      </c>
      <c r="N1348" s="201">
        <v>27</v>
      </c>
    </row>
    <row r="1349" spans="1:14">
      <c r="A1349" s="194">
        <v>41297.612650462965</v>
      </c>
      <c r="B1349" s="195">
        <v>2071</v>
      </c>
      <c r="C1349" s="194"/>
      <c r="D1349" s="194"/>
      <c r="E1349" s="198"/>
      <c r="G1349" s="202"/>
      <c r="J1349" s="195">
        <v>2</v>
      </c>
      <c r="K1349" s="204" t="s">
        <v>32</v>
      </c>
      <c r="L1349" s="199">
        <v>2</v>
      </c>
      <c r="M1349" s="200">
        <v>0.3</v>
      </c>
      <c r="N1349" s="201">
        <v>28</v>
      </c>
    </row>
    <row r="1350" spans="1:14">
      <c r="A1350" s="194">
        <v>41302.755289351851</v>
      </c>
      <c r="B1350" s="195">
        <v>2071</v>
      </c>
      <c r="C1350" s="194"/>
      <c r="D1350" s="194"/>
      <c r="E1350" s="198"/>
      <c r="G1350" s="202"/>
      <c r="J1350" s="195">
        <v>2</v>
      </c>
      <c r="K1350" s="204" t="s">
        <v>32</v>
      </c>
      <c r="L1350" s="199">
        <v>2</v>
      </c>
      <c r="M1350" s="200">
        <v>0.4</v>
      </c>
      <c r="N1350" s="201">
        <v>28</v>
      </c>
    </row>
    <row r="1351" spans="1:14">
      <c r="A1351" s="194">
        <v>41296.71361111111</v>
      </c>
      <c r="B1351" s="195">
        <v>2071</v>
      </c>
      <c r="C1351" s="194"/>
      <c r="D1351" s="194"/>
      <c r="E1351" s="198"/>
      <c r="G1351" s="202"/>
      <c r="J1351" s="195">
        <v>2</v>
      </c>
      <c r="K1351" s="204" t="s">
        <v>32</v>
      </c>
      <c r="L1351" s="199">
        <v>2</v>
      </c>
      <c r="M1351" s="200">
        <v>0.4</v>
      </c>
      <c r="N1351" s="201">
        <v>30</v>
      </c>
    </row>
    <row r="1352" spans="1:14">
      <c r="A1352" s="194">
        <v>41304.611273148148</v>
      </c>
      <c r="B1352" s="195">
        <v>2071</v>
      </c>
      <c r="C1352" s="194"/>
      <c r="D1352" s="194"/>
      <c r="E1352" s="198"/>
      <c r="G1352" s="202"/>
      <c r="J1352" s="195">
        <v>2</v>
      </c>
      <c r="K1352" s="204" t="s">
        <v>32</v>
      </c>
      <c r="L1352" s="199">
        <v>3</v>
      </c>
      <c r="M1352" s="200">
        <v>0.3</v>
      </c>
      <c r="N1352" s="201">
        <v>31</v>
      </c>
    </row>
    <row r="1353" spans="1:14">
      <c r="A1353" s="194">
        <v>41277.655891203707</v>
      </c>
      <c r="B1353" s="195">
        <v>2071</v>
      </c>
      <c r="C1353" s="194"/>
      <c r="D1353" s="194"/>
      <c r="E1353" s="198"/>
      <c r="G1353" s="202"/>
      <c r="J1353" s="195">
        <v>2</v>
      </c>
      <c r="K1353" s="204" t="s">
        <v>32</v>
      </c>
      <c r="L1353" s="199">
        <v>3</v>
      </c>
      <c r="M1353" s="200">
        <v>0.3</v>
      </c>
      <c r="N1353" s="201">
        <v>31</v>
      </c>
    </row>
    <row r="1354" spans="1:14">
      <c r="A1354" s="194">
        <v>41287.702905092592</v>
      </c>
      <c r="B1354" s="195">
        <v>2071</v>
      </c>
      <c r="C1354" s="194"/>
      <c r="D1354" s="194"/>
      <c r="E1354" s="198"/>
      <c r="G1354" s="202"/>
      <c r="J1354" s="195">
        <v>2</v>
      </c>
      <c r="K1354" s="204" t="s">
        <v>32</v>
      </c>
      <c r="L1354" s="199">
        <v>3</v>
      </c>
      <c r="M1354" s="200">
        <v>0.4</v>
      </c>
      <c r="N1354" s="201">
        <v>31</v>
      </c>
    </row>
    <row r="1355" spans="1:14">
      <c r="A1355" s="194">
        <v>41288.339363425926</v>
      </c>
      <c r="B1355" s="195">
        <v>2071</v>
      </c>
      <c r="C1355" s="194"/>
      <c r="D1355" s="194"/>
      <c r="E1355" s="198"/>
      <c r="G1355" s="202"/>
      <c r="J1355" s="195">
        <v>2</v>
      </c>
      <c r="K1355" s="204" t="s">
        <v>32</v>
      </c>
      <c r="L1355" s="199">
        <v>3</v>
      </c>
      <c r="M1355" s="200">
        <v>0.5</v>
      </c>
      <c r="N1355" s="201">
        <v>31</v>
      </c>
    </row>
    <row r="1356" spans="1:14">
      <c r="A1356" s="194">
        <v>41285.435532407406</v>
      </c>
      <c r="B1356" s="195">
        <v>2071</v>
      </c>
      <c r="C1356" s="194"/>
      <c r="D1356" s="194"/>
      <c r="E1356" s="198"/>
      <c r="G1356" s="202"/>
      <c r="J1356" s="195">
        <v>2</v>
      </c>
      <c r="K1356" s="204" t="s">
        <v>32</v>
      </c>
      <c r="L1356" s="199">
        <v>3</v>
      </c>
      <c r="M1356" s="200">
        <v>0.9</v>
      </c>
      <c r="N1356" s="201">
        <v>31</v>
      </c>
    </row>
    <row r="1357" spans="1:14">
      <c r="A1357" s="194">
        <v>41278.737847222219</v>
      </c>
      <c r="B1357" s="195">
        <v>2071</v>
      </c>
      <c r="C1357" s="194"/>
      <c r="D1357" s="194"/>
      <c r="E1357" s="198"/>
      <c r="G1357" s="202"/>
      <c r="J1357" s="195">
        <v>2</v>
      </c>
      <c r="K1357" s="204" t="s">
        <v>32</v>
      </c>
      <c r="L1357" s="199">
        <v>2</v>
      </c>
      <c r="M1357" s="200">
        <v>0.3</v>
      </c>
      <c r="N1357" s="201">
        <v>32</v>
      </c>
    </row>
    <row r="1358" spans="1:14">
      <c r="A1358" s="194">
        <v>41305.419618055559</v>
      </c>
      <c r="B1358" s="195">
        <v>2071</v>
      </c>
      <c r="C1358" s="194"/>
      <c r="D1358" s="194"/>
      <c r="E1358" s="198"/>
      <c r="G1358" s="202"/>
      <c r="J1358" s="195">
        <v>2</v>
      </c>
      <c r="K1358" s="204" t="s">
        <v>32</v>
      </c>
      <c r="L1358" s="199">
        <v>2</v>
      </c>
      <c r="M1358" s="200">
        <v>0.7</v>
      </c>
      <c r="N1358" s="201">
        <v>32</v>
      </c>
    </row>
    <row r="1359" spans="1:14">
      <c r="A1359" s="194">
        <v>41275.416504629633</v>
      </c>
      <c r="B1359" s="195">
        <v>2071</v>
      </c>
      <c r="C1359" s="194"/>
      <c r="D1359" s="194"/>
      <c r="E1359" s="198"/>
      <c r="G1359" s="202"/>
      <c r="J1359" s="195">
        <v>2</v>
      </c>
      <c r="K1359" s="204" t="s">
        <v>32</v>
      </c>
      <c r="L1359" s="199">
        <v>2</v>
      </c>
      <c r="M1359" s="200">
        <v>0.5</v>
      </c>
      <c r="N1359" s="201">
        <v>33</v>
      </c>
    </row>
    <row r="1360" spans="1:14">
      <c r="A1360" s="194">
        <v>41302.390081018515</v>
      </c>
      <c r="B1360" s="195">
        <v>2071</v>
      </c>
      <c r="C1360" s="194"/>
      <c r="D1360" s="194"/>
      <c r="E1360" s="198"/>
      <c r="G1360" s="202"/>
      <c r="J1360" s="195">
        <v>2</v>
      </c>
      <c r="K1360" s="204" t="s">
        <v>32</v>
      </c>
      <c r="L1360" s="199">
        <v>1</v>
      </c>
      <c r="M1360" s="200">
        <v>0.7</v>
      </c>
      <c r="N1360" s="201">
        <v>35</v>
      </c>
    </row>
    <row r="1361" spans="1:14">
      <c r="A1361" s="194">
        <v>41291.364374999997</v>
      </c>
      <c r="B1361" s="195">
        <v>2071</v>
      </c>
      <c r="C1361" s="194"/>
      <c r="D1361" s="194"/>
      <c r="E1361" s="198"/>
      <c r="G1361" s="202"/>
      <c r="J1361" s="195">
        <v>2</v>
      </c>
      <c r="K1361" s="204" t="s">
        <v>32</v>
      </c>
      <c r="L1361" s="199">
        <v>1</v>
      </c>
      <c r="M1361" s="200">
        <v>0.4</v>
      </c>
      <c r="N1361" s="201">
        <v>38</v>
      </c>
    </row>
    <row r="1362" spans="1:14">
      <c r="A1362" s="194">
        <v>41300.501539351855</v>
      </c>
      <c r="B1362" s="195">
        <v>2071</v>
      </c>
      <c r="C1362" s="194"/>
      <c r="D1362" s="194"/>
      <c r="E1362" s="198"/>
      <c r="G1362" s="202"/>
      <c r="J1362" s="195">
        <v>2</v>
      </c>
      <c r="K1362" s="204" t="s">
        <v>32</v>
      </c>
      <c r="L1362" s="199">
        <v>2</v>
      </c>
      <c r="M1362" s="200">
        <v>0.5</v>
      </c>
      <c r="N1362" s="201">
        <v>40</v>
      </c>
    </row>
    <row r="1363" spans="1:14">
      <c r="A1363" s="194">
        <v>41303.50849537037</v>
      </c>
      <c r="B1363" s="195">
        <v>2071</v>
      </c>
      <c r="C1363" s="194"/>
      <c r="D1363" s="194"/>
      <c r="E1363" s="198"/>
      <c r="G1363" s="202"/>
      <c r="J1363" s="195">
        <v>3</v>
      </c>
      <c r="K1363" s="204" t="s">
        <v>1595</v>
      </c>
      <c r="L1363" s="199">
        <v>3</v>
      </c>
      <c r="M1363" s="200">
        <v>0.4</v>
      </c>
      <c r="N1363" s="201">
        <v>19</v>
      </c>
    </row>
    <row r="1364" spans="1:14">
      <c r="A1364" s="194">
        <v>41282.544560185182</v>
      </c>
      <c r="B1364" s="195">
        <v>2071</v>
      </c>
      <c r="C1364" s="194"/>
      <c r="D1364" s="194"/>
      <c r="E1364" s="198"/>
      <c r="G1364" s="202"/>
      <c r="J1364" s="195">
        <v>3</v>
      </c>
      <c r="K1364" s="204" t="s">
        <v>1595</v>
      </c>
      <c r="L1364" s="199">
        <v>1</v>
      </c>
      <c r="M1364" s="200">
        <v>2</v>
      </c>
      <c r="N1364" s="201">
        <v>21</v>
      </c>
    </row>
    <row r="1365" spans="1:14">
      <c r="A1365" s="194">
        <v>41279.659803240742</v>
      </c>
      <c r="B1365" s="195">
        <v>2071</v>
      </c>
      <c r="C1365" s="194"/>
      <c r="D1365" s="194"/>
      <c r="E1365" s="198"/>
      <c r="G1365" s="202"/>
      <c r="J1365" s="195">
        <v>3</v>
      </c>
      <c r="K1365" s="204" t="s">
        <v>1595</v>
      </c>
      <c r="L1365" s="199">
        <v>3</v>
      </c>
      <c r="M1365" s="200">
        <v>0.6</v>
      </c>
      <c r="N1365" s="201">
        <v>31</v>
      </c>
    </row>
    <row r="1366" spans="1:14">
      <c r="A1366" s="194">
        <v>41282.705914351849</v>
      </c>
      <c r="B1366" s="195">
        <v>2071</v>
      </c>
      <c r="C1366" s="194"/>
      <c r="D1366" s="194"/>
      <c r="E1366" s="198"/>
      <c r="G1366" s="202"/>
      <c r="J1366" s="195">
        <v>7</v>
      </c>
      <c r="K1366" s="204" t="s">
        <v>30</v>
      </c>
      <c r="L1366" s="199">
        <v>1</v>
      </c>
      <c r="M1366" s="200">
        <v>0.4</v>
      </c>
      <c r="N1366" s="201">
        <v>20</v>
      </c>
    </row>
    <row r="1367" spans="1:14">
      <c r="A1367" s="194">
        <v>41282.360150462962</v>
      </c>
      <c r="B1367" s="195">
        <v>2071</v>
      </c>
      <c r="C1367" s="194"/>
      <c r="D1367" s="194"/>
      <c r="E1367" s="198"/>
      <c r="G1367" s="202"/>
      <c r="J1367" s="195">
        <v>7</v>
      </c>
      <c r="K1367" s="204" t="s">
        <v>30</v>
      </c>
      <c r="L1367" s="199">
        <v>2</v>
      </c>
      <c r="M1367" s="200">
        <v>0.3</v>
      </c>
      <c r="N1367" s="201">
        <v>25</v>
      </c>
    </row>
    <row r="1368" spans="1:14">
      <c r="A1368" s="194">
        <v>41298.331736111111</v>
      </c>
      <c r="B1368" s="195">
        <v>2071</v>
      </c>
      <c r="C1368" s="194"/>
      <c r="D1368" s="194"/>
      <c r="E1368" s="196" t="s">
        <v>1619</v>
      </c>
      <c r="G1368" s="202"/>
      <c r="J1368" s="195">
        <v>7</v>
      </c>
      <c r="K1368" s="204" t="s">
        <v>30</v>
      </c>
      <c r="L1368" s="199">
        <v>3</v>
      </c>
      <c r="M1368" s="200">
        <v>0.4</v>
      </c>
      <c r="N1368" s="201">
        <v>29</v>
      </c>
    </row>
    <row r="1369" spans="1:14">
      <c r="A1369" s="194">
        <v>41302.418217592596</v>
      </c>
      <c r="B1369" s="195">
        <v>2071</v>
      </c>
      <c r="C1369" s="194"/>
      <c r="D1369" s="194"/>
      <c r="E1369" s="198"/>
      <c r="G1369" s="202"/>
      <c r="J1369" s="195">
        <v>7</v>
      </c>
      <c r="K1369" s="204" t="s">
        <v>30</v>
      </c>
      <c r="L1369" s="199">
        <v>3</v>
      </c>
      <c r="M1369" s="200">
        <v>0.4</v>
      </c>
      <c r="N1369" s="201">
        <v>34</v>
      </c>
    </row>
    <row r="1370" spans="1:14">
      <c r="A1370" s="194">
        <v>41305.346331018518</v>
      </c>
      <c r="B1370" s="195">
        <v>2071</v>
      </c>
      <c r="C1370" s="194"/>
      <c r="D1370" s="194"/>
      <c r="E1370" s="196" t="s">
        <v>1760</v>
      </c>
      <c r="G1370" s="202"/>
      <c r="J1370" s="195">
        <v>7</v>
      </c>
      <c r="K1370" s="204" t="s">
        <v>30</v>
      </c>
      <c r="L1370" s="199">
        <v>1</v>
      </c>
      <c r="M1370" s="200">
        <v>0.5</v>
      </c>
      <c r="N1370" s="201">
        <v>38</v>
      </c>
    </row>
    <row r="1371" spans="1:14">
      <c r="A1371" s="194">
        <v>41304.443935185183</v>
      </c>
      <c r="B1371" s="195">
        <v>2071</v>
      </c>
      <c r="C1371" s="194"/>
      <c r="D1371" s="194"/>
      <c r="E1371" s="198"/>
      <c r="G1371" s="202"/>
      <c r="J1371" s="195">
        <v>10</v>
      </c>
      <c r="K1371" s="204" t="s">
        <v>31</v>
      </c>
      <c r="L1371" s="199">
        <v>1</v>
      </c>
      <c r="M1371" s="200">
        <v>1.8</v>
      </c>
      <c r="N1371" s="201">
        <v>16</v>
      </c>
    </row>
    <row r="1372" spans="1:14">
      <c r="A1372" s="194">
        <v>41277.638541666667</v>
      </c>
      <c r="B1372" s="195">
        <v>2071</v>
      </c>
      <c r="C1372" s="194"/>
      <c r="D1372" s="194"/>
      <c r="E1372" s="198"/>
      <c r="G1372" s="202"/>
      <c r="J1372" s="195">
        <v>10</v>
      </c>
      <c r="K1372" s="204" t="s">
        <v>31</v>
      </c>
      <c r="L1372" s="199">
        <v>1</v>
      </c>
      <c r="M1372" s="200">
        <v>0.8</v>
      </c>
      <c r="N1372" s="201">
        <v>17</v>
      </c>
    </row>
    <row r="1373" spans="1:14">
      <c r="A1373" s="194">
        <v>41304.425162037034</v>
      </c>
      <c r="B1373" s="195">
        <v>2071</v>
      </c>
      <c r="C1373" s="194"/>
      <c r="D1373" s="194"/>
      <c r="E1373" s="198"/>
      <c r="G1373" s="202"/>
      <c r="J1373" s="195">
        <v>10</v>
      </c>
      <c r="K1373" s="204" t="s">
        <v>31</v>
      </c>
      <c r="L1373" s="199">
        <v>1</v>
      </c>
      <c r="M1373" s="200">
        <v>0.4</v>
      </c>
      <c r="N1373" s="201">
        <v>18</v>
      </c>
    </row>
    <row r="1374" spans="1:14">
      <c r="A1374" s="194">
        <v>41301.457800925928</v>
      </c>
      <c r="B1374" s="195">
        <v>2071</v>
      </c>
      <c r="C1374" s="194"/>
      <c r="D1374" s="194"/>
      <c r="E1374" s="198"/>
      <c r="G1374" s="202"/>
      <c r="J1374" s="195">
        <v>10</v>
      </c>
      <c r="K1374" s="204" t="s">
        <v>31</v>
      </c>
      <c r="L1374" s="199">
        <v>1</v>
      </c>
      <c r="M1374" s="200">
        <v>0.6</v>
      </c>
      <c r="N1374" s="201">
        <v>18</v>
      </c>
    </row>
    <row r="1375" spans="1:14">
      <c r="A1375" s="194">
        <v>41298.661527777775</v>
      </c>
      <c r="B1375" s="195">
        <v>2071</v>
      </c>
      <c r="C1375" s="194"/>
      <c r="D1375" s="194"/>
      <c r="E1375" s="198"/>
      <c r="G1375" s="202"/>
      <c r="J1375" s="195">
        <v>10</v>
      </c>
      <c r="K1375" s="204" t="s">
        <v>31</v>
      </c>
      <c r="L1375" s="199">
        <v>1</v>
      </c>
      <c r="M1375" s="200">
        <v>0.7</v>
      </c>
      <c r="N1375" s="201">
        <v>18</v>
      </c>
    </row>
    <row r="1376" spans="1:14">
      <c r="A1376" s="194">
        <v>41278.484814814816</v>
      </c>
      <c r="B1376" s="195">
        <v>2071</v>
      </c>
      <c r="C1376" s="194"/>
      <c r="D1376" s="194"/>
      <c r="E1376" s="198"/>
      <c r="G1376" s="202"/>
      <c r="J1376" s="195">
        <v>10</v>
      </c>
      <c r="K1376" s="204" t="s">
        <v>31</v>
      </c>
      <c r="L1376" s="199">
        <v>1</v>
      </c>
      <c r="M1376" s="200">
        <v>1.3</v>
      </c>
      <c r="N1376" s="201">
        <v>18</v>
      </c>
    </row>
    <row r="1377" spans="1:14">
      <c r="A1377" s="194">
        <v>41296.607789351852</v>
      </c>
      <c r="B1377" s="195">
        <v>2071</v>
      </c>
      <c r="C1377" s="194"/>
      <c r="D1377" s="194"/>
      <c r="E1377" s="198"/>
      <c r="G1377" s="202"/>
      <c r="J1377" s="195">
        <v>10</v>
      </c>
      <c r="K1377" s="204" t="s">
        <v>31</v>
      </c>
      <c r="L1377" s="199">
        <v>3</v>
      </c>
      <c r="M1377" s="200">
        <v>0.6</v>
      </c>
      <c r="N1377" s="201">
        <v>20</v>
      </c>
    </row>
    <row r="1378" spans="1:14">
      <c r="A1378" s="194">
        <v>41299.481400462966</v>
      </c>
      <c r="B1378" s="195">
        <v>2071</v>
      </c>
      <c r="C1378" s="194"/>
      <c r="D1378" s="194"/>
      <c r="E1378" s="198"/>
      <c r="G1378" s="202"/>
      <c r="J1378" s="195">
        <v>10</v>
      </c>
      <c r="K1378" s="204" t="s">
        <v>31</v>
      </c>
      <c r="L1378" s="199">
        <v>1</v>
      </c>
      <c r="M1378" s="200">
        <v>0.5</v>
      </c>
      <c r="N1378" s="201">
        <v>23</v>
      </c>
    </row>
    <row r="1379" spans="1:14">
      <c r="A1379" s="194">
        <v>41298.568206018521</v>
      </c>
      <c r="B1379" s="195">
        <v>2071</v>
      </c>
      <c r="C1379" s="194"/>
      <c r="D1379" s="194"/>
      <c r="E1379" s="198"/>
      <c r="G1379" s="202"/>
      <c r="J1379" s="195">
        <v>10</v>
      </c>
      <c r="K1379" s="204" t="s">
        <v>31</v>
      </c>
      <c r="L1379" s="199">
        <v>2</v>
      </c>
      <c r="M1379" s="200">
        <v>0.5</v>
      </c>
      <c r="N1379" s="201">
        <v>23</v>
      </c>
    </row>
    <row r="1380" spans="1:14">
      <c r="A1380" s="194">
        <v>41302.52516203704</v>
      </c>
      <c r="B1380" s="195">
        <v>2071</v>
      </c>
      <c r="C1380" s="194"/>
      <c r="D1380" s="194"/>
      <c r="E1380" s="198"/>
      <c r="G1380" s="202"/>
      <c r="J1380" s="195">
        <v>10</v>
      </c>
      <c r="K1380" s="204" t="s">
        <v>31</v>
      </c>
      <c r="L1380" s="199">
        <v>1</v>
      </c>
      <c r="M1380" s="200">
        <v>1</v>
      </c>
      <c r="N1380" s="201">
        <v>23</v>
      </c>
    </row>
    <row r="1381" spans="1:14">
      <c r="A1381" s="194">
        <v>41288.392835648148</v>
      </c>
      <c r="B1381" s="195">
        <v>2071</v>
      </c>
      <c r="C1381" s="194"/>
      <c r="D1381" s="194"/>
      <c r="E1381" s="198"/>
      <c r="G1381" s="202"/>
      <c r="J1381" s="195">
        <v>10</v>
      </c>
      <c r="K1381" s="204" t="s">
        <v>31</v>
      </c>
      <c r="L1381" s="199">
        <v>3</v>
      </c>
      <c r="M1381" s="200">
        <v>0.4</v>
      </c>
      <c r="N1381" s="201">
        <v>26</v>
      </c>
    </row>
    <row r="1382" spans="1:14">
      <c r="A1382" s="194">
        <v>41300.462650462963</v>
      </c>
      <c r="B1382" s="195">
        <v>2071</v>
      </c>
      <c r="C1382" s="194"/>
      <c r="D1382" s="194"/>
      <c r="E1382" s="198"/>
      <c r="G1382" s="202"/>
      <c r="J1382" s="195">
        <v>10</v>
      </c>
      <c r="K1382" s="204" t="s">
        <v>31</v>
      </c>
      <c r="L1382" s="199">
        <v>2</v>
      </c>
      <c r="M1382" s="200">
        <v>0.3</v>
      </c>
      <c r="N1382" s="201">
        <v>27</v>
      </c>
    </row>
    <row r="1383" spans="1:14">
      <c r="A1383" s="194">
        <v>41281.454259259262</v>
      </c>
      <c r="B1383" s="195">
        <v>2071</v>
      </c>
      <c r="C1383" s="194"/>
      <c r="D1383" s="194"/>
      <c r="E1383" s="198"/>
      <c r="G1383" s="202"/>
      <c r="J1383" s="195">
        <v>10</v>
      </c>
      <c r="K1383" s="204" t="s">
        <v>31</v>
      </c>
      <c r="L1383" s="199">
        <v>2</v>
      </c>
      <c r="M1383" s="200">
        <v>0.5</v>
      </c>
      <c r="N1383" s="201">
        <v>27</v>
      </c>
    </row>
    <row r="1384" spans="1:14">
      <c r="A1384" s="194">
        <v>41291.46266203704</v>
      </c>
      <c r="B1384" s="195">
        <v>2071</v>
      </c>
      <c r="C1384" s="194"/>
      <c r="D1384" s="194"/>
      <c r="E1384" s="198"/>
      <c r="G1384" s="202"/>
      <c r="J1384" s="195">
        <v>10</v>
      </c>
      <c r="K1384" s="204" t="s">
        <v>31</v>
      </c>
      <c r="L1384" s="199">
        <v>3</v>
      </c>
      <c r="M1384" s="200">
        <v>0.7</v>
      </c>
      <c r="N1384" s="201">
        <v>27</v>
      </c>
    </row>
    <row r="1385" spans="1:14">
      <c r="A1385" s="194">
        <v>41283.509131944447</v>
      </c>
      <c r="B1385" s="195">
        <v>2071</v>
      </c>
      <c r="C1385" s="194"/>
      <c r="D1385" s="194"/>
      <c r="E1385" s="198"/>
      <c r="G1385" s="202"/>
      <c r="J1385" s="195">
        <v>10</v>
      </c>
      <c r="K1385" s="204" t="s">
        <v>31</v>
      </c>
      <c r="L1385" s="199">
        <v>3</v>
      </c>
      <c r="M1385" s="200">
        <v>0.7</v>
      </c>
      <c r="N1385" s="201">
        <v>27</v>
      </c>
    </row>
    <row r="1386" spans="1:14">
      <c r="A1386" s="194">
        <v>41285.498726851853</v>
      </c>
      <c r="B1386" s="195">
        <v>2071</v>
      </c>
      <c r="C1386" s="194"/>
      <c r="D1386" s="194"/>
      <c r="E1386" s="198"/>
      <c r="G1386" s="202"/>
      <c r="J1386" s="195">
        <v>10</v>
      </c>
      <c r="K1386" s="204" t="s">
        <v>31</v>
      </c>
      <c r="L1386" s="199">
        <v>3</v>
      </c>
      <c r="M1386" s="200">
        <v>0.8</v>
      </c>
      <c r="N1386" s="201">
        <v>27</v>
      </c>
    </row>
    <row r="1387" spans="1:14">
      <c r="A1387" s="194">
        <v>41275.40457175926</v>
      </c>
      <c r="B1387" s="195">
        <v>2071</v>
      </c>
      <c r="C1387" s="194"/>
      <c r="D1387" s="194"/>
      <c r="E1387" s="198"/>
      <c r="G1387" s="202"/>
      <c r="J1387" s="195">
        <v>10</v>
      </c>
      <c r="K1387" s="204" t="s">
        <v>31</v>
      </c>
      <c r="L1387" s="199">
        <v>3</v>
      </c>
      <c r="M1387" s="200">
        <v>0.8</v>
      </c>
      <c r="N1387" s="201">
        <v>28</v>
      </c>
    </row>
    <row r="1388" spans="1:14">
      <c r="A1388" s="194">
        <v>41289.399791666663</v>
      </c>
      <c r="B1388" s="195">
        <v>2071</v>
      </c>
      <c r="C1388" s="194"/>
      <c r="D1388" s="194"/>
      <c r="E1388" s="198"/>
      <c r="G1388" s="202"/>
      <c r="J1388" s="195">
        <v>10</v>
      </c>
      <c r="K1388" s="204" t="s">
        <v>31</v>
      </c>
      <c r="L1388" s="199">
        <v>3</v>
      </c>
      <c r="M1388" s="200">
        <v>1.3</v>
      </c>
      <c r="N1388" s="201">
        <v>29</v>
      </c>
    </row>
    <row r="1389" spans="1:14">
      <c r="A1389" s="194">
        <v>41289.399097222224</v>
      </c>
      <c r="B1389" s="195">
        <v>2071</v>
      </c>
      <c r="C1389" s="194"/>
      <c r="D1389" s="194"/>
      <c r="E1389" s="198"/>
      <c r="G1389" s="202"/>
      <c r="J1389" s="195">
        <v>10</v>
      </c>
      <c r="K1389" s="204" t="s">
        <v>31</v>
      </c>
      <c r="L1389" s="199">
        <v>2</v>
      </c>
      <c r="M1389" s="200">
        <v>0.6</v>
      </c>
      <c r="N1389" s="201">
        <v>31</v>
      </c>
    </row>
    <row r="1390" spans="1:14">
      <c r="A1390" s="194">
        <v>41276.416504629633</v>
      </c>
      <c r="B1390" s="195">
        <v>2071</v>
      </c>
      <c r="C1390" s="194"/>
      <c r="D1390" s="194"/>
      <c r="E1390" s="198"/>
      <c r="G1390" s="202"/>
      <c r="J1390" s="195">
        <v>10</v>
      </c>
      <c r="K1390" s="204" t="s">
        <v>31</v>
      </c>
      <c r="L1390" s="199">
        <v>2</v>
      </c>
      <c r="M1390" s="200">
        <v>0.5</v>
      </c>
      <c r="N1390" s="201">
        <v>32</v>
      </c>
    </row>
    <row r="1391" spans="1:14">
      <c r="A1391" s="194">
        <v>41301.506412037037</v>
      </c>
      <c r="B1391" s="195">
        <v>2071</v>
      </c>
      <c r="C1391" s="194"/>
      <c r="D1391" s="194"/>
      <c r="E1391" s="198"/>
      <c r="G1391" s="202"/>
      <c r="J1391" s="195">
        <v>10</v>
      </c>
      <c r="K1391" s="204" t="s">
        <v>31</v>
      </c>
      <c r="L1391" s="199">
        <v>1</v>
      </c>
      <c r="M1391" s="200">
        <v>0.7</v>
      </c>
      <c r="N1391" s="201">
        <v>32</v>
      </c>
    </row>
    <row r="1392" spans="1:14">
      <c r="A1392" s="194">
        <v>41296.334513888891</v>
      </c>
      <c r="B1392" s="195">
        <v>2071</v>
      </c>
      <c r="C1392" s="194"/>
      <c r="D1392" s="194"/>
      <c r="E1392" s="198"/>
      <c r="G1392" s="202"/>
      <c r="J1392" s="195">
        <v>10</v>
      </c>
      <c r="K1392" s="204" t="s">
        <v>31</v>
      </c>
      <c r="L1392" s="199">
        <v>1</v>
      </c>
      <c r="M1392" s="200">
        <v>0.4</v>
      </c>
      <c r="N1392" s="201">
        <v>33</v>
      </c>
    </row>
    <row r="1393" spans="1:14">
      <c r="A1393" s="194">
        <v>41300.450844907406</v>
      </c>
      <c r="B1393" s="195">
        <v>2071</v>
      </c>
      <c r="C1393" s="194"/>
      <c r="D1393" s="194"/>
      <c r="E1393" s="198"/>
      <c r="G1393" s="202"/>
      <c r="J1393" s="195">
        <v>10</v>
      </c>
      <c r="K1393" s="204" t="s">
        <v>31</v>
      </c>
      <c r="L1393" s="199">
        <v>3</v>
      </c>
      <c r="M1393" s="200">
        <v>0.4</v>
      </c>
      <c r="N1393" s="201">
        <v>34</v>
      </c>
    </row>
    <row r="1394" spans="1:14">
      <c r="A1394" s="194">
        <v>41286.489016203705</v>
      </c>
      <c r="B1394" s="195">
        <v>2071</v>
      </c>
      <c r="C1394" s="194"/>
      <c r="D1394" s="194"/>
      <c r="E1394" s="198"/>
      <c r="G1394" s="202"/>
      <c r="J1394" s="195">
        <v>10</v>
      </c>
      <c r="K1394" s="204" t="s">
        <v>31</v>
      </c>
      <c r="L1394" s="199">
        <v>1</v>
      </c>
      <c r="M1394" s="200">
        <v>0.5</v>
      </c>
      <c r="N1394" s="201">
        <v>34</v>
      </c>
    </row>
    <row r="1395" spans="1:14">
      <c r="A1395" s="194">
        <v>41284.446643518517</v>
      </c>
      <c r="B1395" s="195">
        <v>2071</v>
      </c>
      <c r="C1395" s="194"/>
      <c r="D1395" s="194"/>
      <c r="E1395" s="198"/>
      <c r="G1395" s="202"/>
      <c r="J1395" s="195">
        <v>10</v>
      </c>
      <c r="K1395" s="204" t="s">
        <v>31</v>
      </c>
      <c r="L1395" s="199">
        <v>3</v>
      </c>
      <c r="M1395" s="200">
        <v>1.2</v>
      </c>
      <c r="N1395" s="201">
        <v>34</v>
      </c>
    </row>
    <row r="1396" spans="1:14">
      <c r="A1396" s="194">
        <v>41283.461215277777</v>
      </c>
      <c r="B1396" s="195">
        <v>2071</v>
      </c>
      <c r="C1396" s="194"/>
      <c r="D1396" s="194"/>
      <c r="E1396" s="198"/>
      <c r="G1396" s="202"/>
      <c r="J1396" s="195">
        <v>10</v>
      </c>
      <c r="K1396" s="204" t="s">
        <v>31</v>
      </c>
      <c r="L1396" s="199">
        <v>3</v>
      </c>
      <c r="M1396" s="200">
        <v>0.3</v>
      </c>
      <c r="N1396" s="201">
        <v>37</v>
      </c>
    </row>
    <row r="1397" spans="1:14">
      <c r="A1397" s="194">
        <v>41300.425150462965</v>
      </c>
      <c r="B1397" s="195">
        <v>2071</v>
      </c>
      <c r="C1397" s="194"/>
      <c r="D1397" s="194"/>
      <c r="E1397" s="198"/>
      <c r="G1397" s="202"/>
      <c r="J1397" s="195">
        <v>10</v>
      </c>
      <c r="K1397" s="204" t="s">
        <v>31</v>
      </c>
      <c r="L1397" s="199">
        <v>2</v>
      </c>
      <c r="M1397" s="200">
        <v>0.4</v>
      </c>
      <c r="N1397" s="201">
        <v>37</v>
      </c>
    </row>
    <row r="1398" spans="1:14">
      <c r="A1398" s="194">
        <v>41303.597384259258</v>
      </c>
      <c r="B1398" s="195">
        <v>2071</v>
      </c>
      <c r="C1398" s="194"/>
      <c r="D1398" s="194"/>
      <c r="E1398" s="196" t="s">
        <v>2055</v>
      </c>
      <c r="G1398" s="202"/>
      <c r="J1398" s="195">
        <v>10</v>
      </c>
      <c r="K1398" s="204" t="s">
        <v>31</v>
      </c>
      <c r="L1398" s="199">
        <v>1</v>
      </c>
      <c r="M1398" s="200">
        <v>0.3</v>
      </c>
      <c r="N1398" s="201">
        <v>43</v>
      </c>
    </row>
    <row r="1399" spans="1:14">
      <c r="A1399" s="194">
        <v>41275.482708333337</v>
      </c>
      <c r="B1399" s="195">
        <v>2071</v>
      </c>
      <c r="C1399" s="194"/>
      <c r="D1399" s="194"/>
      <c r="E1399" s="198"/>
      <c r="G1399" s="202"/>
      <c r="J1399" s="195">
        <v>11</v>
      </c>
      <c r="K1399" s="204" t="s">
        <v>1</v>
      </c>
      <c r="L1399" s="199">
        <v>1</v>
      </c>
      <c r="M1399" s="200">
        <v>0.6</v>
      </c>
      <c r="N1399" s="201">
        <v>18</v>
      </c>
    </row>
    <row r="1400" spans="1:14">
      <c r="A1400" s="194">
        <v>41280.089675925927</v>
      </c>
      <c r="B1400" s="195">
        <v>2071</v>
      </c>
      <c r="C1400" s="194"/>
      <c r="D1400" s="194"/>
      <c r="E1400" s="198"/>
      <c r="G1400" s="202"/>
      <c r="J1400" s="195">
        <v>11</v>
      </c>
      <c r="K1400" s="204" t="s">
        <v>1</v>
      </c>
      <c r="L1400" s="199">
        <v>1</v>
      </c>
      <c r="M1400" s="200">
        <v>0.3</v>
      </c>
      <c r="N1400" s="201">
        <v>20</v>
      </c>
    </row>
    <row r="1401" spans="1:14">
      <c r="A1401" s="194">
        <v>41285.816805555558</v>
      </c>
      <c r="B1401" s="195">
        <v>2071</v>
      </c>
      <c r="C1401" s="194"/>
      <c r="D1401" s="194"/>
      <c r="E1401" s="198"/>
      <c r="G1401" s="202"/>
      <c r="J1401" s="195">
        <v>12</v>
      </c>
      <c r="K1401" s="204" t="s">
        <v>7</v>
      </c>
      <c r="L1401" s="199">
        <v>1</v>
      </c>
      <c r="M1401" s="200">
        <v>1.9</v>
      </c>
      <c r="N1401" s="201">
        <v>16</v>
      </c>
    </row>
    <row r="1402" spans="1:14">
      <c r="A1402" s="194">
        <v>41285.504988425928</v>
      </c>
      <c r="B1402" s="195">
        <v>2071</v>
      </c>
      <c r="C1402" s="194"/>
      <c r="D1402" s="194"/>
      <c r="E1402" s="198"/>
      <c r="G1402" s="202"/>
      <c r="J1402" s="195">
        <v>12</v>
      </c>
      <c r="K1402" s="204" t="s">
        <v>7</v>
      </c>
      <c r="L1402" s="199">
        <v>1</v>
      </c>
      <c r="M1402" s="200">
        <v>1.7</v>
      </c>
      <c r="N1402" s="201">
        <v>17</v>
      </c>
    </row>
    <row r="1403" spans="1:14">
      <c r="A1403" s="194">
        <v>41281.887916666667</v>
      </c>
      <c r="B1403" s="195">
        <v>2071</v>
      </c>
      <c r="C1403" s="194"/>
      <c r="D1403" s="194"/>
      <c r="E1403" s="198"/>
      <c r="G1403" s="202"/>
      <c r="J1403" s="195">
        <v>12</v>
      </c>
      <c r="K1403" s="204" t="s">
        <v>7</v>
      </c>
      <c r="L1403" s="199">
        <v>2</v>
      </c>
      <c r="M1403" s="200">
        <v>28.1</v>
      </c>
      <c r="N1403" s="201">
        <v>17</v>
      </c>
    </row>
    <row r="1404" spans="1:14">
      <c r="A1404" s="194">
        <v>41282.190023148149</v>
      </c>
      <c r="B1404" s="195">
        <v>2071</v>
      </c>
      <c r="C1404" s="194"/>
      <c r="D1404" s="194"/>
      <c r="E1404" s="198"/>
      <c r="G1404" s="202"/>
      <c r="J1404" s="195">
        <v>12</v>
      </c>
      <c r="K1404" s="204" t="s">
        <v>7</v>
      </c>
      <c r="L1404" s="199">
        <v>2</v>
      </c>
      <c r="M1404" s="200">
        <v>29.8</v>
      </c>
      <c r="N1404" s="201">
        <v>17</v>
      </c>
    </row>
    <row r="1405" spans="1:14">
      <c r="A1405" s="194">
        <v>41302.745567129627</v>
      </c>
      <c r="B1405" s="195">
        <v>2071</v>
      </c>
      <c r="C1405" s="194"/>
      <c r="D1405" s="194"/>
      <c r="E1405" s="198"/>
      <c r="G1405" s="202"/>
      <c r="J1405" s="195">
        <v>12</v>
      </c>
      <c r="K1405" s="204" t="s">
        <v>7</v>
      </c>
      <c r="L1405" s="199">
        <v>1</v>
      </c>
      <c r="M1405" s="200">
        <v>0.9</v>
      </c>
      <c r="N1405" s="201">
        <v>18</v>
      </c>
    </row>
    <row r="1406" spans="1:14">
      <c r="A1406" s="194">
        <v>41300.03696759259</v>
      </c>
      <c r="B1406" s="195">
        <v>2071</v>
      </c>
      <c r="C1406" s="194"/>
      <c r="D1406" s="194"/>
      <c r="E1406" s="198"/>
      <c r="G1406" s="202"/>
      <c r="J1406" s="195">
        <v>12</v>
      </c>
      <c r="K1406" s="204" t="s">
        <v>7</v>
      </c>
      <c r="L1406" s="199">
        <v>1</v>
      </c>
      <c r="M1406" s="200">
        <v>0.9</v>
      </c>
      <c r="N1406" s="201">
        <v>18</v>
      </c>
    </row>
    <row r="1407" spans="1:14">
      <c r="A1407" s="194">
        <v>41284.078217592592</v>
      </c>
      <c r="B1407" s="195">
        <v>2071</v>
      </c>
      <c r="C1407" s="194"/>
      <c r="D1407" s="194"/>
      <c r="E1407" s="198"/>
      <c r="G1407" s="202"/>
      <c r="J1407" s="195">
        <v>12</v>
      </c>
      <c r="K1407" s="204" t="s">
        <v>7</v>
      </c>
      <c r="L1407" s="199">
        <v>2</v>
      </c>
      <c r="M1407" s="200">
        <v>29.5</v>
      </c>
      <c r="N1407" s="201">
        <v>18</v>
      </c>
    </row>
    <row r="1408" spans="1:14">
      <c r="A1408" s="194">
        <v>41284.43482638889</v>
      </c>
      <c r="B1408" s="195">
        <v>2071</v>
      </c>
      <c r="C1408" s="194"/>
      <c r="D1408" s="194"/>
      <c r="E1408" s="198"/>
      <c r="G1408" s="202"/>
      <c r="J1408" s="195">
        <v>12</v>
      </c>
      <c r="K1408" s="204" t="s">
        <v>7</v>
      </c>
      <c r="L1408" s="199">
        <v>2</v>
      </c>
      <c r="M1408" s="200">
        <v>0.4</v>
      </c>
      <c r="N1408" s="201">
        <v>19</v>
      </c>
    </row>
    <row r="1409" spans="1:14">
      <c r="A1409" s="194">
        <v>41300.05709490741</v>
      </c>
      <c r="B1409" s="195">
        <v>2071</v>
      </c>
      <c r="C1409" s="194"/>
      <c r="D1409" s="194"/>
      <c r="E1409" s="198"/>
      <c r="G1409" s="202"/>
      <c r="J1409" s="195">
        <v>12</v>
      </c>
      <c r="K1409" s="204" t="s">
        <v>7</v>
      </c>
      <c r="L1409" s="199">
        <v>1</v>
      </c>
      <c r="M1409" s="200">
        <v>0.6</v>
      </c>
      <c r="N1409" s="201">
        <v>20</v>
      </c>
    </row>
    <row r="1410" spans="1:14">
      <c r="A1410" s="194">
        <v>41278.717013888891</v>
      </c>
      <c r="B1410" s="195">
        <v>2071</v>
      </c>
      <c r="C1410" s="194"/>
      <c r="D1410" s="194"/>
      <c r="E1410" s="198"/>
      <c r="G1410" s="202"/>
      <c r="J1410" s="195">
        <v>12</v>
      </c>
      <c r="K1410" s="204" t="s">
        <v>7</v>
      </c>
      <c r="L1410" s="199">
        <v>1</v>
      </c>
      <c r="M1410" s="200">
        <v>0.3</v>
      </c>
      <c r="N1410" s="201">
        <v>22</v>
      </c>
    </row>
    <row r="1411" spans="1:14">
      <c r="A1411" s="194">
        <v>41296.406736111108</v>
      </c>
      <c r="B1411" s="195">
        <v>2071</v>
      </c>
      <c r="C1411" s="194"/>
      <c r="D1411" s="194"/>
      <c r="E1411" s="198"/>
      <c r="G1411" s="202"/>
      <c r="J1411" s="195">
        <v>12</v>
      </c>
      <c r="K1411" s="204" t="s">
        <v>7</v>
      </c>
      <c r="L1411" s="199">
        <v>3</v>
      </c>
      <c r="M1411" s="200">
        <v>0.5</v>
      </c>
      <c r="N1411" s="201">
        <v>22</v>
      </c>
    </row>
    <row r="1412" spans="1:14">
      <c r="A1412" s="194">
        <v>41288.714988425927</v>
      </c>
      <c r="B1412" s="195">
        <v>2071</v>
      </c>
      <c r="C1412" s="194"/>
      <c r="D1412" s="194"/>
      <c r="E1412" s="198"/>
      <c r="G1412" s="202"/>
      <c r="J1412" s="195">
        <v>12</v>
      </c>
      <c r="K1412" s="204" t="s">
        <v>7</v>
      </c>
      <c r="L1412" s="199">
        <v>1</v>
      </c>
      <c r="M1412" s="200">
        <v>1</v>
      </c>
      <c r="N1412" s="201">
        <v>22</v>
      </c>
    </row>
    <row r="1413" spans="1:14">
      <c r="A1413" s="194">
        <v>41282.721898148149</v>
      </c>
      <c r="B1413" s="195">
        <v>2071</v>
      </c>
      <c r="C1413" s="194"/>
      <c r="D1413" s="194"/>
      <c r="E1413" s="198"/>
      <c r="G1413" s="202"/>
      <c r="J1413" s="195">
        <v>12</v>
      </c>
      <c r="K1413" s="204" t="s">
        <v>7</v>
      </c>
      <c r="L1413" s="199">
        <v>1</v>
      </c>
      <c r="M1413" s="200">
        <v>1.3</v>
      </c>
      <c r="N1413" s="201">
        <v>22</v>
      </c>
    </row>
    <row r="1414" spans="1:14">
      <c r="A1414" s="194">
        <v>41283.745509259257</v>
      </c>
      <c r="B1414" s="195">
        <v>2071</v>
      </c>
      <c r="C1414" s="194"/>
      <c r="D1414" s="194"/>
      <c r="E1414" s="198"/>
      <c r="G1414" s="202"/>
      <c r="J1414" s="195">
        <v>12</v>
      </c>
      <c r="K1414" s="204" t="s">
        <v>7</v>
      </c>
      <c r="L1414" s="199">
        <v>3</v>
      </c>
      <c r="M1414" s="200">
        <v>0.7</v>
      </c>
      <c r="N1414" s="201">
        <v>24</v>
      </c>
    </row>
    <row r="1415" spans="1:14">
      <c r="A1415" s="194">
        <v>41283.761481481481</v>
      </c>
      <c r="B1415" s="195">
        <v>2071</v>
      </c>
      <c r="C1415" s="194"/>
      <c r="D1415" s="194"/>
      <c r="E1415" s="198"/>
      <c r="G1415" s="202"/>
      <c r="J1415" s="195">
        <v>12</v>
      </c>
      <c r="K1415" s="204" t="s">
        <v>7</v>
      </c>
      <c r="L1415" s="199">
        <v>3</v>
      </c>
      <c r="M1415" s="200">
        <v>0.3</v>
      </c>
      <c r="N1415" s="201">
        <v>25</v>
      </c>
    </row>
    <row r="1416" spans="1:14">
      <c r="A1416" s="194">
        <v>41277.287210648145</v>
      </c>
      <c r="B1416" s="195">
        <v>2071</v>
      </c>
      <c r="C1416" s="194"/>
      <c r="D1416" s="194"/>
      <c r="E1416" s="198"/>
      <c r="G1416" s="202"/>
      <c r="J1416" s="195">
        <v>12</v>
      </c>
      <c r="K1416" s="204" t="s">
        <v>7</v>
      </c>
      <c r="L1416" s="199">
        <v>3</v>
      </c>
      <c r="M1416" s="200">
        <v>0.3</v>
      </c>
      <c r="N1416" s="201">
        <v>25</v>
      </c>
    </row>
    <row r="1417" spans="1:14">
      <c r="A1417" s="194">
        <v>41290.434872685182</v>
      </c>
      <c r="B1417" s="195">
        <v>2071</v>
      </c>
      <c r="C1417" s="194"/>
      <c r="D1417" s="194"/>
      <c r="E1417" s="198"/>
      <c r="G1417" s="202"/>
      <c r="J1417" s="195">
        <v>12</v>
      </c>
      <c r="K1417" s="204" t="s">
        <v>7</v>
      </c>
      <c r="L1417" s="199">
        <v>2</v>
      </c>
      <c r="M1417" s="200">
        <v>0.4</v>
      </c>
      <c r="N1417" s="201">
        <v>25</v>
      </c>
    </row>
    <row r="1418" spans="1:14">
      <c r="A1418" s="194">
        <v>41282.753148148149</v>
      </c>
      <c r="B1418" s="195">
        <v>2071</v>
      </c>
      <c r="C1418" s="194"/>
      <c r="D1418" s="194"/>
      <c r="E1418" s="198"/>
      <c r="G1418" s="202"/>
      <c r="J1418" s="195">
        <v>12</v>
      </c>
      <c r="K1418" s="204" t="s">
        <v>7</v>
      </c>
      <c r="L1418" s="199">
        <v>1</v>
      </c>
      <c r="M1418" s="200">
        <v>0.5</v>
      </c>
      <c r="N1418" s="201">
        <v>25</v>
      </c>
    </row>
    <row r="1419" spans="1:14">
      <c r="A1419" s="194">
        <v>41276.726724537039</v>
      </c>
      <c r="B1419" s="195">
        <v>2071</v>
      </c>
      <c r="C1419" s="194"/>
      <c r="D1419" s="194"/>
      <c r="E1419" s="198"/>
      <c r="G1419" s="202"/>
      <c r="J1419" s="195">
        <v>12</v>
      </c>
      <c r="K1419" s="204" t="s">
        <v>7</v>
      </c>
      <c r="L1419" s="199">
        <v>3</v>
      </c>
      <c r="M1419" s="200">
        <v>0.6</v>
      </c>
      <c r="N1419" s="201">
        <v>25</v>
      </c>
    </row>
    <row r="1420" spans="1:14">
      <c r="A1420" s="194">
        <v>41284.337256944447</v>
      </c>
      <c r="B1420" s="195">
        <v>2071</v>
      </c>
      <c r="C1420" s="194"/>
      <c r="D1420" s="194"/>
      <c r="E1420" s="198"/>
      <c r="G1420" s="202"/>
      <c r="J1420" s="195">
        <v>12</v>
      </c>
      <c r="K1420" s="204" t="s">
        <v>7</v>
      </c>
      <c r="L1420" s="199">
        <v>2</v>
      </c>
      <c r="M1420" s="200">
        <v>1</v>
      </c>
      <c r="N1420" s="201">
        <v>25</v>
      </c>
    </row>
    <row r="1421" spans="1:14">
      <c r="A1421" s="194">
        <v>41301.473067129627</v>
      </c>
      <c r="B1421" s="195">
        <v>2071</v>
      </c>
      <c r="C1421" s="194"/>
      <c r="D1421" s="194"/>
      <c r="E1421" s="198"/>
      <c r="G1421" s="202"/>
      <c r="J1421" s="195">
        <v>12</v>
      </c>
      <c r="K1421" s="204" t="s">
        <v>7</v>
      </c>
      <c r="L1421" s="199">
        <v>1</v>
      </c>
      <c r="M1421" s="200">
        <v>0.4</v>
      </c>
      <c r="N1421" s="201">
        <v>26</v>
      </c>
    </row>
    <row r="1422" spans="1:14">
      <c r="A1422" s="194">
        <v>41303.78628472222</v>
      </c>
      <c r="B1422" s="195">
        <v>2071</v>
      </c>
      <c r="C1422" s="194"/>
      <c r="D1422" s="194"/>
      <c r="E1422" s="198"/>
      <c r="G1422" s="202"/>
      <c r="J1422" s="195">
        <v>12</v>
      </c>
      <c r="K1422" s="204" t="s">
        <v>7</v>
      </c>
      <c r="L1422" s="199">
        <v>3</v>
      </c>
      <c r="M1422" s="200">
        <v>0.7</v>
      </c>
      <c r="N1422" s="201">
        <v>26</v>
      </c>
    </row>
    <row r="1423" spans="1:14">
      <c r="A1423" s="194">
        <v>41297.855706018519</v>
      </c>
      <c r="B1423" s="195">
        <v>2071</v>
      </c>
      <c r="C1423" s="194"/>
      <c r="D1423" s="194"/>
      <c r="E1423" s="198"/>
      <c r="G1423" s="202"/>
      <c r="J1423" s="195">
        <v>12</v>
      </c>
      <c r="K1423" s="204" t="s">
        <v>7</v>
      </c>
      <c r="L1423" s="199">
        <v>3</v>
      </c>
      <c r="M1423" s="200">
        <v>0.9</v>
      </c>
      <c r="N1423" s="201">
        <v>26</v>
      </c>
    </row>
    <row r="1424" spans="1:14">
      <c r="A1424" s="194">
        <v>41288.304652777777</v>
      </c>
      <c r="B1424" s="195">
        <v>2071</v>
      </c>
      <c r="C1424" s="194"/>
      <c r="D1424" s="194"/>
      <c r="E1424" s="198"/>
      <c r="G1424" s="202"/>
      <c r="J1424" s="195">
        <v>12</v>
      </c>
      <c r="K1424" s="204" t="s">
        <v>7</v>
      </c>
      <c r="L1424" s="199">
        <v>3</v>
      </c>
      <c r="M1424" s="200">
        <v>1.8</v>
      </c>
      <c r="N1424" s="201">
        <v>26</v>
      </c>
    </row>
    <row r="1425" spans="1:14">
      <c r="A1425" s="194">
        <v>41305.780717592592</v>
      </c>
      <c r="B1425" s="195">
        <v>2071</v>
      </c>
      <c r="C1425" s="194"/>
      <c r="D1425" s="194"/>
      <c r="E1425" s="198"/>
      <c r="G1425" s="202"/>
      <c r="J1425" s="195">
        <v>12</v>
      </c>
      <c r="K1425" s="204" t="s">
        <v>7</v>
      </c>
      <c r="L1425" s="199">
        <v>3</v>
      </c>
      <c r="M1425" s="200">
        <v>0.4</v>
      </c>
      <c r="N1425" s="201">
        <v>27</v>
      </c>
    </row>
    <row r="1426" spans="1:14">
      <c r="A1426" s="194">
        <v>41299.750416666669</v>
      </c>
      <c r="B1426" s="195">
        <v>2071</v>
      </c>
      <c r="C1426" s="194"/>
      <c r="D1426" s="194"/>
      <c r="E1426" s="198"/>
      <c r="G1426" s="202"/>
      <c r="J1426" s="195">
        <v>12</v>
      </c>
      <c r="K1426" s="204" t="s">
        <v>7</v>
      </c>
      <c r="L1426" s="199">
        <v>3</v>
      </c>
      <c r="M1426" s="200">
        <v>0.4</v>
      </c>
      <c r="N1426" s="201">
        <v>27</v>
      </c>
    </row>
    <row r="1427" spans="1:14">
      <c r="A1427" s="194">
        <v>41296.725416666668</v>
      </c>
      <c r="B1427" s="195">
        <v>2071</v>
      </c>
      <c r="C1427" s="194"/>
      <c r="D1427" s="194"/>
      <c r="E1427" s="198"/>
      <c r="G1427" s="202"/>
      <c r="J1427" s="195">
        <v>12</v>
      </c>
      <c r="K1427" s="204" t="s">
        <v>7</v>
      </c>
      <c r="L1427" s="199">
        <v>1</v>
      </c>
      <c r="M1427" s="200">
        <v>0.5</v>
      </c>
      <c r="N1427" s="201">
        <v>27</v>
      </c>
    </row>
    <row r="1428" spans="1:14">
      <c r="A1428" s="194">
        <v>41304.41300925926</v>
      </c>
      <c r="B1428" s="195">
        <v>2071</v>
      </c>
      <c r="C1428" s="194"/>
      <c r="D1428" s="194"/>
      <c r="E1428" s="198"/>
      <c r="G1428" s="202"/>
      <c r="J1428" s="195">
        <v>12</v>
      </c>
      <c r="K1428" s="204" t="s">
        <v>7</v>
      </c>
      <c r="L1428" s="199">
        <v>1</v>
      </c>
      <c r="M1428" s="200">
        <v>0.8</v>
      </c>
      <c r="N1428" s="201">
        <v>27</v>
      </c>
    </row>
    <row r="1429" spans="1:14">
      <c r="A1429" s="194">
        <v>41277.753113425926</v>
      </c>
      <c r="B1429" s="195">
        <v>2071</v>
      </c>
      <c r="C1429" s="194"/>
      <c r="D1429" s="194"/>
      <c r="E1429" s="198"/>
      <c r="G1429" s="202"/>
      <c r="J1429" s="195">
        <v>12</v>
      </c>
      <c r="K1429" s="204" t="s">
        <v>7</v>
      </c>
      <c r="L1429" s="199">
        <v>2</v>
      </c>
      <c r="M1429" s="200">
        <v>0.3</v>
      </c>
      <c r="N1429" s="201">
        <v>28</v>
      </c>
    </row>
    <row r="1430" spans="1:14">
      <c r="A1430" s="194">
        <v>41284.737187500003</v>
      </c>
      <c r="B1430" s="195">
        <v>2071</v>
      </c>
      <c r="C1430" s="194"/>
      <c r="D1430" s="194"/>
      <c r="E1430" s="198"/>
      <c r="G1430" s="202"/>
      <c r="J1430" s="195">
        <v>12</v>
      </c>
      <c r="K1430" s="204" t="s">
        <v>7</v>
      </c>
      <c r="L1430" s="199">
        <v>3</v>
      </c>
      <c r="M1430" s="200">
        <v>0.4</v>
      </c>
      <c r="N1430" s="201">
        <v>28</v>
      </c>
    </row>
    <row r="1431" spans="1:14">
      <c r="A1431" s="194">
        <v>41276.405960648146</v>
      </c>
      <c r="B1431" s="195">
        <v>2071</v>
      </c>
      <c r="C1431" s="194"/>
      <c r="D1431" s="194"/>
      <c r="E1431" s="198"/>
      <c r="G1431" s="202"/>
      <c r="J1431" s="195">
        <v>12</v>
      </c>
      <c r="K1431" s="204" t="s">
        <v>7</v>
      </c>
      <c r="L1431" s="199">
        <v>2</v>
      </c>
      <c r="M1431" s="200">
        <v>0.5</v>
      </c>
      <c r="N1431" s="201">
        <v>28</v>
      </c>
    </row>
    <row r="1432" spans="1:14">
      <c r="A1432" s="194">
        <v>41286.882071759261</v>
      </c>
      <c r="B1432" s="195">
        <v>2071</v>
      </c>
      <c r="C1432" s="194"/>
      <c r="D1432" s="194"/>
      <c r="E1432" s="198"/>
      <c r="G1432" s="202"/>
      <c r="J1432" s="195">
        <v>12</v>
      </c>
      <c r="K1432" s="204" t="s">
        <v>7</v>
      </c>
      <c r="L1432" s="199">
        <v>3</v>
      </c>
      <c r="M1432" s="200">
        <v>0.6</v>
      </c>
      <c r="N1432" s="201">
        <v>28</v>
      </c>
    </row>
    <row r="1433" spans="1:14">
      <c r="A1433" s="194">
        <v>41279.751469907409</v>
      </c>
      <c r="B1433" s="195">
        <v>2071</v>
      </c>
      <c r="C1433" s="194"/>
      <c r="D1433" s="194"/>
      <c r="E1433" s="198"/>
      <c r="G1433" s="202"/>
      <c r="J1433" s="195">
        <v>12</v>
      </c>
      <c r="K1433" s="204" t="s">
        <v>7</v>
      </c>
      <c r="L1433" s="199">
        <v>2</v>
      </c>
      <c r="M1433" s="200">
        <v>0.5</v>
      </c>
      <c r="N1433" s="201">
        <v>29</v>
      </c>
    </row>
    <row r="1434" spans="1:14">
      <c r="A1434" s="194">
        <v>41291.401180555556</v>
      </c>
      <c r="B1434" s="195">
        <v>2071</v>
      </c>
      <c r="C1434" s="194"/>
      <c r="D1434" s="194"/>
      <c r="E1434" s="198"/>
      <c r="G1434" s="202"/>
      <c r="J1434" s="195">
        <v>12</v>
      </c>
      <c r="K1434" s="204" t="s">
        <v>7</v>
      </c>
      <c r="L1434" s="199">
        <v>2</v>
      </c>
      <c r="M1434" s="200">
        <v>0.6</v>
      </c>
      <c r="N1434" s="201">
        <v>29</v>
      </c>
    </row>
    <row r="1435" spans="1:14">
      <c r="A1435" s="194">
        <v>41302.631678240738</v>
      </c>
      <c r="B1435" s="195">
        <v>2071</v>
      </c>
      <c r="C1435" s="194"/>
      <c r="D1435" s="194"/>
      <c r="E1435" s="196" t="s">
        <v>1805</v>
      </c>
      <c r="G1435" s="202"/>
      <c r="J1435" s="195">
        <v>12</v>
      </c>
      <c r="K1435" s="204" t="s">
        <v>7</v>
      </c>
      <c r="L1435" s="199">
        <v>3</v>
      </c>
      <c r="M1435" s="200">
        <v>0.7</v>
      </c>
      <c r="N1435" s="201">
        <v>29</v>
      </c>
    </row>
    <row r="1436" spans="1:14">
      <c r="A1436" s="194">
        <v>41290.427928240744</v>
      </c>
      <c r="B1436" s="195">
        <v>2071</v>
      </c>
      <c r="C1436" s="194"/>
      <c r="D1436" s="194"/>
      <c r="E1436" s="198"/>
      <c r="G1436" s="202"/>
      <c r="J1436" s="195">
        <v>12</v>
      </c>
      <c r="K1436" s="204" t="s">
        <v>7</v>
      </c>
      <c r="L1436" s="199">
        <v>1</v>
      </c>
      <c r="M1436" s="200">
        <v>0.3</v>
      </c>
      <c r="N1436" s="201">
        <v>30</v>
      </c>
    </row>
    <row r="1437" spans="1:14">
      <c r="A1437" s="194">
        <v>41283.766342592593</v>
      </c>
      <c r="B1437" s="195">
        <v>2071</v>
      </c>
      <c r="C1437" s="194"/>
      <c r="D1437" s="194"/>
      <c r="E1437" s="198"/>
      <c r="G1437" s="202"/>
      <c r="J1437" s="195">
        <v>12</v>
      </c>
      <c r="K1437" s="204" t="s">
        <v>7</v>
      </c>
      <c r="L1437" s="199">
        <v>1</v>
      </c>
      <c r="M1437" s="200">
        <v>0.6</v>
      </c>
      <c r="N1437" s="201">
        <v>30</v>
      </c>
    </row>
    <row r="1438" spans="1:14">
      <c r="A1438" s="194">
        <v>41300.431400462963</v>
      </c>
      <c r="B1438" s="195">
        <v>2071</v>
      </c>
      <c r="C1438" s="194"/>
      <c r="D1438" s="194"/>
      <c r="E1438" s="198"/>
      <c r="G1438" s="202"/>
      <c r="J1438" s="195">
        <v>12</v>
      </c>
      <c r="K1438" s="204" t="s">
        <v>7</v>
      </c>
      <c r="L1438" s="199">
        <v>2</v>
      </c>
      <c r="M1438" s="200">
        <v>0.7</v>
      </c>
      <c r="N1438" s="201">
        <v>30</v>
      </c>
    </row>
    <row r="1439" spans="1:14">
      <c r="A1439" s="194">
        <v>41305.497395833336</v>
      </c>
      <c r="B1439" s="195">
        <v>2071</v>
      </c>
      <c r="C1439" s="194"/>
      <c r="D1439" s="194"/>
      <c r="E1439" s="196" t="s">
        <v>1925</v>
      </c>
      <c r="G1439" s="202"/>
      <c r="J1439" s="195">
        <v>12</v>
      </c>
      <c r="K1439" s="204" t="s">
        <v>7</v>
      </c>
      <c r="L1439" s="199">
        <v>2</v>
      </c>
      <c r="M1439" s="200">
        <v>0.7</v>
      </c>
      <c r="N1439" s="201">
        <v>30</v>
      </c>
    </row>
    <row r="1440" spans="1:14">
      <c r="A1440" s="194">
        <v>41286.78</v>
      </c>
      <c r="B1440" s="195">
        <v>2071</v>
      </c>
      <c r="C1440" s="194"/>
      <c r="D1440" s="194"/>
      <c r="E1440" s="198"/>
      <c r="G1440" s="202"/>
      <c r="J1440" s="195">
        <v>12</v>
      </c>
      <c r="K1440" s="204" t="s">
        <v>7</v>
      </c>
      <c r="L1440" s="199">
        <v>3</v>
      </c>
      <c r="M1440" s="200">
        <v>1.3</v>
      </c>
      <c r="N1440" s="201">
        <v>30</v>
      </c>
    </row>
    <row r="1441" spans="1:14">
      <c r="A1441" s="194">
        <v>41288.746932870374</v>
      </c>
      <c r="B1441" s="195">
        <v>2071</v>
      </c>
      <c r="C1441" s="194"/>
      <c r="D1441" s="194"/>
      <c r="E1441" s="198"/>
      <c r="G1441" s="202"/>
      <c r="J1441" s="195">
        <v>12</v>
      </c>
      <c r="K1441" s="204" t="s">
        <v>7</v>
      </c>
      <c r="L1441" s="199">
        <v>1</v>
      </c>
      <c r="M1441" s="200">
        <v>0.3</v>
      </c>
      <c r="N1441" s="201">
        <v>31</v>
      </c>
    </row>
    <row r="1442" spans="1:14">
      <c r="A1442" s="194">
        <v>41300.850844907407</v>
      </c>
      <c r="B1442" s="195">
        <v>2071</v>
      </c>
      <c r="C1442" s="194"/>
      <c r="D1442" s="194"/>
      <c r="E1442" s="198"/>
      <c r="G1442" s="202"/>
      <c r="J1442" s="195">
        <v>12</v>
      </c>
      <c r="K1442" s="204" t="s">
        <v>7</v>
      </c>
      <c r="L1442" s="199">
        <v>2</v>
      </c>
      <c r="M1442" s="200">
        <v>0.5</v>
      </c>
      <c r="N1442" s="201">
        <v>31</v>
      </c>
    </row>
    <row r="1443" spans="1:14">
      <c r="A1443" s="194">
        <v>41304.778645833336</v>
      </c>
      <c r="B1443" s="195">
        <v>2071</v>
      </c>
      <c r="C1443" s="194"/>
      <c r="D1443" s="194"/>
      <c r="E1443" s="198"/>
      <c r="G1443" s="202"/>
      <c r="J1443" s="195">
        <v>12</v>
      </c>
      <c r="K1443" s="204" t="s">
        <v>7</v>
      </c>
      <c r="L1443" s="199">
        <v>2</v>
      </c>
      <c r="M1443" s="200">
        <v>0.6</v>
      </c>
      <c r="N1443" s="201">
        <v>31</v>
      </c>
    </row>
    <row r="1444" spans="1:14">
      <c r="A1444" s="194">
        <v>41277.910405092596</v>
      </c>
      <c r="B1444" s="195">
        <v>2071</v>
      </c>
      <c r="C1444" s="194"/>
      <c r="D1444" s="194"/>
      <c r="E1444" s="198"/>
      <c r="G1444" s="202"/>
      <c r="J1444" s="195">
        <v>12</v>
      </c>
      <c r="K1444" s="204" t="s">
        <v>7</v>
      </c>
      <c r="L1444" s="199">
        <v>1</v>
      </c>
      <c r="M1444" s="200">
        <v>0.6</v>
      </c>
      <c r="N1444" s="201">
        <v>31</v>
      </c>
    </row>
    <row r="1445" spans="1:14">
      <c r="A1445" s="194">
        <v>41297.808483796296</v>
      </c>
      <c r="B1445" s="195">
        <v>2071</v>
      </c>
      <c r="C1445" s="194"/>
      <c r="D1445" s="194"/>
      <c r="E1445" s="198"/>
      <c r="G1445" s="202"/>
      <c r="J1445" s="195">
        <v>12</v>
      </c>
      <c r="K1445" s="204" t="s">
        <v>7</v>
      </c>
      <c r="L1445" s="199">
        <v>3</v>
      </c>
      <c r="M1445" s="200">
        <v>0.9</v>
      </c>
      <c r="N1445" s="201">
        <v>31</v>
      </c>
    </row>
    <row r="1446" spans="1:14">
      <c r="A1446" s="194">
        <v>41284.735092592593</v>
      </c>
      <c r="B1446" s="195">
        <v>2071</v>
      </c>
      <c r="C1446" s="194"/>
      <c r="D1446" s="194"/>
      <c r="E1446" s="198"/>
      <c r="G1446" s="202"/>
      <c r="J1446" s="195">
        <v>12</v>
      </c>
      <c r="K1446" s="204" t="s">
        <v>7</v>
      </c>
      <c r="L1446" s="199">
        <v>2</v>
      </c>
      <c r="M1446" s="200">
        <v>0.3</v>
      </c>
      <c r="N1446" s="201">
        <v>32</v>
      </c>
    </row>
    <row r="1447" spans="1:14">
      <c r="A1447" s="194">
        <v>41281.707303240742</v>
      </c>
      <c r="B1447" s="195">
        <v>2071</v>
      </c>
      <c r="C1447" s="194"/>
      <c r="D1447" s="194"/>
      <c r="E1447" s="198"/>
      <c r="G1447" s="202"/>
      <c r="J1447" s="195">
        <v>12</v>
      </c>
      <c r="K1447" s="204" t="s">
        <v>7</v>
      </c>
      <c r="L1447" s="199">
        <v>3</v>
      </c>
      <c r="M1447" s="200">
        <v>0.4</v>
      </c>
      <c r="N1447" s="201">
        <v>32</v>
      </c>
    </row>
    <row r="1448" spans="1:14">
      <c r="A1448" s="194">
        <v>41286.907071759262</v>
      </c>
      <c r="B1448" s="195">
        <v>2071</v>
      </c>
      <c r="C1448" s="194"/>
      <c r="D1448" s="194"/>
      <c r="E1448" s="198"/>
      <c r="G1448" s="202"/>
      <c r="J1448" s="195">
        <v>12</v>
      </c>
      <c r="K1448" s="204" t="s">
        <v>7</v>
      </c>
      <c r="L1448" s="199">
        <v>3</v>
      </c>
      <c r="M1448" s="200">
        <v>0.5</v>
      </c>
      <c r="N1448" s="201">
        <v>32</v>
      </c>
    </row>
    <row r="1449" spans="1:14">
      <c r="A1449" s="194">
        <v>41300.800162037034</v>
      </c>
      <c r="B1449" s="195">
        <v>2071</v>
      </c>
      <c r="C1449" s="194"/>
      <c r="D1449" s="194"/>
      <c r="E1449" s="198"/>
      <c r="G1449" s="202"/>
      <c r="J1449" s="195">
        <v>12</v>
      </c>
      <c r="K1449" s="204" t="s">
        <v>7</v>
      </c>
      <c r="L1449" s="199">
        <v>3</v>
      </c>
      <c r="M1449" s="200">
        <v>0.8</v>
      </c>
      <c r="N1449" s="201">
        <v>32</v>
      </c>
    </row>
    <row r="1450" spans="1:14">
      <c r="A1450" s="194">
        <v>41282.273344907408</v>
      </c>
      <c r="B1450" s="195">
        <v>2071</v>
      </c>
      <c r="C1450" s="194"/>
      <c r="D1450" s="194"/>
      <c r="E1450" s="198"/>
      <c r="G1450" s="202"/>
      <c r="J1450" s="195">
        <v>12</v>
      </c>
      <c r="K1450" s="204" t="s">
        <v>7</v>
      </c>
      <c r="L1450" s="199">
        <v>2</v>
      </c>
      <c r="M1450" s="200">
        <v>0.4</v>
      </c>
      <c r="N1450" s="201">
        <v>33</v>
      </c>
    </row>
    <row r="1451" spans="1:14">
      <c r="A1451" s="194">
        <v>41285.758715277778</v>
      </c>
      <c r="B1451" s="195">
        <v>2071</v>
      </c>
      <c r="C1451" s="194"/>
      <c r="D1451" s="194"/>
      <c r="E1451" s="198"/>
      <c r="G1451" s="202"/>
      <c r="J1451" s="195">
        <v>12</v>
      </c>
      <c r="K1451" s="204" t="s">
        <v>7</v>
      </c>
      <c r="L1451" s="199">
        <v>3</v>
      </c>
      <c r="M1451" s="200">
        <v>0.5</v>
      </c>
      <c r="N1451" s="201">
        <v>33</v>
      </c>
    </row>
    <row r="1452" spans="1:14">
      <c r="A1452" s="194">
        <v>41305.856678240743</v>
      </c>
      <c r="B1452" s="195">
        <v>2071</v>
      </c>
      <c r="C1452" s="194"/>
      <c r="D1452" s="194"/>
      <c r="E1452" s="198"/>
      <c r="G1452" s="202"/>
      <c r="J1452" s="195">
        <v>12</v>
      </c>
      <c r="K1452" s="204" t="s">
        <v>7</v>
      </c>
      <c r="L1452" s="199">
        <v>3</v>
      </c>
      <c r="M1452" s="200">
        <v>0.8</v>
      </c>
      <c r="N1452" s="201">
        <v>33</v>
      </c>
    </row>
    <row r="1453" spans="1:14">
      <c r="A1453" s="194">
        <v>41276.377500000002</v>
      </c>
      <c r="B1453" s="195">
        <v>2071</v>
      </c>
      <c r="C1453" s="194"/>
      <c r="D1453" s="194"/>
      <c r="E1453" s="198"/>
      <c r="G1453" s="202"/>
      <c r="J1453" s="195">
        <v>12</v>
      </c>
      <c r="K1453" s="204" t="s">
        <v>7</v>
      </c>
      <c r="L1453" s="199">
        <v>2</v>
      </c>
      <c r="M1453" s="200">
        <v>1.1000000000000001</v>
      </c>
      <c r="N1453" s="201">
        <v>33</v>
      </c>
    </row>
    <row r="1454" spans="1:14">
      <c r="A1454" s="194">
        <v>41300.93209490741</v>
      </c>
      <c r="B1454" s="195">
        <v>2071</v>
      </c>
      <c r="C1454" s="194"/>
      <c r="D1454" s="194"/>
      <c r="E1454" s="198"/>
      <c r="G1454" s="202"/>
      <c r="J1454" s="195">
        <v>12</v>
      </c>
      <c r="K1454" s="204" t="s">
        <v>7</v>
      </c>
      <c r="L1454" s="199">
        <v>3</v>
      </c>
      <c r="M1454" s="200">
        <v>0.3</v>
      </c>
      <c r="N1454" s="201">
        <v>34</v>
      </c>
    </row>
    <row r="1455" spans="1:14">
      <c r="A1455" s="194">
        <v>41299.870289351849</v>
      </c>
      <c r="B1455" s="195">
        <v>2071</v>
      </c>
      <c r="C1455" s="194"/>
      <c r="D1455" s="194"/>
      <c r="E1455" s="198"/>
      <c r="G1455" s="202"/>
      <c r="J1455" s="195">
        <v>12</v>
      </c>
      <c r="K1455" s="204" t="s">
        <v>7</v>
      </c>
      <c r="L1455" s="199">
        <v>3</v>
      </c>
      <c r="M1455" s="200">
        <v>0.7</v>
      </c>
      <c r="N1455" s="201">
        <v>34</v>
      </c>
    </row>
    <row r="1456" spans="1:14">
      <c r="A1456" s="194">
        <v>41285.822337962964</v>
      </c>
      <c r="B1456" s="195">
        <v>2071</v>
      </c>
      <c r="C1456" s="194"/>
      <c r="D1456" s="194"/>
      <c r="E1456" s="198"/>
      <c r="G1456" s="202"/>
      <c r="J1456" s="195">
        <v>12</v>
      </c>
      <c r="K1456" s="204" t="s">
        <v>7</v>
      </c>
      <c r="L1456" s="199">
        <v>2</v>
      </c>
      <c r="M1456" s="200">
        <v>0.3</v>
      </c>
      <c r="N1456" s="201">
        <v>35</v>
      </c>
    </row>
    <row r="1457" spans="1:14">
      <c r="A1457" s="194">
        <v>41284.720509259256</v>
      </c>
      <c r="B1457" s="195">
        <v>2071</v>
      </c>
      <c r="C1457" s="194"/>
      <c r="D1457" s="194"/>
      <c r="E1457" s="198"/>
      <c r="G1457" s="202"/>
      <c r="J1457" s="195">
        <v>12</v>
      </c>
      <c r="K1457" s="204" t="s">
        <v>7</v>
      </c>
      <c r="L1457" s="199">
        <v>3</v>
      </c>
      <c r="M1457" s="200">
        <v>0.4</v>
      </c>
      <c r="N1457" s="201">
        <v>35</v>
      </c>
    </row>
    <row r="1458" spans="1:14">
      <c r="A1458" s="194">
        <v>41300.839733796296</v>
      </c>
      <c r="B1458" s="195">
        <v>2071</v>
      </c>
      <c r="C1458" s="194"/>
      <c r="D1458" s="194"/>
      <c r="E1458" s="198"/>
      <c r="G1458" s="202"/>
      <c r="J1458" s="195">
        <v>12</v>
      </c>
      <c r="K1458" s="204" t="s">
        <v>7</v>
      </c>
      <c r="L1458" s="199">
        <v>2</v>
      </c>
      <c r="M1458" s="200">
        <v>0.4</v>
      </c>
      <c r="N1458" s="201">
        <v>36</v>
      </c>
    </row>
    <row r="1459" spans="1:14">
      <c r="A1459" s="194">
        <v>41299.807789351849</v>
      </c>
      <c r="B1459" s="195">
        <v>2071</v>
      </c>
      <c r="C1459" s="194"/>
      <c r="D1459" s="194"/>
      <c r="E1459" s="198"/>
      <c r="G1459" s="202"/>
      <c r="J1459" s="195">
        <v>12</v>
      </c>
      <c r="K1459" s="204" t="s">
        <v>7</v>
      </c>
      <c r="L1459" s="199">
        <v>3</v>
      </c>
      <c r="M1459" s="200">
        <v>0.7</v>
      </c>
      <c r="N1459" s="201">
        <v>36</v>
      </c>
    </row>
    <row r="1460" spans="1:14">
      <c r="A1460" s="194">
        <v>41299.832800925928</v>
      </c>
      <c r="B1460" s="195">
        <v>2071</v>
      </c>
      <c r="C1460" s="194"/>
      <c r="D1460" s="194"/>
      <c r="E1460" s="198"/>
      <c r="G1460" s="202"/>
      <c r="J1460" s="195">
        <v>12</v>
      </c>
      <c r="K1460" s="204" t="s">
        <v>7</v>
      </c>
      <c r="L1460" s="199">
        <v>3</v>
      </c>
      <c r="M1460" s="200">
        <v>1.2</v>
      </c>
      <c r="N1460" s="201">
        <v>36</v>
      </c>
    </row>
    <row r="1461" spans="1:14">
      <c r="A1461" s="194">
        <v>41275.268460648149</v>
      </c>
      <c r="B1461" s="195">
        <v>2071</v>
      </c>
      <c r="C1461" s="194"/>
      <c r="D1461" s="194"/>
      <c r="E1461" s="198"/>
      <c r="G1461" s="202"/>
      <c r="J1461" s="195">
        <v>12</v>
      </c>
      <c r="K1461" s="204" t="s">
        <v>7</v>
      </c>
      <c r="L1461" s="199">
        <v>1</v>
      </c>
      <c r="M1461" s="200">
        <v>1.5</v>
      </c>
      <c r="N1461" s="201">
        <v>36</v>
      </c>
    </row>
    <row r="1462" spans="1:14">
      <c r="A1462" s="194">
        <v>41289.285891203705</v>
      </c>
      <c r="B1462" s="195">
        <v>2071</v>
      </c>
      <c r="C1462" s="194"/>
      <c r="D1462" s="194"/>
      <c r="E1462" s="198"/>
      <c r="G1462" s="202"/>
      <c r="J1462" s="195">
        <v>12</v>
      </c>
      <c r="K1462" s="204" t="s">
        <v>7</v>
      </c>
      <c r="L1462" s="199">
        <v>1</v>
      </c>
      <c r="M1462" s="200">
        <v>0.4</v>
      </c>
      <c r="N1462" s="201">
        <v>37</v>
      </c>
    </row>
    <row r="1463" spans="1:14">
      <c r="A1463" s="194">
        <v>41283.79315972222</v>
      </c>
      <c r="B1463" s="195">
        <v>2071</v>
      </c>
      <c r="C1463" s="194"/>
      <c r="D1463" s="194"/>
      <c r="E1463" s="198"/>
      <c r="G1463" s="202"/>
      <c r="J1463" s="195">
        <v>12</v>
      </c>
      <c r="K1463" s="204" t="s">
        <v>7</v>
      </c>
      <c r="L1463" s="199">
        <v>3</v>
      </c>
      <c r="M1463" s="200">
        <v>0.5</v>
      </c>
      <c r="N1463" s="201">
        <v>37</v>
      </c>
    </row>
    <row r="1464" spans="1:14">
      <c r="A1464" s="194">
        <v>41284.900891203702</v>
      </c>
      <c r="B1464" s="195">
        <v>2071</v>
      </c>
      <c r="C1464" s="194"/>
      <c r="D1464" s="194"/>
      <c r="E1464" s="198"/>
      <c r="G1464" s="202"/>
      <c r="J1464" s="195">
        <v>12</v>
      </c>
      <c r="K1464" s="204" t="s">
        <v>7</v>
      </c>
      <c r="L1464" s="199">
        <v>1</v>
      </c>
      <c r="M1464" s="200">
        <v>0.8</v>
      </c>
      <c r="N1464" s="201">
        <v>37</v>
      </c>
    </row>
    <row r="1465" spans="1:14">
      <c r="A1465" s="194">
        <v>41289.817523148151</v>
      </c>
      <c r="B1465" s="195">
        <v>2071</v>
      </c>
      <c r="C1465" s="194"/>
      <c r="D1465" s="194"/>
      <c r="E1465" s="198"/>
      <c r="G1465" s="202"/>
      <c r="J1465" s="195">
        <v>12</v>
      </c>
      <c r="K1465" s="204" t="s">
        <v>7</v>
      </c>
      <c r="L1465" s="199">
        <v>3</v>
      </c>
      <c r="M1465" s="200">
        <v>1.5</v>
      </c>
      <c r="N1465" s="201">
        <v>37</v>
      </c>
    </row>
    <row r="1466" spans="1:14">
      <c r="A1466" s="194">
        <v>41285.705937500003</v>
      </c>
      <c r="B1466" s="195">
        <v>2071</v>
      </c>
      <c r="C1466" s="194"/>
      <c r="D1466" s="194"/>
      <c r="E1466" s="198"/>
      <c r="G1466" s="202"/>
      <c r="J1466" s="195">
        <v>12</v>
      </c>
      <c r="K1466" s="204" t="s">
        <v>7</v>
      </c>
      <c r="L1466" s="199">
        <v>3</v>
      </c>
      <c r="M1466" s="200">
        <v>0.3</v>
      </c>
      <c r="N1466" s="201">
        <v>38</v>
      </c>
    </row>
    <row r="1467" spans="1:14">
      <c r="A1467" s="194">
        <v>41288.274780092594</v>
      </c>
      <c r="B1467" s="195">
        <v>2071</v>
      </c>
      <c r="C1467" s="194"/>
      <c r="D1467" s="194"/>
      <c r="E1467" s="198"/>
      <c r="G1467" s="202"/>
      <c r="J1467" s="195">
        <v>12</v>
      </c>
      <c r="K1467" s="204" t="s">
        <v>7</v>
      </c>
      <c r="L1467" s="199">
        <v>2</v>
      </c>
      <c r="M1467" s="200">
        <v>0.5</v>
      </c>
      <c r="N1467" s="201">
        <v>38</v>
      </c>
    </row>
    <row r="1468" spans="1:14">
      <c r="A1468" s="194">
        <v>41301.512662037036</v>
      </c>
      <c r="B1468" s="195">
        <v>2071</v>
      </c>
      <c r="C1468" s="194"/>
      <c r="D1468" s="194"/>
      <c r="E1468" s="198"/>
      <c r="G1468" s="202"/>
      <c r="J1468" s="195">
        <v>12</v>
      </c>
      <c r="K1468" s="204" t="s">
        <v>7</v>
      </c>
      <c r="L1468" s="199">
        <v>2</v>
      </c>
      <c r="M1468" s="200">
        <v>0.7</v>
      </c>
      <c r="N1468" s="201">
        <v>38</v>
      </c>
    </row>
    <row r="1469" spans="1:14">
      <c r="A1469" s="194">
        <v>41285.768437500003</v>
      </c>
      <c r="B1469" s="195">
        <v>2071</v>
      </c>
      <c r="C1469" s="194"/>
      <c r="D1469" s="194"/>
      <c r="E1469" s="198"/>
      <c r="G1469" s="202"/>
      <c r="J1469" s="195">
        <v>12</v>
      </c>
      <c r="K1469" s="204" t="s">
        <v>7</v>
      </c>
      <c r="L1469" s="199">
        <v>3</v>
      </c>
      <c r="M1469" s="200">
        <v>0.6</v>
      </c>
      <c r="N1469" s="201">
        <v>39</v>
      </c>
    </row>
    <row r="1470" spans="1:14">
      <c r="A1470" s="194">
        <v>41287.850138888891</v>
      </c>
      <c r="B1470" s="195">
        <v>2071</v>
      </c>
      <c r="C1470" s="194"/>
      <c r="D1470" s="194"/>
      <c r="E1470" s="198"/>
      <c r="G1470" s="202"/>
      <c r="J1470" s="195">
        <v>12</v>
      </c>
      <c r="K1470" s="204" t="s">
        <v>7</v>
      </c>
      <c r="L1470" s="199">
        <v>3</v>
      </c>
      <c r="M1470" s="200">
        <v>0.5</v>
      </c>
      <c r="N1470" s="201">
        <v>40</v>
      </c>
    </row>
    <row r="1471" spans="1:14">
      <c r="A1471" s="194">
        <v>41284.961655092593</v>
      </c>
      <c r="B1471" s="195">
        <v>2071</v>
      </c>
      <c r="C1471" s="194"/>
      <c r="D1471" s="194"/>
      <c r="E1471" s="198"/>
      <c r="G1471" s="202"/>
      <c r="J1471" s="195">
        <v>12</v>
      </c>
      <c r="K1471" s="204" t="s">
        <v>7</v>
      </c>
      <c r="L1471" s="199">
        <v>3</v>
      </c>
      <c r="M1471" s="200">
        <v>0.7</v>
      </c>
      <c r="N1471" s="201">
        <v>40</v>
      </c>
    </row>
    <row r="1472" spans="1:14">
      <c r="A1472" s="194">
        <v>41301.732106481482</v>
      </c>
      <c r="B1472" s="195">
        <v>2071</v>
      </c>
      <c r="C1472" s="194"/>
      <c r="D1472" s="194"/>
      <c r="E1472" s="198"/>
      <c r="G1472" s="202"/>
      <c r="J1472" s="195">
        <v>12</v>
      </c>
      <c r="K1472" s="204" t="s">
        <v>7</v>
      </c>
      <c r="L1472" s="199">
        <v>3</v>
      </c>
      <c r="M1472" s="200">
        <v>0.5</v>
      </c>
      <c r="N1472" s="201">
        <v>41</v>
      </c>
    </row>
    <row r="1473" spans="1:14">
      <c r="A1473" s="194">
        <v>41300.872372685182</v>
      </c>
      <c r="B1473" s="195">
        <v>2071</v>
      </c>
      <c r="C1473" s="194"/>
      <c r="D1473" s="194"/>
      <c r="E1473" s="198"/>
      <c r="G1473" s="202"/>
      <c r="J1473" s="195">
        <v>12</v>
      </c>
      <c r="K1473" s="204" t="s">
        <v>7</v>
      </c>
      <c r="L1473" s="199">
        <v>3</v>
      </c>
      <c r="M1473" s="200">
        <v>0.6</v>
      </c>
      <c r="N1473" s="201">
        <v>42</v>
      </c>
    </row>
    <row r="1474" spans="1:14">
      <c r="A1474" s="194">
        <v>41290.267152777778</v>
      </c>
      <c r="B1474" s="195">
        <v>2071</v>
      </c>
      <c r="C1474" s="194"/>
      <c r="D1474" s="194"/>
      <c r="E1474" s="198"/>
      <c r="G1474" s="202"/>
      <c r="J1474" s="195">
        <v>12</v>
      </c>
      <c r="K1474" s="204" t="s">
        <v>7</v>
      </c>
      <c r="L1474" s="199">
        <v>2</v>
      </c>
      <c r="M1474" s="200">
        <v>0.4</v>
      </c>
      <c r="N1474" s="201">
        <v>43</v>
      </c>
    </row>
    <row r="1475" spans="1:14">
      <c r="A1475" s="194">
        <v>41282.143159722225</v>
      </c>
      <c r="B1475" s="195">
        <v>2071</v>
      </c>
      <c r="C1475" s="194"/>
      <c r="D1475" s="194"/>
      <c r="E1475" s="198"/>
      <c r="G1475" s="202"/>
      <c r="J1475" s="195">
        <v>12</v>
      </c>
      <c r="K1475" s="204" t="s">
        <v>7</v>
      </c>
      <c r="L1475" s="199">
        <v>3</v>
      </c>
      <c r="M1475" s="200">
        <v>0.5</v>
      </c>
      <c r="N1475" s="201">
        <v>45</v>
      </c>
    </row>
    <row r="1476" spans="1:14">
      <c r="A1476" s="194">
        <v>41302.366469907407</v>
      </c>
      <c r="B1476" s="195">
        <v>2071</v>
      </c>
      <c r="C1476" s="194"/>
      <c r="D1476" s="194"/>
      <c r="E1476" s="198"/>
      <c r="G1476" s="202"/>
      <c r="J1476" s="195">
        <v>14</v>
      </c>
      <c r="K1476" s="204" t="s">
        <v>2</v>
      </c>
      <c r="L1476" s="199">
        <v>1</v>
      </c>
      <c r="M1476" s="200">
        <v>0.4</v>
      </c>
      <c r="N1476" s="201">
        <v>28</v>
      </c>
    </row>
    <row r="1477" spans="1:14">
      <c r="A1477" s="194">
        <v>41303.491828703707</v>
      </c>
      <c r="B1477" s="195">
        <v>2071</v>
      </c>
      <c r="C1477" s="194"/>
      <c r="D1477" s="194"/>
      <c r="E1477" s="198"/>
      <c r="G1477" s="202"/>
      <c r="J1477" s="195">
        <v>14</v>
      </c>
      <c r="K1477" s="204" t="s">
        <v>2</v>
      </c>
      <c r="L1477" s="199">
        <v>1</v>
      </c>
      <c r="M1477" s="200">
        <v>0.4</v>
      </c>
      <c r="N1477" s="201">
        <v>32</v>
      </c>
    </row>
    <row r="1478" spans="1:14">
      <c r="A1478" s="194">
        <v>41288.390763888892</v>
      </c>
      <c r="B1478" s="195">
        <v>2071</v>
      </c>
      <c r="C1478" s="194"/>
      <c r="D1478" s="194"/>
      <c r="E1478" s="198"/>
      <c r="G1478" s="202"/>
      <c r="J1478" s="195">
        <v>15</v>
      </c>
      <c r="K1478" s="204" t="s">
        <v>4</v>
      </c>
      <c r="L1478" s="199">
        <v>3</v>
      </c>
      <c r="M1478" s="200">
        <v>1.4</v>
      </c>
      <c r="N1478" s="201">
        <v>18</v>
      </c>
    </row>
    <row r="1479" spans="1:14">
      <c r="A1479" s="194">
        <v>41291.528622685182</v>
      </c>
      <c r="B1479" s="195">
        <v>2071</v>
      </c>
      <c r="C1479" s="194"/>
      <c r="D1479" s="194"/>
      <c r="E1479" s="198"/>
      <c r="G1479" s="202"/>
      <c r="J1479" s="195">
        <v>15</v>
      </c>
      <c r="K1479" s="204" t="s">
        <v>4</v>
      </c>
      <c r="L1479" s="199">
        <v>1</v>
      </c>
      <c r="M1479" s="200">
        <v>0.4</v>
      </c>
      <c r="N1479" s="201">
        <v>19</v>
      </c>
    </row>
    <row r="1480" spans="1:14">
      <c r="A1480" s="194">
        <v>41303.362997685188</v>
      </c>
      <c r="B1480" s="195">
        <v>2071</v>
      </c>
      <c r="C1480" s="194"/>
      <c r="D1480" s="194"/>
      <c r="E1480" s="198"/>
      <c r="G1480" s="202"/>
      <c r="J1480" s="195">
        <v>15</v>
      </c>
      <c r="K1480" s="204" t="s">
        <v>4</v>
      </c>
      <c r="L1480" s="199">
        <v>3</v>
      </c>
      <c r="M1480" s="200">
        <v>0.8</v>
      </c>
      <c r="N1480" s="201">
        <v>21</v>
      </c>
    </row>
    <row r="1481" spans="1:14">
      <c r="A1481" s="194">
        <v>41277.432025462964</v>
      </c>
      <c r="B1481" s="195">
        <v>2071</v>
      </c>
      <c r="C1481" s="194"/>
      <c r="D1481" s="194"/>
      <c r="E1481" s="198"/>
      <c r="G1481" s="202"/>
      <c r="J1481" s="195">
        <v>15</v>
      </c>
      <c r="K1481" s="204" t="s">
        <v>4</v>
      </c>
      <c r="L1481" s="199">
        <v>3</v>
      </c>
      <c r="M1481" s="200">
        <v>0.8</v>
      </c>
      <c r="N1481" s="201">
        <v>22</v>
      </c>
    </row>
    <row r="1482" spans="1:14">
      <c r="A1482" s="194">
        <v>41291.411597222221</v>
      </c>
      <c r="B1482" s="195">
        <v>2071</v>
      </c>
      <c r="C1482" s="194"/>
      <c r="D1482" s="194"/>
      <c r="E1482" s="198"/>
      <c r="G1482" s="202"/>
      <c r="J1482" s="195">
        <v>15</v>
      </c>
      <c r="K1482" s="204" t="s">
        <v>4</v>
      </c>
      <c r="L1482" s="199">
        <v>3</v>
      </c>
      <c r="M1482" s="200">
        <v>0.6</v>
      </c>
      <c r="N1482" s="201">
        <v>25</v>
      </c>
    </row>
    <row r="1483" spans="1:14">
      <c r="A1483" s="194">
        <v>41300.646678240744</v>
      </c>
      <c r="B1483" s="195">
        <v>2071</v>
      </c>
      <c r="C1483" s="194"/>
      <c r="D1483" s="194"/>
      <c r="E1483" s="198"/>
      <c r="G1483" s="202"/>
      <c r="J1483" s="195">
        <v>15</v>
      </c>
      <c r="K1483" s="204" t="s">
        <v>4</v>
      </c>
      <c r="L1483" s="199">
        <v>1</v>
      </c>
      <c r="M1483" s="200">
        <v>0.5</v>
      </c>
      <c r="N1483" s="201">
        <v>27</v>
      </c>
    </row>
    <row r="1484" spans="1:14">
      <c r="A1484" s="194">
        <v>41278.358749999999</v>
      </c>
      <c r="B1484" s="195">
        <v>2071</v>
      </c>
      <c r="C1484" s="194"/>
      <c r="D1484" s="194"/>
      <c r="E1484" s="198"/>
      <c r="G1484" s="202"/>
      <c r="J1484" s="195">
        <v>15</v>
      </c>
      <c r="K1484" s="204" t="s">
        <v>4</v>
      </c>
      <c r="L1484" s="199">
        <v>1</v>
      </c>
      <c r="M1484" s="200">
        <v>0.7</v>
      </c>
      <c r="N1484" s="201">
        <v>28</v>
      </c>
    </row>
    <row r="1485" spans="1:14">
      <c r="A1485" s="194">
        <v>41283.701793981483</v>
      </c>
      <c r="B1485" s="195">
        <v>2071</v>
      </c>
      <c r="C1485" s="194"/>
      <c r="D1485" s="194"/>
      <c r="E1485" s="198"/>
      <c r="G1485" s="202"/>
      <c r="J1485" s="195">
        <v>17</v>
      </c>
      <c r="K1485" s="204" t="s">
        <v>11</v>
      </c>
      <c r="L1485" s="199">
        <v>1</v>
      </c>
      <c r="M1485" s="200">
        <v>3.5</v>
      </c>
      <c r="N1485" s="201">
        <v>0</v>
      </c>
    </row>
    <row r="1486" spans="1:14">
      <c r="A1486" s="194">
        <v>41284.489699074074</v>
      </c>
      <c r="B1486" s="195">
        <v>2071</v>
      </c>
      <c r="C1486" s="194"/>
      <c r="D1486" s="194"/>
      <c r="E1486" s="198"/>
      <c r="G1486" s="202"/>
      <c r="J1486" s="195">
        <v>17</v>
      </c>
      <c r="K1486" s="204" t="s">
        <v>11</v>
      </c>
      <c r="L1486" s="199">
        <v>2</v>
      </c>
      <c r="M1486" s="200">
        <v>0.8</v>
      </c>
      <c r="N1486" s="201">
        <v>16</v>
      </c>
    </row>
    <row r="1487" spans="1:14">
      <c r="A1487" s="194">
        <v>41299.081747685188</v>
      </c>
      <c r="B1487" s="195">
        <v>2071</v>
      </c>
      <c r="C1487" s="194"/>
      <c r="D1487" s="194"/>
      <c r="E1487" s="198"/>
      <c r="G1487" s="202"/>
      <c r="J1487" s="195">
        <v>17</v>
      </c>
      <c r="K1487" s="204" t="s">
        <v>11</v>
      </c>
      <c r="L1487" s="199">
        <v>1</v>
      </c>
      <c r="M1487" s="200">
        <v>29.7</v>
      </c>
      <c r="N1487" s="201">
        <v>16</v>
      </c>
    </row>
    <row r="1488" spans="1:14">
      <c r="A1488" s="194">
        <v>41299.852581018517</v>
      </c>
      <c r="B1488" s="195">
        <v>2071</v>
      </c>
      <c r="C1488" s="194"/>
      <c r="D1488" s="194"/>
      <c r="E1488" s="198"/>
      <c r="G1488" s="202"/>
      <c r="J1488" s="195">
        <v>17</v>
      </c>
      <c r="K1488" s="204" t="s">
        <v>11</v>
      </c>
      <c r="L1488" s="199">
        <v>1</v>
      </c>
      <c r="M1488" s="200">
        <v>30.7</v>
      </c>
      <c r="N1488" s="201">
        <v>16</v>
      </c>
    </row>
    <row r="1489" spans="1:14">
      <c r="A1489" s="194">
        <v>41286.896655092591</v>
      </c>
      <c r="B1489" s="195">
        <v>2071</v>
      </c>
      <c r="C1489" s="194"/>
      <c r="D1489" s="194"/>
      <c r="E1489" s="198"/>
      <c r="G1489" s="202"/>
      <c r="J1489" s="195">
        <v>17</v>
      </c>
      <c r="K1489" s="204" t="s">
        <v>11</v>
      </c>
      <c r="L1489" s="199">
        <v>3</v>
      </c>
      <c r="M1489" s="200">
        <v>0.4</v>
      </c>
      <c r="N1489" s="201">
        <v>17</v>
      </c>
    </row>
    <row r="1490" spans="1:14">
      <c r="A1490" s="194">
        <v>41299.333124999997</v>
      </c>
      <c r="B1490" s="195">
        <v>2071</v>
      </c>
      <c r="C1490" s="194"/>
      <c r="D1490" s="194"/>
      <c r="E1490" s="198"/>
      <c r="G1490" s="202"/>
      <c r="J1490" s="195">
        <v>17</v>
      </c>
      <c r="K1490" s="204" t="s">
        <v>11</v>
      </c>
      <c r="L1490" s="199">
        <v>2</v>
      </c>
      <c r="M1490" s="200">
        <v>0.5</v>
      </c>
      <c r="N1490" s="201">
        <v>17</v>
      </c>
    </row>
    <row r="1491" spans="1:14">
      <c r="A1491" s="194">
        <v>41289.214039351849</v>
      </c>
      <c r="B1491" s="195">
        <v>2071</v>
      </c>
      <c r="C1491" s="194"/>
      <c r="D1491" s="194"/>
      <c r="E1491" s="198"/>
      <c r="G1491" s="202"/>
      <c r="J1491" s="195">
        <v>17</v>
      </c>
      <c r="K1491" s="204" t="s">
        <v>11</v>
      </c>
      <c r="L1491" s="199">
        <v>1</v>
      </c>
      <c r="M1491" s="200">
        <v>1.2</v>
      </c>
      <c r="N1491" s="201">
        <v>17</v>
      </c>
    </row>
    <row r="1492" spans="1:14">
      <c r="A1492" s="194">
        <v>41284.420960648145</v>
      </c>
      <c r="B1492" s="195">
        <v>2071</v>
      </c>
      <c r="C1492" s="194"/>
      <c r="D1492" s="194"/>
      <c r="E1492" s="198"/>
      <c r="G1492" s="202"/>
      <c r="J1492" s="195">
        <v>17</v>
      </c>
      <c r="K1492" s="204" t="s">
        <v>11</v>
      </c>
      <c r="L1492" s="199">
        <v>2</v>
      </c>
      <c r="M1492" s="200">
        <v>1.9</v>
      </c>
      <c r="N1492" s="201">
        <v>17</v>
      </c>
    </row>
    <row r="1493" spans="1:14">
      <c r="A1493" s="194">
        <v>41278.237916666665</v>
      </c>
      <c r="B1493" s="195">
        <v>2071</v>
      </c>
      <c r="C1493" s="194"/>
      <c r="D1493" s="194"/>
      <c r="E1493" s="198"/>
      <c r="G1493" s="202"/>
      <c r="J1493" s="195">
        <v>17</v>
      </c>
      <c r="K1493" s="204" t="s">
        <v>11</v>
      </c>
      <c r="L1493" s="199">
        <v>1</v>
      </c>
      <c r="M1493" s="200">
        <v>30.1</v>
      </c>
      <c r="N1493" s="201">
        <v>17</v>
      </c>
    </row>
    <row r="1494" spans="1:14">
      <c r="A1494" s="194">
        <v>41277.960370370369</v>
      </c>
      <c r="B1494" s="195">
        <v>2071</v>
      </c>
      <c r="C1494" s="194"/>
      <c r="D1494" s="194"/>
      <c r="E1494" s="198"/>
      <c r="G1494" s="202"/>
      <c r="J1494" s="195">
        <v>17</v>
      </c>
      <c r="K1494" s="204" t="s">
        <v>11</v>
      </c>
      <c r="L1494" s="199">
        <v>2</v>
      </c>
      <c r="M1494" s="200">
        <v>42.6</v>
      </c>
      <c r="N1494" s="201">
        <v>17</v>
      </c>
    </row>
    <row r="1495" spans="1:14">
      <c r="A1495" s="194">
        <v>41305.744884259257</v>
      </c>
      <c r="B1495" s="195">
        <v>2071</v>
      </c>
      <c r="C1495" s="194"/>
      <c r="D1495" s="194"/>
      <c r="E1495" s="198"/>
      <c r="G1495" s="202"/>
      <c r="J1495" s="195">
        <v>17</v>
      </c>
      <c r="K1495" s="204" t="s">
        <v>11</v>
      </c>
      <c r="L1495" s="199">
        <v>1</v>
      </c>
      <c r="M1495" s="200">
        <v>0.7</v>
      </c>
      <c r="N1495" s="201">
        <v>19</v>
      </c>
    </row>
    <row r="1496" spans="1:14">
      <c r="A1496" s="194">
        <v>41277.089849537035</v>
      </c>
      <c r="B1496" s="195">
        <v>2071</v>
      </c>
      <c r="C1496" s="194"/>
      <c r="D1496" s="194"/>
      <c r="E1496" s="198"/>
      <c r="G1496" s="202"/>
      <c r="J1496" s="195">
        <v>17</v>
      </c>
      <c r="K1496" s="204" t="s">
        <v>11</v>
      </c>
      <c r="L1496" s="199">
        <v>3</v>
      </c>
      <c r="M1496" s="200">
        <v>16.899999999999999</v>
      </c>
      <c r="N1496" s="201">
        <v>21</v>
      </c>
    </row>
    <row r="1497" spans="1:14">
      <c r="A1497" s="194">
        <v>41290.012974537036</v>
      </c>
      <c r="B1497" s="195">
        <v>2071</v>
      </c>
      <c r="C1497" s="194"/>
      <c r="D1497" s="194"/>
      <c r="E1497" s="198"/>
      <c r="G1497" s="202"/>
      <c r="J1497" s="195">
        <v>17</v>
      </c>
      <c r="K1497" s="204" t="s">
        <v>11</v>
      </c>
      <c r="L1497" s="199">
        <v>2</v>
      </c>
      <c r="M1497" s="200">
        <v>28.8</v>
      </c>
      <c r="N1497" s="201">
        <v>21</v>
      </c>
    </row>
    <row r="1498" spans="1:14">
      <c r="A1498" s="194">
        <v>41298.661585648151</v>
      </c>
      <c r="B1498" s="195">
        <v>2071</v>
      </c>
      <c r="C1498" s="194"/>
      <c r="D1498" s="194"/>
      <c r="E1498" s="198"/>
      <c r="G1498" s="202"/>
      <c r="J1498" s="195">
        <v>17</v>
      </c>
      <c r="K1498" s="204" t="s">
        <v>11</v>
      </c>
      <c r="L1498" s="199">
        <v>1</v>
      </c>
      <c r="M1498" s="200">
        <v>5.5</v>
      </c>
      <c r="N1498" s="201">
        <v>22</v>
      </c>
    </row>
    <row r="1499" spans="1:14">
      <c r="A1499" s="194">
        <v>41291.40121527778</v>
      </c>
      <c r="B1499" s="195">
        <v>2071</v>
      </c>
      <c r="C1499" s="194"/>
      <c r="D1499" s="194"/>
      <c r="E1499" s="198"/>
      <c r="G1499" s="202"/>
      <c r="J1499" s="195">
        <v>17</v>
      </c>
      <c r="K1499" s="204" t="s">
        <v>11</v>
      </c>
      <c r="L1499" s="199">
        <v>2</v>
      </c>
      <c r="M1499" s="200">
        <v>3.2</v>
      </c>
      <c r="N1499" s="201">
        <v>24</v>
      </c>
    </row>
    <row r="1500" spans="1:14">
      <c r="A1500" s="194">
        <v>41280.05159722222</v>
      </c>
      <c r="B1500" s="195">
        <v>2071</v>
      </c>
      <c r="C1500" s="194"/>
      <c r="D1500" s="194"/>
      <c r="E1500" s="198"/>
      <c r="G1500" s="202"/>
      <c r="J1500" s="195">
        <v>17</v>
      </c>
      <c r="K1500" s="204" t="s">
        <v>11</v>
      </c>
      <c r="L1500" s="199">
        <v>1</v>
      </c>
      <c r="M1500" s="200">
        <v>11.2</v>
      </c>
      <c r="N1500" s="201">
        <v>25</v>
      </c>
    </row>
    <row r="1501" spans="1:14">
      <c r="A1501" s="194">
        <v>41281.687210648146</v>
      </c>
      <c r="B1501" s="195">
        <v>2071</v>
      </c>
      <c r="C1501" s="194"/>
      <c r="D1501" s="194"/>
      <c r="E1501" s="198"/>
      <c r="G1501" s="202"/>
      <c r="J1501" s="195">
        <v>17</v>
      </c>
      <c r="K1501" s="204" t="s">
        <v>11</v>
      </c>
      <c r="L1501" s="199">
        <v>1</v>
      </c>
      <c r="M1501" s="200">
        <v>4.2</v>
      </c>
      <c r="N1501" s="201">
        <v>29</v>
      </c>
    </row>
    <row r="1502" spans="1:14">
      <c r="A1502" s="194">
        <v>41279.08761574074</v>
      </c>
      <c r="B1502" s="195">
        <v>2071</v>
      </c>
      <c r="C1502" s="194"/>
      <c r="D1502" s="194"/>
      <c r="E1502" s="198"/>
      <c r="G1502" s="202"/>
      <c r="J1502" s="195">
        <v>17</v>
      </c>
      <c r="K1502" s="204" t="s">
        <v>11</v>
      </c>
      <c r="L1502" s="199">
        <v>2</v>
      </c>
      <c r="M1502" s="200">
        <v>3.1</v>
      </c>
      <c r="N1502" s="201">
        <v>35</v>
      </c>
    </row>
    <row r="1503" spans="1:14">
      <c r="A1503" s="194">
        <v>41285.514236111114</v>
      </c>
      <c r="B1503" s="195">
        <v>2071</v>
      </c>
      <c r="C1503" s="194"/>
      <c r="D1503" s="194"/>
      <c r="E1503" s="198"/>
      <c r="G1503" s="202"/>
      <c r="J1503" s="195">
        <v>18</v>
      </c>
      <c r="K1503" s="204" t="s">
        <v>5</v>
      </c>
      <c r="L1503" s="199">
        <v>1</v>
      </c>
      <c r="M1503" s="200">
        <v>20.9</v>
      </c>
      <c r="N1503" s="201">
        <v>16</v>
      </c>
    </row>
    <row r="1504" spans="1:14">
      <c r="A1504" s="194">
        <v>41303.563391203701</v>
      </c>
      <c r="B1504" s="195">
        <v>2071</v>
      </c>
      <c r="C1504" s="194"/>
      <c r="D1504" s="194"/>
      <c r="E1504" s="198"/>
      <c r="G1504" s="202"/>
      <c r="J1504" s="195">
        <v>18</v>
      </c>
      <c r="K1504" s="204" t="s">
        <v>5</v>
      </c>
      <c r="L1504" s="199">
        <v>1</v>
      </c>
      <c r="M1504" s="200">
        <v>3.2</v>
      </c>
      <c r="N1504" s="201">
        <v>17</v>
      </c>
    </row>
    <row r="1505" spans="1:14">
      <c r="A1505" s="194">
        <v>41287.810613425929</v>
      </c>
      <c r="B1505" s="195">
        <v>2071</v>
      </c>
      <c r="C1505" s="194"/>
      <c r="D1505" s="194"/>
      <c r="E1505" s="198"/>
      <c r="G1505" s="202"/>
      <c r="J1505" s="195">
        <v>18</v>
      </c>
      <c r="K1505" s="204" t="s">
        <v>5</v>
      </c>
      <c r="L1505" s="199">
        <v>2</v>
      </c>
      <c r="M1505" s="200">
        <v>5.9</v>
      </c>
      <c r="N1505" s="201">
        <v>18</v>
      </c>
    </row>
    <row r="1506" spans="1:14">
      <c r="A1506" s="194">
        <v>41280.79042824074</v>
      </c>
      <c r="B1506" s="195">
        <v>2071</v>
      </c>
      <c r="C1506" s="194"/>
      <c r="D1506" s="194"/>
      <c r="E1506" s="198"/>
      <c r="G1506" s="202"/>
      <c r="J1506" s="195">
        <v>18</v>
      </c>
      <c r="K1506" s="204" t="s">
        <v>5</v>
      </c>
      <c r="L1506" s="199">
        <v>1</v>
      </c>
      <c r="M1506" s="200">
        <v>5.4</v>
      </c>
      <c r="N1506" s="201">
        <v>21</v>
      </c>
    </row>
    <row r="1507" spans="1:14">
      <c r="A1507" s="194">
        <v>41300.481435185182</v>
      </c>
      <c r="B1507" s="195">
        <v>2071</v>
      </c>
      <c r="C1507" s="194"/>
      <c r="D1507" s="194"/>
      <c r="E1507" s="198"/>
      <c r="G1507" s="202"/>
      <c r="J1507" s="195">
        <v>18</v>
      </c>
      <c r="K1507" s="204" t="s">
        <v>5</v>
      </c>
      <c r="L1507" s="199">
        <v>3</v>
      </c>
      <c r="M1507" s="200">
        <v>3.2</v>
      </c>
      <c r="N1507" s="201">
        <v>23</v>
      </c>
    </row>
    <row r="1508" spans="1:14">
      <c r="A1508" s="194">
        <v>41302.444606481484</v>
      </c>
      <c r="B1508" s="195">
        <v>2071</v>
      </c>
      <c r="C1508" s="194"/>
      <c r="D1508" s="194"/>
      <c r="E1508" s="198"/>
      <c r="G1508" s="202"/>
      <c r="J1508" s="195">
        <v>18</v>
      </c>
      <c r="K1508" s="204" t="s">
        <v>5</v>
      </c>
      <c r="L1508" s="199">
        <v>2</v>
      </c>
      <c r="M1508" s="200">
        <v>0.8</v>
      </c>
      <c r="N1508" s="201">
        <v>25</v>
      </c>
    </row>
    <row r="1509" spans="1:14">
      <c r="A1509" s="194">
        <v>41278.461331018516</v>
      </c>
      <c r="B1509" s="195">
        <v>2071</v>
      </c>
      <c r="C1509" s="194"/>
      <c r="D1509" s="194"/>
      <c r="E1509" s="198"/>
      <c r="G1509" s="202"/>
      <c r="J1509" s="195">
        <v>18</v>
      </c>
      <c r="K1509" s="204" t="s">
        <v>5</v>
      </c>
      <c r="L1509" s="199">
        <v>1</v>
      </c>
      <c r="M1509" s="200">
        <v>12.1</v>
      </c>
      <c r="N1509" s="201">
        <v>25</v>
      </c>
    </row>
    <row r="1510" spans="1:14">
      <c r="A1510" s="194">
        <v>41302.713622685187</v>
      </c>
      <c r="B1510" s="195">
        <v>2071</v>
      </c>
      <c r="C1510" s="194"/>
      <c r="D1510" s="194"/>
      <c r="E1510" s="196" t="s">
        <v>2122</v>
      </c>
      <c r="G1510" s="202"/>
      <c r="J1510" s="195">
        <v>24</v>
      </c>
      <c r="K1510" s="204" t="s">
        <v>25</v>
      </c>
      <c r="L1510" s="199">
        <v>3</v>
      </c>
      <c r="M1510" s="200">
        <v>0.6</v>
      </c>
      <c r="N1510" s="201">
        <v>20</v>
      </c>
    </row>
    <row r="1511" spans="1:14">
      <c r="A1511" s="194">
        <v>41304.388703703706</v>
      </c>
      <c r="B1511" s="195">
        <v>2071</v>
      </c>
      <c r="C1511" s="194"/>
      <c r="D1511" s="194"/>
      <c r="E1511" s="196" t="s">
        <v>1815</v>
      </c>
      <c r="G1511" s="202"/>
      <c r="J1511" s="195">
        <v>24</v>
      </c>
      <c r="K1511" s="204" t="s">
        <v>25</v>
      </c>
      <c r="L1511" s="199">
        <v>2</v>
      </c>
      <c r="M1511" s="200">
        <v>0.8</v>
      </c>
      <c r="N1511" s="201">
        <v>20</v>
      </c>
    </row>
    <row r="1512" spans="1:14">
      <c r="A1512" s="194">
        <v>41304.340081018519</v>
      </c>
      <c r="B1512" s="195">
        <v>2071</v>
      </c>
      <c r="C1512" s="194"/>
      <c r="D1512" s="194"/>
      <c r="E1512" s="196" t="s">
        <v>1883</v>
      </c>
      <c r="G1512" s="202"/>
      <c r="J1512" s="195">
        <v>24</v>
      </c>
      <c r="K1512" s="204" t="s">
        <v>25</v>
      </c>
      <c r="L1512" s="199">
        <v>3</v>
      </c>
      <c r="M1512" s="200">
        <v>0.3</v>
      </c>
      <c r="N1512" s="201">
        <v>22</v>
      </c>
    </row>
    <row r="1513" spans="1:14">
      <c r="A1513" s="194">
        <v>41296.698333333334</v>
      </c>
      <c r="B1513" s="195">
        <v>2071</v>
      </c>
      <c r="C1513" s="194"/>
      <c r="D1513" s="194"/>
      <c r="E1513" s="196" t="s">
        <v>1766</v>
      </c>
      <c r="G1513" s="202"/>
      <c r="J1513" s="195">
        <v>24</v>
      </c>
      <c r="K1513" s="204" t="s">
        <v>25</v>
      </c>
      <c r="L1513" s="199">
        <v>1</v>
      </c>
      <c r="M1513" s="200">
        <v>0.3</v>
      </c>
      <c r="N1513" s="201">
        <v>26</v>
      </c>
    </row>
    <row r="1514" spans="1:14">
      <c r="A1514" s="194">
        <v>41300.355706018519</v>
      </c>
      <c r="B1514" s="195">
        <v>2071</v>
      </c>
      <c r="C1514" s="194"/>
      <c r="D1514" s="194"/>
      <c r="E1514" s="196" t="s">
        <v>1865</v>
      </c>
      <c r="G1514" s="202"/>
      <c r="J1514" s="195">
        <v>24</v>
      </c>
      <c r="K1514" s="204" t="s">
        <v>25</v>
      </c>
      <c r="L1514" s="199">
        <v>3</v>
      </c>
      <c r="M1514" s="200">
        <v>0.6</v>
      </c>
      <c r="N1514" s="201">
        <v>30</v>
      </c>
    </row>
    <row r="1515" spans="1:14">
      <c r="A1515" s="194">
        <v>41304.635150462964</v>
      </c>
      <c r="B1515" s="195">
        <v>2071</v>
      </c>
      <c r="C1515" s="194"/>
      <c r="D1515" s="194"/>
      <c r="E1515" s="196" t="s">
        <v>2137</v>
      </c>
      <c r="G1515" s="202"/>
      <c r="J1515" s="195">
        <v>24</v>
      </c>
      <c r="K1515" s="204" t="s">
        <v>25</v>
      </c>
      <c r="L1515" s="199">
        <v>2</v>
      </c>
      <c r="M1515" s="200">
        <v>0.3</v>
      </c>
      <c r="N1515" s="201">
        <v>31</v>
      </c>
    </row>
    <row r="1516" spans="1:14">
      <c r="A1516" s="194">
        <v>41281.687164351853</v>
      </c>
      <c r="B1516" s="195">
        <v>2071</v>
      </c>
      <c r="C1516" s="194"/>
      <c r="D1516" s="194"/>
      <c r="E1516" s="196" t="s">
        <v>1779</v>
      </c>
      <c r="G1516" s="202"/>
      <c r="J1516" s="195">
        <v>24</v>
      </c>
      <c r="K1516" s="204" t="s">
        <v>25</v>
      </c>
      <c r="L1516" s="199">
        <v>3</v>
      </c>
      <c r="M1516" s="200">
        <v>0.4</v>
      </c>
      <c r="N1516" s="201">
        <v>32</v>
      </c>
    </row>
    <row r="1517" spans="1:14">
      <c r="A1517" s="194">
        <v>41296.511967592596</v>
      </c>
      <c r="B1517" s="195">
        <v>2071</v>
      </c>
      <c r="C1517" s="194"/>
      <c r="D1517" s="194"/>
      <c r="E1517" s="196" t="s">
        <v>2133</v>
      </c>
      <c r="G1517" s="202"/>
      <c r="J1517" s="195">
        <v>24</v>
      </c>
      <c r="K1517" s="204" t="s">
        <v>25</v>
      </c>
      <c r="L1517" s="199">
        <v>2</v>
      </c>
      <c r="M1517" s="200">
        <v>1.4</v>
      </c>
      <c r="N1517" s="201">
        <v>34</v>
      </c>
    </row>
    <row r="1518" spans="1:14">
      <c r="A1518" s="194">
        <v>41302.370636574073</v>
      </c>
      <c r="B1518" s="195">
        <v>2071</v>
      </c>
      <c r="C1518" s="194"/>
      <c r="D1518" s="194"/>
      <c r="E1518" s="196" t="s">
        <v>2140</v>
      </c>
      <c r="G1518" s="202"/>
      <c r="J1518" s="195">
        <v>24</v>
      </c>
      <c r="K1518" s="204" t="s">
        <v>25</v>
      </c>
      <c r="L1518" s="199">
        <v>2</v>
      </c>
      <c r="M1518" s="200">
        <v>0.5</v>
      </c>
      <c r="N1518" s="201">
        <v>36</v>
      </c>
    </row>
    <row r="1519" spans="1:14">
      <c r="A1519" s="194">
        <v>41299.625347222223</v>
      </c>
      <c r="B1519" s="195">
        <v>2071</v>
      </c>
      <c r="C1519" s="194"/>
      <c r="D1519" s="194"/>
      <c r="E1519" s="196" t="s">
        <v>2035</v>
      </c>
      <c r="G1519" s="202"/>
      <c r="J1519" s="195">
        <v>24</v>
      </c>
      <c r="K1519" s="204" t="s">
        <v>25</v>
      </c>
      <c r="L1519" s="199">
        <v>1</v>
      </c>
      <c r="M1519" s="200">
        <v>0.4</v>
      </c>
      <c r="N1519" s="201">
        <v>39</v>
      </c>
    </row>
    <row r="1520" spans="1:14">
      <c r="A1520" s="194">
        <v>41283.399745370371</v>
      </c>
      <c r="B1520" s="195">
        <v>2071</v>
      </c>
      <c r="C1520" s="194"/>
      <c r="D1520" s="194"/>
      <c r="E1520" s="196" t="s">
        <v>1653</v>
      </c>
      <c r="G1520" s="202"/>
      <c r="J1520" s="195">
        <v>29</v>
      </c>
      <c r="K1520" s="204" t="s">
        <v>39</v>
      </c>
      <c r="L1520" s="199">
        <v>2</v>
      </c>
      <c r="M1520" s="200">
        <v>0.5</v>
      </c>
      <c r="N1520" s="201">
        <v>26</v>
      </c>
    </row>
    <row r="1521" spans="1:14">
      <c r="A1521" s="194">
        <v>41284.629548611112</v>
      </c>
      <c r="B1521" s="195">
        <v>2071</v>
      </c>
      <c r="C1521" s="194"/>
      <c r="D1521" s="194"/>
      <c r="E1521" s="196" t="s">
        <v>2152</v>
      </c>
      <c r="G1521" s="202"/>
      <c r="J1521" s="195">
        <v>29</v>
      </c>
      <c r="K1521" s="204" t="s">
        <v>39</v>
      </c>
      <c r="L1521" s="199">
        <v>3</v>
      </c>
      <c r="M1521" s="200">
        <v>1.1000000000000001</v>
      </c>
      <c r="N1521" s="201">
        <v>29</v>
      </c>
    </row>
    <row r="1522" spans="1:14">
      <c r="A1522" s="194">
        <v>41288.691377314812</v>
      </c>
      <c r="B1522" s="195">
        <v>2071</v>
      </c>
      <c r="C1522" s="194"/>
      <c r="D1522" s="194"/>
      <c r="E1522" s="196" t="s">
        <v>1649</v>
      </c>
      <c r="G1522" s="202"/>
      <c r="J1522" s="195">
        <v>29</v>
      </c>
      <c r="K1522" s="204" t="s">
        <v>39</v>
      </c>
      <c r="L1522" s="199">
        <v>3</v>
      </c>
      <c r="M1522" s="200">
        <v>0.4</v>
      </c>
      <c r="N1522" s="201">
        <v>32</v>
      </c>
    </row>
    <row r="1523" spans="1:14">
      <c r="A1523" s="194">
        <v>41304.68167824074</v>
      </c>
      <c r="B1523" s="195">
        <v>2071</v>
      </c>
      <c r="C1523" s="194"/>
      <c r="D1523" s="194"/>
      <c r="E1523" s="196" t="s">
        <v>1599</v>
      </c>
      <c r="G1523" s="202"/>
      <c r="J1523" s="195">
        <v>29</v>
      </c>
      <c r="K1523" s="204" t="s">
        <v>39</v>
      </c>
      <c r="L1523" s="199">
        <v>2</v>
      </c>
      <c r="M1523" s="200">
        <v>0.4</v>
      </c>
      <c r="N1523" s="201">
        <v>35</v>
      </c>
    </row>
    <row r="1524" spans="1:14">
      <c r="A1524" s="194">
        <v>41301.341446759259</v>
      </c>
      <c r="B1524" s="195">
        <v>2071</v>
      </c>
      <c r="C1524" s="194"/>
      <c r="D1524" s="194"/>
      <c r="E1524" s="198"/>
      <c r="G1524" s="202"/>
      <c r="J1524" s="195">
        <v>41</v>
      </c>
      <c r="K1524" s="204" t="s">
        <v>40</v>
      </c>
      <c r="L1524" s="199">
        <v>3</v>
      </c>
      <c r="M1524" s="200">
        <v>28.2</v>
      </c>
      <c r="N1524" s="201">
        <v>19</v>
      </c>
    </row>
    <row r="1525" spans="1:14">
      <c r="A1525" s="194">
        <v>41302.436273148145</v>
      </c>
      <c r="B1525" s="195">
        <v>2071</v>
      </c>
      <c r="C1525" s="194"/>
      <c r="D1525" s="194"/>
      <c r="E1525" s="198"/>
      <c r="G1525" s="202"/>
      <c r="J1525" s="195">
        <v>43</v>
      </c>
      <c r="K1525" s="204" t="s">
        <v>1596</v>
      </c>
      <c r="L1525" s="199">
        <v>1</v>
      </c>
      <c r="M1525" s="200">
        <v>0.5</v>
      </c>
      <c r="N1525" s="201">
        <v>20</v>
      </c>
    </row>
    <row r="1526" spans="1:14">
      <c r="A1526" s="194">
        <v>41278.463275462964</v>
      </c>
      <c r="B1526" s="195">
        <v>2071</v>
      </c>
      <c r="C1526" s="194"/>
      <c r="D1526" s="194"/>
      <c r="E1526" s="198"/>
      <c r="G1526" s="202"/>
      <c r="J1526" s="195">
        <v>4400</v>
      </c>
      <c r="K1526" s="204" t="s">
        <v>37</v>
      </c>
      <c r="L1526" s="199">
        <v>2</v>
      </c>
      <c r="M1526" s="200">
        <v>0.3</v>
      </c>
      <c r="N1526" s="201">
        <v>19</v>
      </c>
    </row>
    <row r="1527" spans="1:14">
      <c r="A1527" s="194">
        <v>41290.266458333332</v>
      </c>
      <c r="B1527" s="195">
        <v>2071</v>
      </c>
      <c r="C1527" s="194"/>
      <c r="D1527" s="194"/>
      <c r="E1527" s="198"/>
      <c r="G1527" s="202"/>
      <c r="J1527" s="195">
        <v>4400</v>
      </c>
      <c r="K1527" s="204" t="s">
        <v>37</v>
      </c>
      <c r="L1527" s="199">
        <v>3</v>
      </c>
      <c r="M1527" s="200">
        <v>0.4</v>
      </c>
      <c r="N1527" s="201">
        <v>20</v>
      </c>
    </row>
    <row r="1528" spans="1:14">
      <c r="A1528" s="194">
        <v>41288.471666666665</v>
      </c>
      <c r="B1528" s="195">
        <v>2071</v>
      </c>
      <c r="C1528" s="194"/>
      <c r="D1528" s="194"/>
      <c r="E1528" s="198"/>
      <c r="G1528" s="202"/>
      <c r="J1528" s="195">
        <v>4400</v>
      </c>
      <c r="K1528" s="204" t="s">
        <v>37</v>
      </c>
      <c r="L1528" s="199">
        <v>3</v>
      </c>
      <c r="M1528" s="200">
        <v>0.3</v>
      </c>
      <c r="N1528" s="201">
        <v>23</v>
      </c>
    </row>
    <row r="1529" spans="1:14">
      <c r="A1529" s="194">
        <v>41289.455000000002</v>
      </c>
      <c r="B1529" s="195">
        <v>2071</v>
      </c>
      <c r="C1529" s="194"/>
      <c r="D1529" s="194"/>
      <c r="E1529" s="198"/>
      <c r="G1529" s="202"/>
      <c r="J1529" s="195">
        <v>4400</v>
      </c>
      <c r="K1529" s="204" t="s">
        <v>37</v>
      </c>
      <c r="L1529" s="199">
        <v>2</v>
      </c>
      <c r="M1529" s="200">
        <v>0.4</v>
      </c>
      <c r="N1529" s="201">
        <v>25</v>
      </c>
    </row>
    <row r="1530" spans="1:14">
      <c r="A1530" s="194">
        <v>41276.25403935185</v>
      </c>
      <c r="B1530" s="195">
        <v>2071</v>
      </c>
      <c r="C1530" s="194"/>
      <c r="D1530" s="194"/>
      <c r="E1530" s="198"/>
      <c r="G1530" s="202"/>
      <c r="J1530" s="195">
        <v>6200</v>
      </c>
      <c r="K1530" s="204" t="s">
        <v>36</v>
      </c>
      <c r="L1530" s="199">
        <v>1</v>
      </c>
      <c r="M1530" s="200">
        <v>14.3</v>
      </c>
      <c r="N1530" s="201">
        <v>19</v>
      </c>
    </row>
    <row r="1531" spans="1:14">
      <c r="A1531" s="194">
        <v>41303.351886574077</v>
      </c>
      <c r="B1531" s="195">
        <v>2071</v>
      </c>
      <c r="C1531" s="194"/>
      <c r="D1531" s="194"/>
      <c r="E1531" s="196" t="s">
        <v>2019</v>
      </c>
      <c r="G1531" s="202"/>
      <c r="J1531" s="195">
        <v>7400</v>
      </c>
      <c r="K1531" s="204" t="s">
        <v>35</v>
      </c>
      <c r="L1531" s="199">
        <v>3</v>
      </c>
      <c r="M1531" s="200">
        <v>0.6</v>
      </c>
      <c r="N1531" s="201">
        <v>20</v>
      </c>
    </row>
    <row r="1532" spans="1:14">
      <c r="A1532" s="194">
        <v>41296.717939814815</v>
      </c>
      <c r="B1532" s="195">
        <v>2074</v>
      </c>
      <c r="C1532" s="194"/>
      <c r="D1532" s="194"/>
      <c r="E1532" s="196" t="s">
        <v>350</v>
      </c>
      <c r="F1532" s="195">
        <v>456</v>
      </c>
      <c r="G1532" s="197" t="s">
        <v>141</v>
      </c>
      <c r="H1532" s="197" t="s">
        <v>223</v>
      </c>
      <c r="I1532" s="196" t="s">
        <v>226</v>
      </c>
      <c r="J1532" s="195">
        <v>1</v>
      </c>
      <c r="K1532" s="204" t="s">
        <v>224</v>
      </c>
      <c r="L1532" s="199">
        <v>1</v>
      </c>
      <c r="M1532" s="200">
        <v>0.3</v>
      </c>
      <c r="N1532" s="201">
        <v>18</v>
      </c>
    </row>
    <row r="1533" spans="1:14">
      <c r="A1533" s="194">
        <v>41298.70890046296</v>
      </c>
      <c r="B1533" s="195">
        <v>2074</v>
      </c>
      <c r="C1533" s="194"/>
      <c r="D1533" s="194"/>
      <c r="E1533" s="196" t="s">
        <v>349</v>
      </c>
      <c r="F1533" s="195">
        <v>456</v>
      </c>
      <c r="G1533" s="197" t="s">
        <v>141</v>
      </c>
      <c r="H1533" s="197" t="s">
        <v>223</v>
      </c>
      <c r="I1533" s="196" t="s">
        <v>226</v>
      </c>
      <c r="J1533" s="195">
        <v>1</v>
      </c>
      <c r="K1533" s="204" t="s">
        <v>224</v>
      </c>
      <c r="L1533" s="199">
        <v>1</v>
      </c>
      <c r="M1533" s="200">
        <v>0.4</v>
      </c>
      <c r="N1533" s="201">
        <v>20</v>
      </c>
    </row>
    <row r="1534" spans="1:14">
      <c r="A1534" s="194">
        <v>41293.908668981479</v>
      </c>
      <c r="B1534" s="195">
        <v>2074</v>
      </c>
      <c r="C1534" s="194"/>
      <c r="D1534" s="194"/>
      <c r="E1534" s="196" t="s">
        <v>334</v>
      </c>
      <c r="F1534" s="195">
        <v>456</v>
      </c>
      <c r="G1534" s="197" t="s">
        <v>141</v>
      </c>
      <c r="H1534" s="197" t="s">
        <v>223</v>
      </c>
      <c r="I1534" s="196" t="s">
        <v>226</v>
      </c>
      <c r="J1534" s="195">
        <v>1</v>
      </c>
      <c r="K1534" s="204" t="s">
        <v>224</v>
      </c>
      <c r="L1534" s="199">
        <v>1</v>
      </c>
      <c r="M1534" s="200">
        <v>0.4</v>
      </c>
      <c r="N1534" s="201">
        <v>27</v>
      </c>
    </row>
    <row r="1535" spans="1:14">
      <c r="A1535" s="194">
        <v>41304.760243055556</v>
      </c>
      <c r="B1535" s="195">
        <v>2074</v>
      </c>
      <c r="C1535" s="194"/>
      <c r="D1535" s="194"/>
      <c r="E1535" s="196" t="s">
        <v>398</v>
      </c>
      <c r="F1535" s="195">
        <v>456</v>
      </c>
      <c r="G1535" s="197" t="s">
        <v>141</v>
      </c>
      <c r="H1535" s="197" t="s">
        <v>223</v>
      </c>
      <c r="I1535" s="196" t="s">
        <v>226</v>
      </c>
      <c r="J1535" s="195">
        <v>1</v>
      </c>
      <c r="K1535" s="204" t="s">
        <v>224</v>
      </c>
      <c r="L1535" s="199">
        <v>1</v>
      </c>
      <c r="M1535" s="200">
        <v>0.4</v>
      </c>
      <c r="N1535" s="201">
        <v>27</v>
      </c>
    </row>
    <row r="1536" spans="1:14">
      <c r="A1536" s="194">
        <v>41295.530185185184</v>
      </c>
      <c r="B1536" s="195">
        <v>2074</v>
      </c>
      <c r="C1536" s="194"/>
      <c r="D1536" s="194"/>
      <c r="E1536" s="196" t="s">
        <v>321</v>
      </c>
      <c r="F1536" s="195">
        <v>456</v>
      </c>
      <c r="G1536" s="197" t="s">
        <v>141</v>
      </c>
      <c r="H1536" s="197" t="s">
        <v>223</v>
      </c>
      <c r="I1536" s="196" t="s">
        <v>226</v>
      </c>
      <c r="J1536" s="195">
        <v>1</v>
      </c>
      <c r="K1536" s="204" t="s">
        <v>224</v>
      </c>
      <c r="L1536" s="199">
        <v>1</v>
      </c>
      <c r="M1536" s="200">
        <v>0.6</v>
      </c>
      <c r="N1536" s="201">
        <v>27</v>
      </c>
    </row>
    <row r="1537" spans="1:14">
      <c r="A1537" s="194">
        <v>41276.729872685188</v>
      </c>
      <c r="B1537" s="195">
        <v>2074</v>
      </c>
      <c r="C1537" s="194"/>
      <c r="D1537" s="194"/>
      <c r="E1537" s="196" t="s">
        <v>239</v>
      </c>
      <c r="F1537" s="195">
        <v>456</v>
      </c>
      <c r="G1537" s="197" t="s">
        <v>141</v>
      </c>
      <c r="H1537" s="197" t="s">
        <v>223</v>
      </c>
      <c r="I1537" s="196" t="s">
        <v>226</v>
      </c>
      <c r="J1537" s="195">
        <v>1</v>
      </c>
      <c r="K1537" s="204" t="s">
        <v>224</v>
      </c>
      <c r="L1537" s="199">
        <v>1</v>
      </c>
      <c r="M1537" s="200">
        <v>0.5</v>
      </c>
      <c r="N1537" s="201">
        <v>28</v>
      </c>
    </row>
    <row r="1538" spans="1:14">
      <c r="A1538" s="194">
        <v>41303.605127314811</v>
      </c>
      <c r="B1538" s="195">
        <v>2074</v>
      </c>
      <c r="C1538" s="194"/>
      <c r="D1538" s="194"/>
      <c r="E1538" s="196" t="s">
        <v>389</v>
      </c>
      <c r="F1538" s="195">
        <v>456</v>
      </c>
      <c r="G1538" s="197" t="s">
        <v>141</v>
      </c>
      <c r="H1538" s="197" t="s">
        <v>223</v>
      </c>
      <c r="I1538" s="196" t="s">
        <v>226</v>
      </c>
      <c r="J1538" s="195">
        <v>1</v>
      </c>
      <c r="K1538" s="204" t="s">
        <v>224</v>
      </c>
      <c r="L1538" s="199">
        <v>1</v>
      </c>
      <c r="M1538" s="200">
        <v>0.5</v>
      </c>
      <c r="N1538" s="201">
        <v>29</v>
      </c>
    </row>
    <row r="1539" spans="1:14">
      <c r="A1539" s="194">
        <v>41276.571956018517</v>
      </c>
      <c r="B1539" s="195">
        <v>2074</v>
      </c>
      <c r="C1539" s="194"/>
      <c r="D1539" s="194"/>
      <c r="E1539" s="196" t="s">
        <v>411</v>
      </c>
      <c r="F1539" s="195">
        <v>466</v>
      </c>
      <c r="G1539" s="197" t="s">
        <v>142</v>
      </c>
      <c r="H1539" s="197" t="s">
        <v>223</v>
      </c>
      <c r="I1539" s="196" t="s">
        <v>402</v>
      </c>
      <c r="J1539" s="195">
        <v>1</v>
      </c>
      <c r="K1539" s="204" t="s">
        <v>224</v>
      </c>
      <c r="L1539" s="199">
        <v>3</v>
      </c>
      <c r="M1539" s="200">
        <v>0.3</v>
      </c>
      <c r="N1539" s="201">
        <v>20</v>
      </c>
    </row>
    <row r="1540" spans="1:14">
      <c r="A1540" s="194">
        <v>41276.762499999997</v>
      </c>
      <c r="B1540" s="195">
        <v>2074</v>
      </c>
      <c r="C1540" s="194"/>
      <c r="D1540" s="194"/>
      <c r="E1540" s="196" t="s">
        <v>514</v>
      </c>
      <c r="F1540" s="195">
        <v>800</v>
      </c>
      <c r="G1540" s="197" t="s">
        <v>470</v>
      </c>
      <c r="H1540" s="197" t="s">
        <v>471</v>
      </c>
      <c r="J1540" s="195">
        <v>1</v>
      </c>
      <c r="K1540" s="204" t="s">
        <v>224</v>
      </c>
      <c r="L1540" s="199">
        <v>3</v>
      </c>
      <c r="M1540" s="200">
        <v>0.4</v>
      </c>
      <c r="N1540" s="201">
        <v>16</v>
      </c>
    </row>
    <row r="1541" spans="1:14">
      <c r="A1541" s="194">
        <v>41279.929583333331</v>
      </c>
      <c r="B1541" s="195">
        <v>2074</v>
      </c>
      <c r="C1541" s="194"/>
      <c r="D1541" s="194"/>
      <c r="E1541" s="196" t="s">
        <v>640</v>
      </c>
      <c r="F1541" s="195">
        <v>800</v>
      </c>
      <c r="G1541" s="197" t="s">
        <v>470</v>
      </c>
      <c r="H1541" s="197" t="s">
        <v>471</v>
      </c>
      <c r="J1541" s="195">
        <v>1</v>
      </c>
      <c r="K1541" s="204" t="s">
        <v>224</v>
      </c>
      <c r="L1541" s="199">
        <v>3</v>
      </c>
      <c r="M1541" s="200">
        <v>0.5</v>
      </c>
      <c r="N1541" s="201">
        <v>17</v>
      </c>
    </row>
    <row r="1542" spans="1:14">
      <c r="A1542" s="194">
        <v>41293.542025462964</v>
      </c>
      <c r="B1542" s="195">
        <v>2074</v>
      </c>
      <c r="C1542" s="194"/>
      <c r="D1542" s="194"/>
      <c r="E1542" s="196" t="s">
        <v>1190</v>
      </c>
      <c r="F1542" s="195">
        <v>800</v>
      </c>
      <c r="G1542" s="197" t="s">
        <v>470</v>
      </c>
      <c r="H1542" s="197" t="s">
        <v>471</v>
      </c>
      <c r="J1542" s="195">
        <v>1</v>
      </c>
      <c r="K1542" s="204" t="s">
        <v>224</v>
      </c>
      <c r="L1542" s="199">
        <v>2</v>
      </c>
      <c r="M1542" s="200">
        <v>1.3</v>
      </c>
      <c r="N1542" s="201">
        <v>17</v>
      </c>
    </row>
    <row r="1543" spans="1:14">
      <c r="A1543" s="194">
        <v>41291.35765046296</v>
      </c>
      <c r="B1543" s="195">
        <v>2074</v>
      </c>
      <c r="C1543" s="194"/>
      <c r="D1543" s="194"/>
      <c r="E1543" s="196" t="s">
        <v>1095</v>
      </c>
      <c r="F1543" s="195">
        <v>800</v>
      </c>
      <c r="G1543" s="197" t="s">
        <v>470</v>
      </c>
      <c r="H1543" s="197" t="s">
        <v>471</v>
      </c>
      <c r="J1543" s="195">
        <v>1</v>
      </c>
      <c r="K1543" s="204" t="s">
        <v>224</v>
      </c>
      <c r="L1543" s="199">
        <v>3</v>
      </c>
      <c r="M1543" s="200">
        <v>1.4</v>
      </c>
      <c r="N1543" s="201">
        <v>17</v>
      </c>
    </row>
    <row r="1544" spans="1:14">
      <c r="A1544" s="194">
        <v>41298.745706018519</v>
      </c>
      <c r="B1544" s="195">
        <v>2074</v>
      </c>
      <c r="C1544" s="194"/>
      <c r="D1544" s="194"/>
      <c r="E1544" s="196" t="s">
        <v>1308</v>
      </c>
      <c r="F1544" s="195">
        <v>800</v>
      </c>
      <c r="G1544" s="197" t="s">
        <v>470</v>
      </c>
      <c r="H1544" s="197" t="s">
        <v>471</v>
      </c>
      <c r="J1544" s="195">
        <v>1</v>
      </c>
      <c r="K1544" s="204" t="s">
        <v>224</v>
      </c>
      <c r="L1544" s="199">
        <v>2</v>
      </c>
      <c r="M1544" s="200">
        <v>0.4</v>
      </c>
      <c r="N1544" s="201">
        <v>18</v>
      </c>
    </row>
    <row r="1545" spans="1:14">
      <c r="A1545" s="194">
        <v>41296.726273148146</v>
      </c>
      <c r="B1545" s="195">
        <v>2074</v>
      </c>
      <c r="C1545" s="194"/>
      <c r="D1545" s="194"/>
      <c r="E1545" s="196" t="s">
        <v>1317</v>
      </c>
      <c r="F1545" s="195">
        <v>800</v>
      </c>
      <c r="G1545" s="197" t="s">
        <v>470</v>
      </c>
      <c r="H1545" s="197" t="s">
        <v>471</v>
      </c>
      <c r="J1545" s="195">
        <v>1</v>
      </c>
      <c r="K1545" s="204" t="s">
        <v>224</v>
      </c>
      <c r="L1545" s="199">
        <v>3</v>
      </c>
      <c r="M1545" s="200">
        <v>0.5</v>
      </c>
      <c r="N1545" s="201">
        <v>18</v>
      </c>
    </row>
    <row r="1546" spans="1:14">
      <c r="A1546" s="194">
        <v>41295.546168981484</v>
      </c>
      <c r="B1546" s="195">
        <v>2074</v>
      </c>
      <c r="C1546" s="194"/>
      <c r="D1546" s="194"/>
      <c r="E1546" s="196" t="s">
        <v>1108</v>
      </c>
      <c r="F1546" s="195">
        <v>800</v>
      </c>
      <c r="G1546" s="197" t="s">
        <v>470</v>
      </c>
      <c r="H1546" s="197" t="s">
        <v>471</v>
      </c>
      <c r="J1546" s="195">
        <v>1</v>
      </c>
      <c r="K1546" s="204" t="s">
        <v>224</v>
      </c>
      <c r="L1546" s="199">
        <v>2</v>
      </c>
      <c r="M1546" s="200">
        <v>0.9</v>
      </c>
      <c r="N1546" s="201">
        <v>18</v>
      </c>
    </row>
    <row r="1547" spans="1:14">
      <c r="A1547" s="194">
        <v>41289.605925925927</v>
      </c>
      <c r="B1547" s="195">
        <v>2074</v>
      </c>
      <c r="C1547" s="194"/>
      <c r="D1547" s="194"/>
      <c r="E1547" s="196" t="s">
        <v>998</v>
      </c>
      <c r="F1547" s="195">
        <v>800</v>
      </c>
      <c r="G1547" s="197" t="s">
        <v>470</v>
      </c>
      <c r="H1547" s="197" t="s">
        <v>471</v>
      </c>
      <c r="J1547" s="195">
        <v>1</v>
      </c>
      <c r="K1547" s="204" t="s">
        <v>224</v>
      </c>
      <c r="L1547" s="199">
        <v>1</v>
      </c>
      <c r="M1547" s="200">
        <v>0.7</v>
      </c>
      <c r="N1547" s="201">
        <v>19</v>
      </c>
    </row>
    <row r="1548" spans="1:14">
      <c r="A1548" s="194">
        <v>41305.514143518521</v>
      </c>
      <c r="B1548" s="195">
        <v>2074</v>
      </c>
      <c r="C1548" s="194"/>
      <c r="D1548" s="194"/>
      <c r="E1548" s="196" t="s">
        <v>1574</v>
      </c>
      <c r="F1548" s="195">
        <v>800</v>
      </c>
      <c r="G1548" s="197" t="s">
        <v>470</v>
      </c>
      <c r="H1548" s="197" t="s">
        <v>471</v>
      </c>
      <c r="J1548" s="195">
        <v>1</v>
      </c>
      <c r="K1548" s="204" t="s">
        <v>224</v>
      </c>
      <c r="L1548" s="199">
        <v>1</v>
      </c>
      <c r="M1548" s="200">
        <v>0.8</v>
      </c>
      <c r="N1548" s="201">
        <v>19</v>
      </c>
    </row>
    <row r="1549" spans="1:14">
      <c r="A1549" s="194">
        <v>41296.725578703707</v>
      </c>
      <c r="B1549" s="195">
        <v>2074</v>
      </c>
      <c r="C1549" s="194"/>
      <c r="D1549" s="194"/>
      <c r="E1549" s="196" t="s">
        <v>1316</v>
      </c>
      <c r="F1549" s="195">
        <v>800</v>
      </c>
      <c r="G1549" s="197" t="s">
        <v>470</v>
      </c>
      <c r="H1549" s="197" t="s">
        <v>471</v>
      </c>
      <c r="J1549" s="195">
        <v>1</v>
      </c>
      <c r="K1549" s="204" t="s">
        <v>224</v>
      </c>
      <c r="L1549" s="199">
        <v>2</v>
      </c>
      <c r="M1549" s="200">
        <v>0.3</v>
      </c>
      <c r="N1549" s="201">
        <v>20</v>
      </c>
    </row>
    <row r="1550" spans="1:14">
      <c r="A1550" s="194">
        <v>41286.040671296294</v>
      </c>
      <c r="B1550" s="195">
        <v>2074</v>
      </c>
      <c r="C1550" s="194"/>
      <c r="D1550" s="194"/>
      <c r="E1550" s="196" t="s">
        <v>904</v>
      </c>
      <c r="F1550" s="195">
        <v>800</v>
      </c>
      <c r="G1550" s="197" t="s">
        <v>470</v>
      </c>
      <c r="H1550" s="197" t="s">
        <v>471</v>
      </c>
      <c r="J1550" s="195">
        <v>1</v>
      </c>
      <c r="K1550" s="204" t="s">
        <v>224</v>
      </c>
      <c r="L1550" s="199">
        <v>2</v>
      </c>
      <c r="M1550" s="200">
        <v>0.6</v>
      </c>
      <c r="N1550" s="201">
        <v>20</v>
      </c>
    </row>
    <row r="1551" spans="1:14">
      <c r="A1551" s="194">
        <v>41285.411134259259</v>
      </c>
      <c r="B1551" s="195">
        <v>2074</v>
      </c>
      <c r="C1551" s="194"/>
      <c r="D1551" s="194"/>
      <c r="E1551" s="196" t="s">
        <v>921</v>
      </c>
      <c r="F1551" s="195">
        <v>800</v>
      </c>
      <c r="G1551" s="197" t="s">
        <v>470</v>
      </c>
      <c r="H1551" s="197" t="s">
        <v>471</v>
      </c>
      <c r="J1551" s="195">
        <v>1</v>
      </c>
      <c r="K1551" s="204" t="s">
        <v>224</v>
      </c>
      <c r="L1551" s="199">
        <v>1</v>
      </c>
      <c r="M1551" s="200">
        <v>0.6</v>
      </c>
      <c r="N1551" s="201">
        <v>20</v>
      </c>
    </row>
    <row r="1552" spans="1:14">
      <c r="A1552" s="194">
        <v>41282.666655092595</v>
      </c>
      <c r="B1552" s="195">
        <v>2074</v>
      </c>
      <c r="C1552" s="194"/>
      <c r="D1552" s="194"/>
      <c r="E1552" s="196" t="s">
        <v>733</v>
      </c>
      <c r="F1552" s="195">
        <v>800</v>
      </c>
      <c r="G1552" s="197" t="s">
        <v>470</v>
      </c>
      <c r="H1552" s="197" t="s">
        <v>471</v>
      </c>
      <c r="J1552" s="195">
        <v>1</v>
      </c>
      <c r="K1552" s="204" t="s">
        <v>224</v>
      </c>
      <c r="L1552" s="199">
        <v>1</v>
      </c>
      <c r="M1552" s="200">
        <v>1.6</v>
      </c>
      <c r="N1552" s="201">
        <v>20</v>
      </c>
    </row>
    <row r="1553" spans="1:14">
      <c r="A1553" s="194">
        <v>41290.647164351853</v>
      </c>
      <c r="B1553" s="195">
        <v>2074</v>
      </c>
      <c r="C1553" s="194"/>
      <c r="D1553" s="194"/>
      <c r="E1553" s="196" t="s">
        <v>1035</v>
      </c>
      <c r="F1553" s="195">
        <v>800</v>
      </c>
      <c r="G1553" s="197" t="s">
        <v>470</v>
      </c>
      <c r="H1553" s="197" t="s">
        <v>471</v>
      </c>
      <c r="J1553" s="195">
        <v>1</v>
      </c>
      <c r="K1553" s="204" t="s">
        <v>224</v>
      </c>
      <c r="L1553" s="199">
        <v>1</v>
      </c>
      <c r="M1553" s="200">
        <v>0.3</v>
      </c>
      <c r="N1553" s="201">
        <v>21</v>
      </c>
    </row>
    <row r="1554" spans="1:14">
      <c r="A1554" s="194">
        <v>41304.740798611114</v>
      </c>
      <c r="B1554" s="195">
        <v>2074</v>
      </c>
      <c r="C1554" s="194"/>
      <c r="D1554" s="194"/>
      <c r="E1554" s="196" t="s">
        <v>1544</v>
      </c>
      <c r="F1554" s="195">
        <v>800</v>
      </c>
      <c r="G1554" s="197" t="s">
        <v>470</v>
      </c>
      <c r="H1554" s="197" t="s">
        <v>471</v>
      </c>
      <c r="J1554" s="195">
        <v>1</v>
      </c>
      <c r="K1554" s="204" t="s">
        <v>224</v>
      </c>
      <c r="L1554" s="199">
        <v>1</v>
      </c>
      <c r="M1554" s="200">
        <v>0.3</v>
      </c>
      <c r="N1554" s="201">
        <v>21</v>
      </c>
    </row>
    <row r="1555" spans="1:14">
      <c r="A1555" s="194">
        <v>41279.734444444446</v>
      </c>
      <c r="B1555" s="195">
        <v>2074</v>
      </c>
      <c r="C1555" s="194"/>
      <c r="D1555" s="194"/>
      <c r="E1555" s="196" t="s">
        <v>639</v>
      </c>
      <c r="F1555" s="195">
        <v>800</v>
      </c>
      <c r="G1555" s="197" t="s">
        <v>470</v>
      </c>
      <c r="H1555" s="197" t="s">
        <v>471</v>
      </c>
      <c r="J1555" s="195">
        <v>1</v>
      </c>
      <c r="K1555" s="204" t="s">
        <v>224</v>
      </c>
      <c r="L1555" s="199">
        <v>2</v>
      </c>
      <c r="M1555" s="200">
        <v>0.4</v>
      </c>
      <c r="N1555" s="201">
        <v>21</v>
      </c>
    </row>
    <row r="1556" spans="1:14">
      <c r="A1556" s="194">
        <v>41281.673587962963</v>
      </c>
      <c r="B1556" s="195">
        <v>2074</v>
      </c>
      <c r="C1556" s="194"/>
      <c r="D1556" s="194"/>
      <c r="E1556" s="196" t="s">
        <v>706</v>
      </c>
      <c r="F1556" s="195">
        <v>800</v>
      </c>
      <c r="G1556" s="197" t="s">
        <v>470</v>
      </c>
      <c r="H1556" s="197" t="s">
        <v>471</v>
      </c>
      <c r="J1556" s="195">
        <v>1</v>
      </c>
      <c r="K1556" s="204" t="s">
        <v>224</v>
      </c>
      <c r="L1556" s="199">
        <v>1</v>
      </c>
      <c r="M1556" s="200">
        <v>0.6</v>
      </c>
      <c r="N1556" s="201">
        <v>21</v>
      </c>
    </row>
    <row r="1557" spans="1:14">
      <c r="A1557" s="194">
        <v>41290.789259259262</v>
      </c>
      <c r="B1557" s="195">
        <v>2074</v>
      </c>
      <c r="C1557" s="194"/>
      <c r="D1557" s="194"/>
      <c r="E1557" s="196" t="s">
        <v>1037</v>
      </c>
      <c r="F1557" s="195">
        <v>800</v>
      </c>
      <c r="G1557" s="197" t="s">
        <v>470</v>
      </c>
      <c r="H1557" s="197" t="s">
        <v>471</v>
      </c>
      <c r="J1557" s="195">
        <v>1</v>
      </c>
      <c r="K1557" s="204" t="s">
        <v>224</v>
      </c>
      <c r="L1557" s="199">
        <v>1</v>
      </c>
      <c r="M1557" s="200">
        <v>0.9</v>
      </c>
      <c r="N1557" s="201">
        <v>21</v>
      </c>
    </row>
    <row r="1558" spans="1:14">
      <c r="A1558" s="194">
        <v>41304.731076388889</v>
      </c>
      <c r="B1558" s="195">
        <v>2074</v>
      </c>
      <c r="C1558" s="194"/>
      <c r="D1558" s="194"/>
      <c r="E1558" s="196" t="s">
        <v>1543</v>
      </c>
      <c r="F1558" s="195">
        <v>800</v>
      </c>
      <c r="G1558" s="197" t="s">
        <v>470</v>
      </c>
      <c r="H1558" s="197" t="s">
        <v>471</v>
      </c>
      <c r="J1558" s="195">
        <v>1</v>
      </c>
      <c r="K1558" s="204" t="s">
        <v>224</v>
      </c>
      <c r="L1558" s="199">
        <v>1</v>
      </c>
      <c r="M1558" s="200">
        <v>0.9</v>
      </c>
      <c r="N1558" s="201">
        <v>21</v>
      </c>
    </row>
    <row r="1559" spans="1:14">
      <c r="A1559" s="194">
        <v>41289.555925925924</v>
      </c>
      <c r="B1559" s="195">
        <v>2074</v>
      </c>
      <c r="C1559" s="194"/>
      <c r="D1559" s="194"/>
      <c r="E1559" s="196" t="s">
        <v>997</v>
      </c>
      <c r="F1559" s="195">
        <v>800</v>
      </c>
      <c r="G1559" s="197" t="s">
        <v>470</v>
      </c>
      <c r="H1559" s="197" t="s">
        <v>471</v>
      </c>
      <c r="J1559" s="195">
        <v>1</v>
      </c>
      <c r="K1559" s="204" t="s">
        <v>224</v>
      </c>
      <c r="L1559" s="199">
        <v>1</v>
      </c>
      <c r="M1559" s="200">
        <v>0.3</v>
      </c>
      <c r="N1559" s="201">
        <v>22</v>
      </c>
    </row>
    <row r="1560" spans="1:14">
      <c r="A1560" s="194">
        <v>41305.578020833331</v>
      </c>
      <c r="B1560" s="195">
        <v>2074</v>
      </c>
      <c r="C1560" s="194"/>
      <c r="D1560" s="194"/>
      <c r="E1560" s="196" t="s">
        <v>1575</v>
      </c>
      <c r="F1560" s="195">
        <v>800</v>
      </c>
      <c r="G1560" s="197" t="s">
        <v>470</v>
      </c>
      <c r="H1560" s="197" t="s">
        <v>471</v>
      </c>
      <c r="J1560" s="195">
        <v>1</v>
      </c>
      <c r="K1560" s="204" t="s">
        <v>224</v>
      </c>
      <c r="L1560" s="199">
        <v>2</v>
      </c>
      <c r="M1560" s="200">
        <v>0.7</v>
      </c>
      <c r="N1560" s="201">
        <v>22</v>
      </c>
    </row>
    <row r="1561" spans="1:14">
      <c r="A1561" s="194">
        <v>41298.760289351849</v>
      </c>
      <c r="B1561" s="195">
        <v>2074</v>
      </c>
      <c r="C1561" s="194"/>
      <c r="D1561" s="194"/>
      <c r="E1561" s="196" t="s">
        <v>1309</v>
      </c>
      <c r="F1561" s="195">
        <v>800</v>
      </c>
      <c r="G1561" s="197" t="s">
        <v>470</v>
      </c>
      <c r="H1561" s="197" t="s">
        <v>471</v>
      </c>
      <c r="J1561" s="195">
        <v>1</v>
      </c>
      <c r="K1561" s="204" t="s">
        <v>224</v>
      </c>
      <c r="L1561" s="199">
        <v>1</v>
      </c>
      <c r="M1561" s="200">
        <v>0.9</v>
      </c>
      <c r="N1561" s="201">
        <v>22</v>
      </c>
    </row>
    <row r="1562" spans="1:14">
      <c r="A1562" s="194">
        <v>41284.384756944448</v>
      </c>
      <c r="B1562" s="195">
        <v>2074</v>
      </c>
      <c r="C1562" s="194"/>
      <c r="D1562" s="194"/>
      <c r="E1562" s="196" t="s">
        <v>833</v>
      </c>
      <c r="F1562" s="195">
        <v>800</v>
      </c>
      <c r="G1562" s="197" t="s">
        <v>470</v>
      </c>
      <c r="H1562" s="197" t="s">
        <v>471</v>
      </c>
      <c r="J1562" s="195">
        <v>1</v>
      </c>
      <c r="K1562" s="204" t="s">
        <v>224</v>
      </c>
      <c r="L1562" s="199">
        <v>2</v>
      </c>
      <c r="M1562" s="200">
        <v>1</v>
      </c>
      <c r="N1562" s="201">
        <v>22</v>
      </c>
    </row>
    <row r="1563" spans="1:14">
      <c r="A1563" s="194">
        <v>41290.784398148149</v>
      </c>
      <c r="B1563" s="195">
        <v>2074</v>
      </c>
      <c r="C1563" s="194"/>
      <c r="D1563" s="194"/>
      <c r="E1563" s="196" t="s">
        <v>1036</v>
      </c>
      <c r="F1563" s="195">
        <v>800</v>
      </c>
      <c r="G1563" s="197" t="s">
        <v>470</v>
      </c>
      <c r="H1563" s="197" t="s">
        <v>471</v>
      </c>
      <c r="J1563" s="195">
        <v>1</v>
      </c>
      <c r="K1563" s="204" t="s">
        <v>224</v>
      </c>
      <c r="L1563" s="199">
        <v>2</v>
      </c>
      <c r="M1563" s="200">
        <v>0.3</v>
      </c>
      <c r="N1563" s="201">
        <v>23</v>
      </c>
    </row>
    <row r="1564" spans="1:14">
      <c r="A1564" s="194">
        <v>41305.70884259259</v>
      </c>
      <c r="B1564" s="195">
        <v>2074</v>
      </c>
      <c r="C1564" s="194"/>
      <c r="D1564" s="194"/>
      <c r="E1564" s="196" t="s">
        <v>1577</v>
      </c>
      <c r="F1564" s="195">
        <v>800</v>
      </c>
      <c r="G1564" s="197" t="s">
        <v>470</v>
      </c>
      <c r="H1564" s="197" t="s">
        <v>471</v>
      </c>
      <c r="J1564" s="195">
        <v>1</v>
      </c>
      <c r="K1564" s="204" t="s">
        <v>224</v>
      </c>
      <c r="L1564" s="199">
        <v>1</v>
      </c>
      <c r="M1564" s="200">
        <v>0.3</v>
      </c>
      <c r="N1564" s="201">
        <v>23</v>
      </c>
    </row>
    <row r="1565" spans="1:14">
      <c r="A1565" s="194">
        <v>41291.844004629631</v>
      </c>
      <c r="B1565" s="195">
        <v>2074</v>
      </c>
      <c r="C1565" s="194"/>
      <c r="D1565" s="194"/>
      <c r="E1565" s="196" t="s">
        <v>1098</v>
      </c>
      <c r="F1565" s="195">
        <v>800</v>
      </c>
      <c r="G1565" s="197" t="s">
        <v>470</v>
      </c>
      <c r="H1565" s="197" t="s">
        <v>471</v>
      </c>
      <c r="J1565" s="195">
        <v>1</v>
      </c>
      <c r="K1565" s="204" t="s">
        <v>224</v>
      </c>
      <c r="L1565" s="199">
        <v>1</v>
      </c>
      <c r="M1565" s="200">
        <v>0.7</v>
      </c>
      <c r="N1565" s="201">
        <v>23</v>
      </c>
    </row>
    <row r="1566" spans="1:14">
      <c r="A1566" s="194">
        <v>41277.851018518515</v>
      </c>
      <c r="B1566" s="195">
        <v>2074</v>
      </c>
      <c r="C1566" s="194"/>
      <c r="D1566" s="194"/>
      <c r="E1566" s="196" t="s">
        <v>614</v>
      </c>
      <c r="F1566" s="195">
        <v>800</v>
      </c>
      <c r="G1566" s="197" t="s">
        <v>470</v>
      </c>
      <c r="H1566" s="197" t="s">
        <v>471</v>
      </c>
      <c r="J1566" s="195">
        <v>1</v>
      </c>
      <c r="K1566" s="204" t="s">
        <v>224</v>
      </c>
      <c r="L1566" s="199">
        <v>2</v>
      </c>
      <c r="M1566" s="200">
        <v>0.9</v>
      </c>
      <c r="N1566" s="201">
        <v>23</v>
      </c>
    </row>
    <row r="1567" spans="1:14">
      <c r="A1567" s="194">
        <v>41291.419108796297</v>
      </c>
      <c r="B1567" s="195">
        <v>2074</v>
      </c>
      <c r="C1567" s="194"/>
      <c r="D1567" s="194"/>
      <c r="E1567" s="196" t="s">
        <v>1096</v>
      </c>
      <c r="F1567" s="195">
        <v>800</v>
      </c>
      <c r="G1567" s="197" t="s">
        <v>470</v>
      </c>
      <c r="H1567" s="197" t="s">
        <v>471</v>
      </c>
      <c r="J1567" s="195">
        <v>1</v>
      </c>
      <c r="K1567" s="204" t="s">
        <v>224</v>
      </c>
      <c r="L1567" s="199">
        <v>1</v>
      </c>
      <c r="M1567" s="200">
        <v>0.3</v>
      </c>
      <c r="N1567" s="201">
        <v>24</v>
      </c>
    </row>
    <row r="1568" spans="1:14">
      <c r="A1568" s="194">
        <v>41284.728437500002</v>
      </c>
      <c r="B1568" s="195">
        <v>2074</v>
      </c>
      <c r="C1568" s="194"/>
      <c r="D1568" s="194"/>
      <c r="E1568" s="196" t="s">
        <v>835</v>
      </c>
      <c r="F1568" s="195">
        <v>800</v>
      </c>
      <c r="G1568" s="197" t="s">
        <v>470</v>
      </c>
      <c r="H1568" s="197" t="s">
        <v>471</v>
      </c>
      <c r="J1568" s="195">
        <v>1</v>
      </c>
      <c r="K1568" s="204" t="s">
        <v>224</v>
      </c>
      <c r="L1568" s="199">
        <v>1</v>
      </c>
      <c r="M1568" s="200">
        <v>0.4</v>
      </c>
      <c r="N1568" s="201">
        <v>24</v>
      </c>
    </row>
    <row r="1569" spans="1:14">
      <c r="A1569" s="194">
        <v>41285.630509259259</v>
      </c>
      <c r="B1569" s="195">
        <v>2074</v>
      </c>
      <c r="C1569" s="194"/>
      <c r="D1569" s="194"/>
      <c r="E1569" s="196" t="s">
        <v>922</v>
      </c>
      <c r="F1569" s="195">
        <v>800</v>
      </c>
      <c r="G1569" s="197" t="s">
        <v>470</v>
      </c>
      <c r="H1569" s="197" t="s">
        <v>471</v>
      </c>
      <c r="J1569" s="195">
        <v>1</v>
      </c>
      <c r="K1569" s="204" t="s">
        <v>224</v>
      </c>
      <c r="L1569" s="199">
        <v>1</v>
      </c>
      <c r="M1569" s="200">
        <v>0.4</v>
      </c>
      <c r="N1569" s="201">
        <v>24</v>
      </c>
    </row>
    <row r="1570" spans="1:14">
      <c r="A1570" s="194">
        <v>41297.746400462966</v>
      </c>
      <c r="B1570" s="195">
        <v>2074</v>
      </c>
      <c r="C1570" s="194"/>
      <c r="D1570" s="194"/>
      <c r="E1570" s="196" t="s">
        <v>1338</v>
      </c>
      <c r="F1570" s="195">
        <v>800</v>
      </c>
      <c r="G1570" s="197" t="s">
        <v>470</v>
      </c>
      <c r="H1570" s="197" t="s">
        <v>471</v>
      </c>
      <c r="J1570" s="195">
        <v>1</v>
      </c>
      <c r="K1570" s="204" t="s">
        <v>224</v>
      </c>
      <c r="L1570" s="199">
        <v>2</v>
      </c>
      <c r="M1570" s="200">
        <v>0.4</v>
      </c>
      <c r="N1570" s="201">
        <v>24</v>
      </c>
    </row>
    <row r="1571" spans="1:14">
      <c r="A1571" s="194">
        <v>41289.65896990741</v>
      </c>
      <c r="B1571" s="195">
        <v>2074</v>
      </c>
      <c r="C1571" s="194"/>
      <c r="D1571" s="194"/>
      <c r="E1571" s="196" t="s">
        <v>999</v>
      </c>
      <c r="F1571" s="195">
        <v>800</v>
      </c>
      <c r="G1571" s="197" t="s">
        <v>470</v>
      </c>
      <c r="H1571" s="197" t="s">
        <v>471</v>
      </c>
      <c r="J1571" s="195">
        <v>1</v>
      </c>
      <c r="K1571" s="204" t="s">
        <v>224</v>
      </c>
      <c r="L1571" s="199">
        <v>1</v>
      </c>
      <c r="M1571" s="200">
        <v>0.6</v>
      </c>
      <c r="N1571" s="201">
        <v>24</v>
      </c>
    </row>
    <row r="1572" spans="1:14">
      <c r="A1572" s="194">
        <v>41294.635057870371</v>
      </c>
      <c r="B1572" s="195">
        <v>2074</v>
      </c>
      <c r="C1572" s="194"/>
      <c r="D1572" s="194"/>
      <c r="E1572" s="196" t="s">
        <v>1144</v>
      </c>
      <c r="F1572" s="195">
        <v>800</v>
      </c>
      <c r="G1572" s="197" t="s">
        <v>470</v>
      </c>
      <c r="H1572" s="197" t="s">
        <v>471</v>
      </c>
      <c r="J1572" s="195">
        <v>1</v>
      </c>
      <c r="K1572" s="204" t="s">
        <v>224</v>
      </c>
      <c r="L1572" s="199">
        <v>3</v>
      </c>
      <c r="M1572" s="200">
        <v>0.6</v>
      </c>
      <c r="N1572" s="201">
        <v>24</v>
      </c>
    </row>
    <row r="1573" spans="1:14">
      <c r="A1573" s="194">
        <v>41298.03434027778</v>
      </c>
      <c r="B1573" s="195">
        <v>2074</v>
      </c>
      <c r="C1573" s="194"/>
      <c r="D1573" s="194"/>
      <c r="E1573" s="196" t="s">
        <v>1307</v>
      </c>
      <c r="F1573" s="195">
        <v>800</v>
      </c>
      <c r="G1573" s="197" t="s">
        <v>470</v>
      </c>
      <c r="H1573" s="197" t="s">
        <v>471</v>
      </c>
      <c r="J1573" s="195">
        <v>1</v>
      </c>
      <c r="K1573" s="204" t="s">
        <v>224</v>
      </c>
      <c r="L1573" s="199">
        <v>1</v>
      </c>
      <c r="M1573" s="200">
        <v>0.6</v>
      </c>
      <c r="N1573" s="201">
        <v>24</v>
      </c>
    </row>
    <row r="1574" spans="1:14">
      <c r="A1574" s="194">
        <v>41300.657233796293</v>
      </c>
      <c r="B1574" s="195">
        <v>2074</v>
      </c>
      <c r="C1574" s="194"/>
      <c r="D1574" s="194"/>
      <c r="E1574" s="196" t="s">
        <v>1436</v>
      </c>
      <c r="F1574" s="195">
        <v>800</v>
      </c>
      <c r="G1574" s="197" t="s">
        <v>470</v>
      </c>
      <c r="H1574" s="197" t="s">
        <v>471</v>
      </c>
      <c r="J1574" s="195">
        <v>1</v>
      </c>
      <c r="K1574" s="204" t="s">
        <v>224</v>
      </c>
      <c r="L1574" s="199">
        <v>2</v>
      </c>
      <c r="M1574" s="200">
        <v>1.1000000000000001</v>
      </c>
      <c r="N1574" s="201">
        <v>24</v>
      </c>
    </row>
    <row r="1575" spans="1:14">
      <c r="A1575" s="194">
        <v>41305.454409722224</v>
      </c>
      <c r="B1575" s="195">
        <v>2074</v>
      </c>
      <c r="C1575" s="194"/>
      <c r="D1575" s="194"/>
      <c r="E1575" s="196" t="s">
        <v>1573</v>
      </c>
      <c r="F1575" s="195">
        <v>800</v>
      </c>
      <c r="G1575" s="197" t="s">
        <v>470</v>
      </c>
      <c r="H1575" s="197" t="s">
        <v>471</v>
      </c>
      <c r="J1575" s="195">
        <v>1</v>
      </c>
      <c r="K1575" s="204" t="s">
        <v>224</v>
      </c>
      <c r="L1575" s="199">
        <v>2</v>
      </c>
      <c r="M1575" s="200">
        <v>0.4</v>
      </c>
      <c r="N1575" s="201">
        <v>25</v>
      </c>
    </row>
    <row r="1576" spans="1:14">
      <c r="A1576" s="194">
        <v>41304.544710648152</v>
      </c>
      <c r="B1576" s="195">
        <v>2074</v>
      </c>
      <c r="C1576" s="194"/>
      <c r="D1576" s="194"/>
      <c r="E1576" s="196" t="s">
        <v>1541</v>
      </c>
      <c r="F1576" s="195">
        <v>800</v>
      </c>
      <c r="G1576" s="197" t="s">
        <v>470</v>
      </c>
      <c r="H1576" s="197" t="s">
        <v>471</v>
      </c>
      <c r="J1576" s="195">
        <v>1</v>
      </c>
      <c r="K1576" s="204" t="s">
        <v>224</v>
      </c>
      <c r="L1576" s="199">
        <v>2</v>
      </c>
      <c r="M1576" s="200">
        <v>0.9</v>
      </c>
      <c r="N1576" s="201">
        <v>26</v>
      </c>
    </row>
    <row r="1577" spans="1:14">
      <c r="A1577" s="194">
        <v>41301.668333333335</v>
      </c>
      <c r="B1577" s="195">
        <v>2074</v>
      </c>
      <c r="C1577" s="194"/>
      <c r="D1577" s="194"/>
      <c r="E1577" s="196" t="s">
        <v>1397</v>
      </c>
      <c r="F1577" s="195">
        <v>800</v>
      </c>
      <c r="G1577" s="197" t="s">
        <v>470</v>
      </c>
      <c r="H1577" s="197" t="s">
        <v>471</v>
      </c>
      <c r="J1577" s="195">
        <v>1</v>
      </c>
      <c r="K1577" s="204" t="s">
        <v>224</v>
      </c>
      <c r="L1577" s="199">
        <v>2</v>
      </c>
      <c r="M1577" s="200">
        <v>0.3</v>
      </c>
      <c r="N1577" s="201">
        <v>27</v>
      </c>
    </row>
    <row r="1578" spans="1:14">
      <c r="A1578" s="194">
        <v>41302.434988425928</v>
      </c>
      <c r="B1578" s="195">
        <v>2074</v>
      </c>
      <c r="C1578" s="194"/>
      <c r="D1578" s="194"/>
      <c r="E1578" s="196" t="s">
        <v>1468</v>
      </c>
      <c r="F1578" s="195">
        <v>800</v>
      </c>
      <c r="G1578" s="197" t="s">
        <v>470</v>
      </c>
      <c r="H1578" s="197" t="s">
        <v>471</v>
      </c>
      <c r="J1578" s="195">
        <v>1</v>
      </c>
      <c r="K1578" s="204" t="s">
        <v>224</v>
      </c>
      <c r="L1578" s="199">
        <v>2</v>
      </c>
      <c r="M1578" s="200">
        <v>0.3</v>
      </c>
      <c r="N1578" s="201">
        <v>27</v>
      </c>
    </row>
    <row r="1579" spans="1:14">
      <c r="A1579" s="194">
        <v>41305.774548611109</v>
      </c>
      <c r="B1579" s="195">
        <v>2074</v>
      </c>
      <c r="C1579" s="194"/>
      <c r="D1579" s="194"/>
      <c r="E1579" s="196" t="s">
        <v>1578</v>
      </c>
      <c r="F1579" s="195">
        <v>800</v>
      </c>
      <c r="G1579" s="197" t="s">
        <v>470</v>
      </c>
      <c r="H1579" s="197" t="s">
        <v>471</v>
      </c>
      <c r="J1579" s="195">
        <v>1</v>
      </c>
      <c r="K1579" s="204" t="s">
        <v>224</v>
      </c>
      <c r="L1579" s="199">
        <v>3</v>
      </c>
      <c r="M1579" s="200">
        <v>0.5</v>
      </c>
      <c r="N1579" s="201">
        <v>27</v>
      </c>
    </row>
    <row r="1580" spans="1:14">
      <c r="A1580" s="194">
        <v>41282.527488425927</v>
      </c>
      <c r="B1580" s="195">
        <v>2074</v>
      </c>
      <c r="C1580" s="194"/>
      <c r="D1580" s="194"/>
      <c r="E1580" s="196" t="s">
        <v>732</v>
      </c>
      <c r="F1580" s="195">
        <v>800</v>
      </c>
      <c r="G1580" s="197" t="s">
        <v>470</v>
      </c>
      <c r="H1580" s="197" t="s">
        <v>471</v>
      </c>
      <c r="J1580" s="195">
        <v>1</v>
      </c>
      <c r="K1580" s="204" t="s">
        <v>224</v>
      </c>
      <c r="L1580" s="199">
        <v>2</v>
      </c>
      <c r="M1580" s="200">
        <v>0.7</v>
      </c>
      <c r="N1580" s="201">
        <v>27</v>
      </c>
    </row>
    <row r="1581" spans="1:14">
      <c r="A1581" s="194">
        <v>41283.619143518517</v>
      </c>
      <c r="B1581" s="195">
        <v>2074</v>
      </c>
      <c r="C1581" s="194"/>
      <c r="D1581" s="194"/>
      <c r="E1581" s="196" t="s">
        <v>758</v>
      </c>
      <c r="F1581" s="195">
        <v>800</v>
      </c>
      <c r="G1581" s="197" t="s">
        <v>470</v>
      </c>
      <c r="H1581" s="197" t="s">
        <v>471</v>
      </c>
      <c r="J1581" s="195">
        <v>1</v>
      </c>
      <c r="K1581" s="204" t="s">
        <v>224</v>
      </c>
      <c r="L1581" s="199">
        <v>2</v>
      </c>
      <c r="M1581" s="200">
        <v>0.7</v>
      </c>
      <c r="N1581" s="201">
        <v>27</v>
      </c>
    </row>
    <row r="1582" spans="1:14">
      <c r="A1582" s="194">
        <v>41284.80872685185</v>
      </c>
      <c r="B1582" s="195">
        <v>2074</v>
      </c>
      <c r="C1582" s="194"/>
      <c r="D1582" s="194"/>
      <c r="E1582" s="196" t="s">
        <v>836</v>
      </c>
      <c r="F1582" s="195">
        <v>800</v>
      </c>
      <c r="G1582" s="197" t="s">
        <v>470</v>
      </c>
      <c r="H1582" s="197" t="s">
        <v>471</v>
      </c>
      <c r="J1582" s="195">
        <v>1</v>
      </c>
      <c r="K1582" s="204" t="s">
        <v>224</v>
      </c>
      <c r="L1582" s="199">
        <v>2</v>
      </c>
      <c r="M1582" s="200">
        <v>0.7</v>
      </c>
      <c r="N1582" s="201">
        <v>27</v>
      </c>
    </row>
    <row r="1583" spans="1:14">
      <c r="A1583" s="194">
        <v>41287.101770833331</v>
      </c>
      <c r="B1583" s="195">
        <v>2074</v>
      </c>
      <c r="C1583" s="194"/>
      <c r="D1583" s="194"/>
      <c r="E1583" s="196" t="s">
        <v>844</v>
      </c>
      <c r="F1583" s="195">
        <v>800</v>
      </c>
      <c r="G1583" s="197" t="s">
        <v>470</v>
      </c>
      <c r="H1583" s="197" t="s">
        <v>471</v>
      </c>
      <c r="J1583" s="195">
        <v>1</v>
      </c>
      <c r="K1583" s="204" t="s">
        <v>224</v>
      </c>
      <c r="L1583" s="199">
        <v>3</v>
      </c>
      <c r="M1583" s="200">
        <v>0.8</v>
      </c>
      <c r="N1583" s="201">
        <v>27</v>
      </c>
    </row>
    <row r="1584" spans="1:14">
      <c r="A1584" s="194">
        <v>41282.756215277775</v>
      </c>
      <c r="B1584" s="195">
        <v>2074</v>
      </c>
      <c r="C1584" s="194"/>
      <c r="D1584" s="194"/>
      <c r="E1584" s="196" t="s">
        <v>734</v>
      </c>
      <c r="F1584" s="195">
        <v>800</v>
      </c>
      <c r="G1584" s="197" t="s">
        <v>470</v>
      </c>
      <c r="H1584" s="197" t="s">
        <v>471</v>
      </c>
      <c r="J1584" s="195">
        <v>1</v>
      </c>
      <c r="K1584" s="204" t="s">
        <v>224</v>
      </c>
      <c r="L1584" s="199">
        <v>2</v>
      </c>
      <c r="M1584" s="200">
        <v>0.3</v>
      </c>
      <c r="N1584" s="201">
        <v>28</v>
      </c>
    </row>
    <row r="1585" spans="1:14">
      <c r="A1585" s="194">
        <v>41304.565532407411</v>
      </c>
      <c r="B1585" s="195">
        <v>2074</v>
      </c>
      <c r="C1585" s="194"/>
      <c r="D1585" s="194"/>
      <c r="E1585" s="196" t="s">
        <v>1542</v>
      </c>
      <c r="F1585" s="195">
        <v>800</v>
      </c>
      <c r="G1585" s="197" t="s">
        <v>470</v>
      </c>
      <c r="H1585" s="197" t="s">
        <v>471</v>
      </c>
      <c r="J1585" s="195">
        <v>1</v>
      </c>
      <c r="K1585" s="204" t="s">
        <v>224</v>
      </c>
      <c r="L1585" s="199">
        <v>3</v>
      </c>
      <c r="M1585" s="200">
        <v>0.3</v>
      </c>
      <c r="N1585" s="201">
        <v>28</v>
      </c>
    </row>
    <row r="1586" spans="1:14">
      <c r="A1586" s="194">
        <v>41297.331886574073</v>
      </c>
      <c r="B1586" s="195">
        <v>2074</v>
      </c>
      <c r="C1586" s="194"/>
      <c r="D1586" s="194"/>
      <c r="E1586" s="196" t="s">
        <v>1337</v>
      </c>
      <c r="F1586" s="195">
        <v>800</v>
      </c>
      <c r="G1586" s="197" t="s">
        <v>470</v>
      </c>
      <c r="H1586" s="197" t="s">
        <v>471</v>
      </c>
      <c r="J1586" s="195">
        <v>1</v>
      </c>
      <c r="K1586" s="204" t="s">
        <v>224</v>
      </c>
      <c r="L1586" s="199">
        <v>1</v>
      </c>
      <c r="M1586" s="200">
        <v>0.4</v>
      </c>
      <c r="N1586" s="201">
        <v>28</v>
      </c>
    </row>
    <row r="1587" spans="1:14">
      <c r="A1587" s="194">
        <v>41293.552430555559</v>
      </c>
      <c r="B1587" s="195">
        <v>2074</v>
      </c>
      <c r="C1587" s="194"/>
      <c r="D1587" s="194"/>
      <c r="E1587" s="196" t="s">
        <v>1191</v>
      </c>
      <c r="F1587" s="195">
        <v>800</v>
      </c>
      <c r="G1587" s="197" t="s">
        <v>470</v>
      </c>
      <c r="H1587" s="197" t="s">
        <v>471</v>
      </c>
      <c r="J1587" s="195">
        <v>1</v>
      </c>
      <c r="K1587" s="204" t="s">
        <v>224</v>
      </c>
      <c r="L1587" s="199">
        <v>2</v>
      </c>
      <c r="M1587" s="200">
        <v>0.7</v>
      </c>
      <c r="N1587" s="201">
        <v>28</v>
      </c>
    </row>
    <row r="1588" spans="1:14">
      <c r="A1588" s="194">
        <v>41289.507337962961</v>
      </c>
      <c r="B1588" s="195">
        <v>2074</v>
      </c>
      <c r="C1588" s="194"/>
      <c r="D1588" s="194"/>
      <c r="E1588" s="196" t="s">
        <v>995</v>
      </c>
      <c r="F1588" s="195">
        <v>800</v>
      </c>
      <c r="G1588" s="197" t="s">
        <v>470</v>
      </c>
      <c r="H1588" s="197" t="s">
        <v>471</v>
      </c>
      <c r="J1588" s="195">
        <v>1</v>
      </c>
      <c r="K1588" s="204" t="s">
        <v>224</v>
      </c>
      <c r="L1588" s="199">
        <v>1</v>
      </c>
      <c r="M1588" s="200">
        <v>1.8</v>
      </c>
      <c r="N1588" s="201">
        <v>28</v>
      </c>
    </row>
    <row r="1589" spans="1:14">
      <c r="A1589" s="194">
        <v>41289.739525462966</v>
      </c>
      <c r="B1589" s="195">
        <v>2074</v>
      </c>
      <c r="C1589" s="194"/>
      <c r="D1589" s="194"/>
      <c r="E1589" s="196" t="s">
        <v>1000</v>
      </c>
      <c r="F1589" s="195">
        <v>800</v>
      </c>
      <c r="G1589" s="197" t="s">
        <v>470</v>
      </c>
      <c r="H1589" s="197" t="s">
        <v>471</v>
      </c>
      <c r="J1589" s="195">
        <v>1</v>
      </c>
      <c r="K1589" s="204" t="s">
        <v>224</v>
      </c>
      <c r="L1589" s="199">
        <v>1</v>
      </c>
      <c r="M1589" s="200">
        <v>0.5</v>
      </c>
      <c r="N1589" s="201">
        <v>29</v>
      </c>
    </row>
    <row r="1590" spans="1:14">
      <c r="A1590" s="194">
        <v>41293.775347222225</v>
      </c>
      <c r="B1590" s="195">
        <v>2074</v>
      </c>
      <c r="C1590" s="194"/>
      <c r="D1590" s="194"/>
      <c r="E1590" s="196" t="s">
        <v>1192</v>
      </c>
      <c r="F1590" s="195">
        <v>800</v>
      </c>
      <c r="G1590" s="197" t="s">
        <v>470</v>
      </c>
      <c r="H1590" s="197" t="s">
        <v>471</v>
      </c>
      <c r="J1590" s="195">
        <v>1</v>
      </c>
      <c r="K1590" s="204" t="s">
        <v>224</v>
      </c>
      <c r="L1590" s="199">
        <v>2</v>
      </c>
      <c r="M1590" s="200">
        <v>1</v>
      </c>
      <c r="N1590" s="201">
        <v>30</v>
      </c>
    </row>
    <row r="1591" spans="1:14">
      <c r="A1591" s="194">
        <v>41301.741261574076</v>
      </c>
      <c r="B1591" s="195">
        <v>2074</v>
      </c>
      <c r="C1591" s="194"/>
      <c r="D1591" s="194"/>
      <c r="E1591" s="196" t="s">
        <v>1399</v>
      </c>
      <c r="F1591" s="195">
        <v>800</v>
      </c>
      <c r="G1591" s="197" t="s">
        <v>470</v>
      </c>
      <c r="H1591" s="197" t="s">
        <v>471</v>
      </c>
      <c r="J1591" s="195">
        <v>1</v>
      </c>
      <c r="K1591" s="204" t="s">
        <v>224</v>
      </c>
      <c r="L1591" s="199">
        <v>1</v>
      </c>
      <c r="M1591" s="200">
        <v>1.6</v>
      </c>
      <c r="N1591" s="201">
        <v>30</v>
      </c>
    </row>
    <row r="1592" spans="1:14">
      <c r="A1592" s="194">
        <v>41299.47042824074</v>
      </c>
      <c r="B1592" s="195">
        <v>2074</v>
      </c>
      <c r="C1592" s="194"/>
      <c r="D1592" s="194"/>
      <c r="E1592" s="196" t="s">
        <v>1380</v>
      </c>
      <c r="F1592" s="195">
        <v>800</v>
      </c>
      <c r="G1592" s="197" t="s">
        <v>470</v>
      </c>
      <c r="H1592" s="197" t="s">
        <v>471</v>
      </c>
      <c r="J1592" s="195">
        <v>1</v>
      </c>
      <c r="K1592" s="204" t="s">
        <v>224</v>
      </c>
      <c r="L1592" s="199">
        <v>2</v>
      </c>
      <c r="M1592" s="200">
        <v>0.6</v>
      </c>
      <c r="N1592" s="201">
        <v>31</v>
      </c>
    </row>
    <row r="1593" spans="1:14">
      <c r="A1593" s="194">
        <v>41278.647222222222</v>
      </c>
      <c r="B1593" s="195">
        <v>2074</v>
      </c>
      <c r="C1593" s="194"/>
      <c r="D1593" s="194"/>
      <c r="E1593" s="196" t="s">
        <v>592</v>
      </c>
      <c r="F1593" s="195">
        <v>800</v>
      </c>
      <c r="G1593" s="197" t="s">
        <v>470</v>
      </c>
      <c r="H1593" s="197" t="s">
        <v>471</v>
      </c>
      <c r="J1593" s="195">
        <v>1</v>
      </c>
      <c r="K1593" s="204" t="s">
        <v>224</v>
      </c>
      <c r="L1593" s="199">
        <v>2</v>
      </c>
      <c r="M1593" s="200">
        <v>0.9</v>
      </c>
      <c r="N1593" s="201">
        <v>31</v>
      </c>
    </row>
    <row r="1594" spans="1:14">
      <c r="A1594" s="194">
        <v>41305.610659722224</v>
      </c>
      <c r="B1594" s="195">
        <v>2074</v>
      </c>
      <c r="C1594" s="194"/>
      <c r="D1594" s="194"/>
      <c r="E1594" s="196" t="s">
        <v>1576</v>
      </c>
      <c r="F1594" s="195">
        <v>800</v>
      </c>
      <c r="G1594" s="197" t="s">
        <v>470</v>
      </c>
      <c r="H1594" s="197" t="s">
        <v>471</v>
      </c>
      <c r="J1594" s="195">
        <v>1</v>
      </c>
      <c r="K1594" s="204" t="s">
        <v>224</v>
      </c>
      <c r="L1594" s="199">
        <v>2</v>
      </c>
      <c r="M1594" s="200">
        <v>0.3</v>
      </c>
      <c r="N1594" s="201">
        <v>32</v>
      </c>
    </row>
    <row r="1595" spans="1:14">
      <c r="A1595" s="194">
        <v>41300.553055555552</v>
      </c>
      <c r="B1595" s="195">
        <v>2074</v>
      </c>
      <c r="C1595" s="194"/>
      <c r="D1595" s="194"/>
      <c r="E1595" s="196" t="s">
        <v>1434</v>
      </c>
      <c r="F1595" s="195">
        <v>800</v>
      </c>
      <c r="G1595" s="197" t="s">
        <v>470</v>
      </c>
      <c r="H1595" s="197" t="s">
        <v>471</v>
      </c>
      <c r="J1595" s="195">
        <v>1</v>
      </c>
      <c r="K1595" s="204" t="s">
        <v>224</v>
      </c>
      <c r="L1595" s="199">
        <v>3</v>
      </c>
      <c r="M1595" s="200">
        <v>0.4</v>
      </c>
      <c r="N1595" s="201">
        <v>34</v>
      </c>
    </row>
    <row r="1596" spans="1:14">
      <c r="A1596" s="194">
        <v>41304.374212962961</v>
      </c>
      <c r="B1596" s="195">
        <v>2074</v>
      </c>
      <c r="C1596" s="194"/>
      <c r="D1596" s="194"/>
      <c r="E1596" s="196" t="s">
        <v>1540</v>
      </c>
      <c r="F1596" s="195">
        <v>800</v>
      </c>
      <c r="G1596" s="197" t="s">
        <v>470</v>
      </c>
      <c r="H1596" s="197" t="s">
        <v>471</v>
      </c>
      <c r="J1596" s="195">
        <v>1</v>
      </c>
      <c r="K1596" s="204" t="s">
        <v>224</v>
      </c>
      <c r="L1596" s="199">
        <v>2</v>
      </c>
      <c r="M1596" s="200">
        <v>1.3</v>
      </c>
      <c r="N1596" s="201">
        <v>37</v>
      </c>
    </row>
    <row r="1597" spans="1:14">
      <c r="A1597" s="194">
        <v>41296.75545138889</v>
      </c>
      <c r="B1597" s="195">
        <v>2074</v>
      </c>
      <c r="C1597" s="194"/>
      <c r="D1597" s="194"/>
      <c r="E1597" s="198"/>
      <c r="G1597" s="202"/>
      <c r="J1597" s="195">
        <v>2</v>
      </c>
      <c r="K1597" s="204" t="s">
        <v>32</v>
      </c>
      <c r="L1597" s="199">
        <v>3</v>
      </c>
      <c r="M1597" s="200">
        <v>0.8</v>
      </c>
      <c r="N1597" s="201">
        <v>16</v>
      </c>
    </row>
    <row r="1598" spans="1:14">
      <c r="A1598" s="194">
        <v>41284.969259259262</v>
      </c>
      <c r="B1598" s="195">
        <v>2074</v>
      </c>
      <c r="C1598" s="194"/>
      <c r="D1598" s="194"/>
      <c r="E1598" s="198"/>
      <c r="G1598" s="202"/>
      <c r="J1598" s="195">
        <v>2</v>
      </c>
      <c r="K1598" s="204" t="s">
        <v>32</v>
      </c>
      <c r="L1598" s="199">
        <v>3</v>
      </c>
      <c r="M1598" s="200">
        <v>19.5</v>
      </c>
      <c r="N1598" s="201">
        <v>18</v>
      </c>
    </row>
    <row r="1599" spans="1:14">
      <c r="A1599" s="194">
        <v>41295.49962962963</v>
      </c>
      <c r="B1599" s="195">
        <v>2074</v>
      </c>
      <c r="C1599" s="194"/>
      <c r="D1599" s="194"/>
      <c r="E1599" s="198"/>
      <c r="G1599" s="202"/>
      <c r="J1599" s="195">
        <v>2</v>
      </c>
      <c r="K1599" s="204" t="s">
        <v>32</v>
      </c>
      <c r="L1599" s="199">
        <v>2</v>
      </c>
      <c r="M1599" s="200">
        <v>0.4</v>
      </c>
      <c r="N1599" s="201">
        <v>20</v>
      </c>
    </row>
    <row r="1600" spans="1:14">
      <c r="A1600" s="194">
        <v>41291.670081018521</v>
      </c>
      <c r="B1600" s="195">
        <v>2074</v>
      </c>
      <c r="C1600" s="194"/>
      <c r="D1600" s="194"/>
      <c r="E1600" s="198"/>
      <c r="G1600" s="202"/>
      <c r="J1600" s="195">
        <v>2</v>
      </c>
      <c r="K1600" s="204" t="s">
        <v>32</v>
      </c>
      <c r="L1600" s="199">
        <v>2</v>
      </c>
      <c r="M1600" s="200">
        <v>0.9</v>
      </c>
      <c r="N1600" s="201">
        <v>20</v>
      </c>
    </row>
    <row r="1601" spans="1:14">
      <c r="A1601" s="194">
        <v>41300.481527777774</v>
      </c>
      <c r="B1601" s="195">
        <v>2074</v>
      </c>
      <c r="C1601" s="194"/>
      <c r="D1601" s="194"/>
      <c r="E1601" s="198"/>
      <c r="G1601" s="202"/>
      <c r="J1601" s="195">
        <v>2</v>
      </c>
      <c r="K1601" s="204" t="s">
        <v>32</v>
      </c>
      <c r="L1601" s="199">
        <v>2</v>
      </c>
      <c r="M1601" s="200">
        <v>0.4</v>
      </c>
      <c r="N1601" s="201">
        <v>21</v>
      </c>
    </row>
    <row r="1602" spans="1:14">
      <c r="A1602" s="194">
        <v>41304.699826388889</v>
      </c>
      <c r="B1602" s="195">
        <v>2074</v>
      </c>
      <c r="C1602" s="194"/>
      <c r="D1602" s="194"/>
      <c r="E1602" s="198"/>
      <c r="G1602" s="202"/>
      <c r="J1602" s="195">
        <v>2</v>
      </c>
      <c r="K1602" s="204" t="s">
        <v>32</v>
      </c>
      <c r="L1602" s="199">
        <v>2</v>
      </c>
      <c r="M1602" s="200">
        <v>0.7</v>
      </c>
      <c r="N1602" s="201">
        <v>21</v>
      </c>
    </row>
    <row r="1603" spans="1:14">
      <c r="A1603" s="194">
        <v>41305.522465277776</v>
      </c>
      <c r="B1603" s="195">
        <v>2074</v>
      </c>
      <c r="C1603" s="194"/>
      <c r="D1603" s="194"/>
      <c r="E1603" s="198"/>
      <c r="G1603" s="202"/>
      <c r="J1603" s="195">
        <v>2</v>
      </c>
      <c r="K1603" s="204" t="s">
        <v>32</v>
      </c>
      <c r="L1603" s="199">
        <v>1</v>
      </c>
      <c r="M1603" s="200">
        <v>0.3</v>
      </c>
      <c r="N1603" s="201">
        <v>22</v>
      </c>
    </row>
    <row r="1604" spans="1:14">
      <c r="A1604" s="194">
        <v>41296.63113425926</v>
      </c>
      <c r="B1604" s="195">
        <v>2074</v>
      </c>
      <c r="C1604" s="194"/>
      <c r="D1604" s="194"/>
      <c r="E1604" s="198"/>
      <c r="G1604" s="202"/>
      <c r="J1604" s="195">
        <v>2</v>
      </c>
      <c r="K1604" s="204" t="s">
        <v>32</v>
      </c>
      <c r="L1604" s="199">
        <v>1</v>
      </c>
      <c r="M1604" s="200">
        <v>0.3</v>
      </c>
      <c r="N1604" s="201">
        <v>22</v>
      </c>
    </row>
    <row r="1605" spans="1:14">
      <c r="A1605" s="194">
        <v>41293.551041666666</v>
      </c>
      <c r="B1605" s="195">
        <v>2074</v>
      </c>
      <c r="C1605" s="194"/>
      <c r="D1605" s="194"/>
      <c r="E1605" s="198"/>
      <c r="G1605" s="202"/>
      <c r="J1605" s="195">
        <v>2</v>
      </c>
      <c r="K1605" s="204" t="s">
        <v>32</v>
      </c>
      <c r="L1605" s="199">
        <v>3</v>
      </c>
      <c r="M1605" s="200">
        <v>0.3</v>
      </c>
      <c r="N1605" s="201">
        <v>23</v>
      </c>
    </row>
    <row r="1606" spans="1:14">
      <c r="A1606" s="194">
        <v>41299.514178240737</v>
      </c>
      <c r="B1606" s="195">
        <v>2074</v>
      </c>
      <c r="C1606" s="194"/>
      <c r="D1606" s="194"/>
      <c r="E1606" s="198"/>
      <c r="G1606" s="202"/>
      <c r="J1606" s="195">
        <v>2</v>
      </c>
      <c r="K1606" s="204" t="s">
        <v>32</v>
      </c>
      <c r="L1606" s="199">
        <v>1</v>
      </c>
      <c r="M1606" s="200">
        <v>0.5</v>
      </c>
      <c r="N1606" s="201">
        <v>27</v>
      </c>
    </row>
    <row r="1607" spans="1:14">
      <c r="A1607" s="194">
        <v>41278.824733796297</v>
      </c>
      <c r="B1607" s="195">
        <v>2074</v>
      </c>
      <c r="C1607" s="194"/>
      <c r="D1607" s="194"/>
      <c r="E1607" s="198"/>
      <c r="G1607" s="202"/>
      <c r="J1607" s="195">
        <v>2</v>
      </c>
      <c r="K1607" s="204" t="s">
        <v>32</v>
      </c>
      <c r="L1607" s="199">
        <v>2</v>
      </c>
      <c r="M1607" s="200">
        <v>1.2</v>
      </c>
      <c r="N1607" s="201">
        <v>27</v>
      </c>
    </row>
    <row r="1608" spans="1:14">
      <c r="A1608" s="194">
        <v>41279.587916666664</v>
      </c>
      <c r="B1608" s="195">
        <v>2074</v>
      </c>
      <c r="C1608" s="194"/>
      <c r="D1608" s="194"/>
      <c r="E1608" s="198"/>
      <c r="G1608" s="202"/>
      <c r="J1608" s="195">
        <v>2</v>
      </c>
      <c r="K1608" s="204" t="s">
        <v>32</v>
      </c>
      <c r="L1608" s="199">
        <v>2</v>
      </c>
      <c r="M1608" s="200">
        <v>0.7</v>
      </c>
      <c r="N1608" s="201">
        <v>29</v>
      </c>
    </row>
    <row r="1609" spans="1:14">
      <c r="A1609" s="194">
        <v>41281.488611111112</v>
      </c>
      <c r="B1609" s="195">
        <v>2074</v>
      </c>
      <c r="C1609" s="194"/>
      <c r="D1609" s="194"/>
      <c r="E1609" s="198"/>
      <c r="G1609" s="202"/>
      <c r="J1609" s="195">
        <v>2</v>
      </c>
      <c r="K1609" s="204" t="s">
        <v>32</v>
      </c>
      <c r="L1609" s="199">
        <v>1</v>
      </c>
      <c r="M1609" s="200">
        <v>1.2</v>
      </c>
      <c r="N1609" s="201">
        <v>29</v>
      </c>
    </row>
    <row r="1610" spans="1:14">
      <c r="A1610" s="194">
        <v>41278.776805555557</v>
      </c>
      <c r="B1610" s="195">
        <v>2074</v>
      </c>
      <c r="C1610" s="194"/>
      <c r="D1610" s="194"/>
      <c r="E1610" s="198"/>
      <c r="G1610" s="202"/>
      <c r="J1610" s="195">
        <v>2</v>
      </c>
      <c r="K1610" s="204" t="s">
        <v>32</v>
      </c>
      <c r="L1610" s="199">
        <v>3</v>
      </c>
      <c r="M1610" s="200">
        <v>0.3</v>
      </c>
      <c r="N1610" s="201">
        <v>32</v>
      </c>
    </row>
    <row r="1611" spans="1:14">
      <c r="A1611" s="194">
        <v>41305.51761574074</v>
      </c>
      <c r="B1611" s="195">
        <v>2074</v>
      </c>
      <c r="C1611" s="194"/>
      <c r="D1611" s="194"/>
      <c r="E1611" s="198"/>
      <c r="G1611" s="202"/>
      <c r="J1611" s="195">
        <v>3</v>
      </c>
      <c r="K1611" s="204" t="s">
        <v>1595</v>
      </c>
      <c r="L1611" s="199">
        <v>1</v>
      </c>
      <c r="M1611" s="200">
        <v>1.1000000000000001</v>
      </c>
      <c r="N1611" s="201">
        <v>18</v>
      </c>
    </row>
    <row r="1612" spans="1:14">
      <c r="A1612" s="194">
        <v>41290.102465277778</v>
      </c>
      <c r="B1612" s="195">
        <v>2074</v>
      </c>
      <c r="C1612" s="194"/>
      <c r="D1612" s="194"/>
      <c r="E1612" s="198"/>
      <c r="G1612" s="202"/>
      <c r="J1612" s="195">
        <v>3</v>
      </c>
      <c r="K1612" s="204" t="s">
        <v>1595</v>
      </c>
      <c r="L1612" s="199">
        <v>2</v>
      </c>
      <c r="M1612" s="200">
        <v>1.1000000000000001</v>
      </c>
      <c r="N1612" s="201">
        <v>18</v>
      </c>
    </row>
    <row r="1613" spans="1:14">
      <c r="A1613" s="194">
        <v>41290.643692129626</v>
      </c>
      <c r="B1613" s="195">
        <v>2074</v>
      </c>
      <c r="C1613" s="194"/>
      <c r="D1613" s="194"/>
      <c r="E1613" s="198"/>
      <c r="G1613" s="202"/>
      <c r="J1613" s="195">
        <v>3</v>
      </c>
      <c r="K1613" s="204" t="s">
        <v>1595</v>
      </c>
      <c r="L1613" s="199">
        <v>1</v>
      </c>
      <c r="M1613" s="200">
        <v>0.6</v>
      </c>
      <c r="N1613" s="201">
        <v>20</v>
      </c>
    </row>
    <row r="1614" spans="1:14">
      <c r="A1614" s="194">
        <v>41302.51971064815</v>
      </c>
      <c r="B1614" s="195">
        <v>2074</v>
      </c>
      <c r="C1614" s="194"/>
      <c r="D1614" s="194"/>
      <c r="E1614" s="198"/>
      <c r="G1614" s="202"/>
      <c r="J1614" s="195">
        <v>3</v>
      </c>
      <c r="K1614" s="204" t="s">
        <v>1595</v>
      </c>
      <c r="L1614" s="199">
        <v>2</v>
      </c>
      <c r="M1614" s="200">
        <v>0.3</v>
      </c>
      <c r="N1614" s="201">
        <v>27</v>
      </c>
    </row>
    <row r="1615" spans="1:14">
      <c r="A1615" s="194">
        <v>41298.498912037037</v>
      </c>
      <c r="B1615" s="195">
        <v>2074</v>
      </c>
      <c r="C1615" s="194"/>
      <c r="D1615" s="194"/>
      <c r="E1615" s="198"/>
      <c r="G1615" s="202"/>
      <c r="J1615" s="195">
        <v>10</v>
      </c>
      <c r="K1615" s="204" t="s">
        <v>31</v>
      </c>
      <c r="L1615" s="199">
        <v>2</v>
      </c>
      <c r="M1615" s="200">
        <v>0.6</v>
      </c>
      <c r="N1615" s="201">
        <v>25</v>
      </c>
    </row>
    <row r="1616" spans="1:14">
      <c r="A1616" s="194">
        <v>41284.599699074075</v>
      </c>
      <c r="B1616" s="195">
        <v>2074</v>
      </c>
      <c r="C1616" s="194"/>
      <c r="D1616" s="194"/>
      <c r="E1616" s="198"/>
      <c r="G1616" s="202"/>
      <c r="J1616" s="195">
        <v>11</v>
      </c>
      <c r="K1616" s="204" t="s">
        <v>1</v>
      </c>
      <c r="L1616" s="199">
        <v>1</v>
      </c>
      <c r="M1616" s="200">
        <v>1</v>
      </c>
      <c r="N1616" s="201">
        <v>20</v>
      </c>
    </row>
    <row r="1617" spans="1:14">
      <c r="A1617" s="194">
        <v>41300.76</v>
      </c>
      <c r="B1617" s="195">
        <v>2074</v>
      </c>
      <c r="C1617" s="194"/>
      <c r="D1617" s="194"/>
      <c r="E1617" s="196" t="s">
        <v>1963</v>
      </c>
      <c r="G1617" s="202"/>
      <c r="J1617" s="195">
        <v>11</v>
      </c>
      <c r="K1617" s="204" t="s">
        <v>1</v>
      </c>
      <c r="L1617" s="199">
        <v>1</v>
      </c>
      <c r="M1617" s="200">
        <v>0.5</v>
      </c>
      <c r="N1617" s="201">
        <v>22</v>
      </c>
    </row>
    <row r="1618" spans="1:14">
      <c r="A1618" s="194">
        <v>41281.756921296299</v>
      </c>
      <c r="B1618" s="195">
        <v>2074</v>
      </c>
      <c r="C1618" s="194"/>
      <c r="D1618" s="194"/>
      <c r="E1618" s="196" t="s">
        <v>1752</v>
      </c>
      <c r="G1618" s="202"/>
      <c r="J1618" s="195">
        <v>11</v>
      </c>
      <c r="K1618" s="204" t="s">
        <v>1</v>
      </c>
      <c r="L1618" s="199">
        <v>1</v>
      </c>
      <c r="M1618" s="200">
        <v>0.5</v>
      </c>
      <c r="N1618" s="201">
        <v>23</v>
      </c>
    </row>
    <row r="1619" spans="1:14">
      <c r="A1619" s="194">
        <v>41290.571203703701</v>
      </c>
      <c r="B1619" s="195">
        <v>2074</v>
      </c>
      <c r="C1619" s="194"/>
      <c r="D1619" s="194"/>
      <c r="E1619" s="196" t="s">
        <v>1889</v>
      </c>
      <c r="G1619" s="202"/>
      <c r="J1619" s="195">
        <v>11</v>
      </c>
      <c r="K1619" s="204" t="s">
        <v>1</v>
      </c>
      <c r="L1619" s="199">
        <v>1</v>
      </c>
      <c r="M1619" s="200">
        <v>0.7</v>
      </c>
      <c r="N1619" s="201">
        <v>24</v>
      </c>
    </row>
    <row r="1620" spans="1:14">
      <c r="A1620" s="194">
        <v>41283.700659722221</v>
      </c>
      <c r="B1620" s="195">
        <v>2074</v>
      </c>
      <c r="C1620" s="194"/>
      <c r="D1620" s="194"/>
      <c r="E1620" s="198"/>
      <c r="G1620" s="202"/>
      <c r="J1620" s="195">
        <v>11</v>
      </c>
      <c r="K1620" s="204" t="s">
        <v>1</v>
      </c>
      <c r="L1620" s="199">
        <v>1</v>
      </c>
      <c r="M1620" s="200">
        <v>0.3</v>
      </c>
      <c r="N1620" s="201">
        <v>25</v>
      </c>
    </row>
    <row r="1621" spans="1:14">
      <c r="A1621" s="194">
        <v>41304.610671296294</v>
      </c>
      <c r="B1621" s="195">
        <v>2074</v>
      </c>
      <c r="C1621" s="194"/>
      <c r="D1621" s="194"/>
      <c r="E1621" s="198"/>
      <c r="G1621" s="202"/>
      <c r="J1621" s="195">
        <v>11</v>
      </c>
      <c r="K1621" s="204" t="s">
        <v>1</v>
      </c>
      <c r="L1621" s="199">
        <v>1</v>
      </c>
      <c r="M1621" s="200">
        <v>0.9</v>
      </c>
      <c r="N1621" s="201">
        <v>25</v>
      </c>
    </row>
    <row r="1622" spans="1:14">
      <c r="A1622" s="194">
        <v>41289.339606481481</v>
      </c>
      <c r="B1622" s="195">
        <v>2074</v>
      </c>
      <c r="C1622" s="194"/>
      <c r="D1622" s="194"/>
      <c r="E1622" s="196" t="s">
        <v>1907</v>
      </c>
      <c r="G1622" s="202"/>
      <c r="J1622" s="195">
        <v>11</v>
      </c>
      <c r="K1622" s="204" t="s">
        <v>1</v>
      </c>
      <c r="L1622" s="199">
        <v>1</v>
      </c>
      <c r="M1622" s="200">
        <v>0.8</v>
      </c>
      <c r="N1622" s="201">
        <v>26</v>
      </c>
    </row>
    <row r="1623" spans="1:14">
      <c r="A1623" s="194">
        <v>41292.79409722222</v>
      </c>
      <c r="B1623" s="195">
        <v>2074</v>
      </c>
      <c r="C1623" s="194"/>
      <c r="D1623" s="194"/>
      <c r="E1623" s="198"/>
      <c r="G1623" s="202"/>
      <c r="J1623" s="195">
        <v>12</v>
      </c>
      <c r="K1623" s="204" t="s">
        <v>7</v>
      </c>
      <c r="L1623" s="199">
        <v>1</v>
      </c>
      <c r="M1623" s="200">
        <v>0.5</v>
      </c>
      <c r="N1623" s="201">
        <v>27</v>
      </c>
    </row>
    <row r="1624" spans="1:14">
      <c r="A1624" s="194">
        <v>41284.558032407411</v>
      </c>
      <c r="B1624" s="195">
        <v>2074</v>
      </c>
      <c r="C1624" s="194"/>
      <c r="D1624" s="194"/>
      <c r="E1624" s="198"/>
      <c r="G1624" s="202"/>
      <c r="J1624" s="195">
        <v>12</v>
      </c>
      <c r="K1624" s="204" t="s">
        <v>7</v>
      </c>
      <c r="L1624" s="199">
        <v>1</v>
      </c>
      <c r="M1624" s="200">
        <v>0.3</v>
      </c>
      <c r="N1624" s="201">
        <v>35</v>
      </c>
    </row>
    <row r="1625" spans="1:14">
      <c r="A1625" s="194">
        <v>41298.754733796297</v>
      </c>
      <c r="B1625" s="195">
        <v>2074</v>
      </c>
      <c r="C1625" s="194"/>
      <c r="D1625" s="194"/>
      <c r="E1625" s="198"/>
      <c r="G1625" s="202"/>
      <c r="J1625" s="195">
        <v>13</v>
      </c>
      <c r="K1625" s="204" t="s">
        <v>3</v>
      </c>
      <c r="L1625" s="199">
        <v>1</v>
      </c>
      <c r="M1625" s="200">
        <v>0.3</v>
      </c>
      <c r="N1625" s="201">
        <v>20</v>
      </c>
    </row>
    <row r="1626" spans="1:14">
      <c r="A1626" s="194">
        <v>41290.619814814818</v>
      </c>
      <c r="B1626" s="195">
        <v>2074</v>
      </c>
      <c r="C1626" s="194"/>
      <c r="D1626" s="194"/>
      <c r="E1626" s="198"/>
      <c r="G1626" s="202"/>
      <c r="J1626" s="195">
        <v>13</v>
      </c>
      <c r="K1626" s="204" t="s">
        <v>3</v>
      </c>
      <c r="L1626" s="199">
        <v>1</v>
      </c>
      <c r="M1626" s="200">
        <v>0.3</v>
      </c>
      <c r="N1626" s="201">
        <v>20</v>
      </c>
    </row>
    <row r="1627" spans="1:14">
      <c r="A1627" s="194">
        <v>41305.626898148148</v>
      </c>
      <c r="B1627" s="195">
        <v>2074</v>
      </c>
      <c r="C1627" s="194"/>
      <c r="D1627" s="194"/>
      <c r="E1627" s="198"/>
      <c r="G1627" s="202"/>
      <c r="J1627" s="195">
        <v>14</v>
      </c>
      <c r="K1627" s="204" t="s">
        <v>2</v>
      </c>
      <c r="L1627" s="199">
        <v>1</v>
      </c>
      <c r="M1627" s="200">
        <v>0.6</v>
      </c>
      <c r="N1627" s="201">
        <v>22</v>
      </c>
    </row>
    <row r="1628" spans="1:14">
      <c r="A1628" s="194">
        <v>41303.765115740738</v>
      </c>
      <c r="B1628" s="195">
        <v>2074</v>
      </c>
      <c r="C1628" s="194"/>
      <c r="D1628" s="194"/>
      <c r="E1628" s="198"/>
      <c r="G1628" s="202"/>
      <c r="J1628" s="195">
        <v>14</v>
      </c>
      <c r="K1628" s="204" t="s">
        <v>2</v>
      </c>
      <c r="L1628" s="199">
        <v>1</v>
      </c>
      <c r="M1628" s="200">
        <v>0.7</v>
      </c>
      <c r="N1628" s="201">
        <v>24</v>
      </c>
    </row>
    <row r="1629" spans="1:14">
      <c r="A1629" s="194">
        <v>41293.088703703703</v>
      </c>
      <c r="B1629" s="195">
        <v>2074</v>
      </c>
      <c r="C1629" s="194"/>
      <c r="D1629" s="194"/>
      <c r="E1629" s="198"/>
      <c r="G1629" s="202"/>
      <c r="J1629" s="195">
        <v>17</v>
      </c>
      <c r="K1629" s="204" t="s">
        <v>11</v>
      </c>
      <c r="L1629" s="199">
        <v>3</v>
      </c>
      <c r="M1629" s="200">
        <v>14.3</v>
      </c>
      <c r="N1629" s="201">
        <v>11</v>
      </c>
    </row>
    <row r="1630" spans="1:14">
      <c r="A1630" s="194">
        <v>41300.625289351854</v>
      </c>
      <c r="B1630" s="195">
        <v>2074</v>
      </c>
      <c r="C1630" s="194"/>
      <c r="D1630" s="194"/>
      <c r="E1630" s="198"/>
      <c r="G1630" s="202"/>
      <c r="J1630" s="195">
        <v>17</v>
      </c>
      <c r="K1630" s="204" t="s">
        <v>11</v>
      </c>
      <c r="L1630" s="199">
        <v>1</v>
      </c>
      <c r="M1630" s="200">
        <v>1.6</v>
      </c>
      <c r="N1630" s="201">
        <v>16</v>
      </c>
    </row>
    <row r="1631" spans="1:14">
      <c r="A1631" s="194">
        <v>41295.472592592596</v>
      </c>
      <c r="B1631" s="195">
        <v>2074</v>
      </c>
      <c r="C1631" s="194"/>
      <c r="D1631" s="194"/>
      <c r="E1631" s="196" t="s">
        <v>2114</v>
      </c>
      <c r="G1631" s="202"/>
      <c r="J1631" s="195">
        <v>17</v>
      </c>
      <c r="K1631" s="204" t="s">
        <v>11</v>
      </c>
      <c r="L1631" s="199">
        <v>3</v>
      </c>
      <c r="M1631" s="200">
        <v>4.2</v>
      </c>
      <c r="N1631" s="201">
        <v>16</v>
      </c>
    </row>
    <row r="1632" spans="1:14">
      <c r="A1632" s="194">
        <v>41295.487893518519</v>
      </c>
      <c r="B1632" s="195">
        <v>2074</v>
      </c>
      <c r="C1632" s="194"/>
      <c r="D1632" s="194"/>
      <c r="E1632" s="198"/>
      <c r="G1632" s="202"/>
      <c r="J1632" s="195">
        <v>17</v>
      </c>
      <c r="K1632" s="204" t="s">
        <v>11</v>
      </c>
      <c r="L1632" s="199">
        <v>1</v>
      </c>
      <c r="M1632" s="200">
        <v>6.1</v>
      </c>
      <c r="N1632" s="201">
        <v>16</v>
      </c>
    </row>
    <row r="1633" spans="1:14">
      <c r="A1633" s="194">
        <v>41295.490069444444</v>
      </c>
      <c r="B1633" s="195">
        <v>2074</v>
      </c>
      <c r="C1633" s="194"/>
      <c r="D1633" s="194"/>
      <c r="E1633" s="198"/>
      <c r="G1633" s="202"/>
      <c r="J1633" s="195">
        <v>17</v>
      </c>
      <c r="K1633" s="204" t="s">
        <v>11</v>
      </c>
      <c r="L1633" s="199">
        <v>2</v>
      </c>
      <c r="M1633" s="200">
        <v>14.7</v>
      </c>
      <c r="N1633" s="201">
        <v>16</v>
      </c>
    </row>
    <row r="1634" spans="1:14">
      <c r="A1634" s="194">
        <v>41295.473437499997</v>
      </c>
      <c r="B1634" s="195">
        <v>2074</v>
      </c>
      <c r="C1634" s="194"/>
      <c r="D1634" s="194"/>
      <c r="E1634" s="198"/>
      <c r="G1634" s="202"/>
      <c r="J1634" s="195">
        <v>17</v>
      </c>
      <c r="K1634" s="204" t="s">
        <v>11</v>
      </c>
      <c r="L1634" s="199">
        <v>3</v>
      </c>
      <c r="M1634" s="200">
        <v>17.3</v>
      </c>
      <c r="N1634" s="201">
        <v>16</v>
      </c>
    </row>
    <row r="1635" spans="1:14">
      <c r="A1635" s="194">
        <v>41295.475532407407</v>
      </c>
      <c r="B1635" s="195">
        <v>2074</v>
      </c>
      <c r="C1635" s="194"/>
      <c r="D1635" s="194"/>
      <c r="E1635" s="198"/>
      <c r="G1635" s="202"/>
      <c r="J1635" s="195">
        <v>17</v>
      </c>
      <c r="K1635" s="204" t="s">
        <v>11</v>
      </c>
      <c r="L1635" s="199">
        <v>3</v>
      </c>
      <c r="M1635" s="200">
        <v>18.7</v>
      </c>
      <c r="N1635" s="201">
        <v>16</v>
      </c>
    </row>
    <row r="1636" spans="1:14">
      <c r="A1636" s="194">
        <v>41295.476747685185</v>
      </c>
      <c r="B1636" s="195">
        <v>2074</v>
      </c>
      <c r="C1636" s="194"/>
      <c r="D1636" s="194"/>
      <c r="E1636" s="198"/>
      <c r="G1636" s="202"/>
      <c r="J1636" s="195">
        <v>17</v>
      </c>
      <c r="K1636" s="204" t="s">
        <v>11</v>
      </c>
      <c r="L1636" s="199">
        <v>2</v>
      </c>
      <c r="M1636" s="200">
        <v>2.8</v>
      </c>
      <c r="N1636" s="201">
        <v>17</v>
      </c>
    </row>
    <row r="1637" spans="1:14">
      <c r="A1637" s="194">
        <v>41295.487858796296</v>
      </c>
      <c r="B1637" s="195">
        <v>2074</v>
      </c>
      <c r="C1637" s="194"/>
      <c r="D1637" s="194"/>
      <c r="E1637" s="198"/>
      <c r="G1637" s="202"/>
      <c r="J1637" s="195">
        <v>17</v>
      </c>
      <c r="K1637" s="204" t="s">
        <v>11</v>
      </c>
      <c r="L1637" s="199">
        <v>2</v>
      </c>
      <c r="M1637" s="200">
        <v>3.5</v>
      </c>
      <c r="N1637" s="201">
        <v>17</v>
      </c>
    </row>
    <row r="1638" spans="1:14">
      <c r="A1638" s="194">
        <v>41295.487939814811</v>
      </c>
      <c r="B1638" s="195">
        <v>2074</v>
      </c>
      <c r="C1638" s="194"/>
      <c r="D1638" s="194"/>
      <c r="E1638" s="198"/>
      <c r="G1638" s="202"/>
      <c r="J1638" s="195">
        <v>17</v>
      </c>
      <c r="K1638" s="204" t="s">
        <v>11</v>
      </c>
      <c r="L1638" s="199">
        <v>2</v>
      </c>
      <c r="M1638" s="200">
        <v>10</v>
      </c>
      <c r="N1638" s="201">
        <v>17</v>
      </c>
    </row>
    <row r="1639" spans="1:14">
      <c r="A1639" s="194">
        <v>41295.474791666667</v>
      </c>
      <c r="B1639" s="195">
        <v>2074</v>
      </c>
      <c r="C1639" s="194"/>
      <c r="D1639" s="194"/>
      <c r="E1639" s="198"/>
      <c r="G1639" s="202"/>
      <c r="J1639" s="195">
        <v>17</v>
      </c>
      <c r="K1639" s="204" t="s">
        <v>11</v>
      </c>
      <c r="L1639" s="199">
        <v>2</v>
      </c>
      <c r="M1639" s="200">
        <v>13.8</v>
      </c>
      <c r="N1639" s="201">
        <v>17</v>
      </c>
    </row>
    <row r="1640" spans="1:14">
      <c r="A1640" s="194">
        <v>41295.490162037036</v>
      </c>
      <c r="B1640" s="195">
        <v>2074</v>
      </c>
      <c r="C1640" s="194"/>
      <c r="D1640" s="194"/>
      <c r="E1640" s="198"/>
      <c r="G1640" s="202"/>
      <c r="J1640" s="195">
        <v>17</v>
      </c>
      <c r="K1640" s="204" t="s">
        <v>11</v>
      </c>
      <c r="L1640" s="199">
        <v>1</v>
      </c>
      <c r="M1640" s="200">
        <v>22.6</v>
      </c>
      <c r="N1640" s="201">
        <v>17</v>
      </c>
    </row>
    <row r="1641" spans="1:14">
      <c r="A1641" s="194">
        <v>41294.6096875</v>
      </c>
      <c r="B1641" s="195">
        <v>2074</v>
      </c>
      <c r="C1641" s="194"/>
      <c r="D1641" s="194"/>
      <c r="E1641" s="198"/>
      <c r="G1641" s="202"/>
      <c r="J1641" s="195">
        <v>17</v>
      </c>
      <c r="K1641" s="204" t="s">
        <v>11</v>
      </c>
      <c r="L1641" s="199">
        <v>3</v>
      </c>
      <c r="M1641" s="200">
        <v>28.3</v>
      </c>
      <c r="N1641" s="201">
        <v>17</v>
      </c>
    </row>
    <row r="1642" spans="1:14">
      <c r="A1642" s="194">
        <v>41295.486145833333</v>
      </c>
      <c r="B1642" s="195">
        <v>2074</v>
      </c>
      <c r="C1642" s="194"/>
      <c r="D1642" s="194"/>
      <c r="E1642" s="198"/>
      <c r="G1642" s="202"/>
      <c r="J1642" s="195">
        <v>17</v>
      </c>
      <c r="K1642" s="204" t="s">
        <v>11</v>
      </c>
      <c r="L1642" s="199">
        <v>1</v>
      </c>
      <c r="M1642" s="200">
        <v>35.1</v>
      </c>
      <c r="N1642" s="201">
        <v>17</v>
      </c>
    </row>
    <row r="1643" spans="1:14">
      <c r="A1643" s="194">
        <v>41290.785092592596</v>
      </c>
      <c r="B1643" s="195">
        <v>2074</v>
      </c>
      <c r="C1643" s="194"/>
      <c r="D1643" s="194"/>
      <c r="E1643" s="198"/>
      <c r="G1643" s="202"/>
      <c r="J1643" s="195">
        <v>17</v>
      </c>
      <c r="K1643" s="204" t="s">
        <v>11</v>
      </c>
      <c r="L1643" s="199">
        <v>2</v>
      </c>
      <c r="M1643" s="200">
        <v>0.4</v>
      </c>
      <c r="N1643" s="201">
        <v>18</v>
      </c>
    </row>
    <row r="1644" spans="1:14">
      <c r="A1644" s="194">
        <v>41295.472662037035</v>
      </c>
      <c r="B1644" s="195">
        <v>2074</v>
      </c>
      <c r="C1644" s="194"/>
      <c r="D1644" s="194"/>
      <c r="E1644" s="198"/>
      <c r="G1644" s="202"/>
      <c r="J1644" s="195">
        <v>17</v>
      </c>
      <c r="K1644" s="204" t="s">
        <v>11</v>
      </c>
      <c r="L1644" s="199">
        <v>2</v>
      </c>
      <c r="M1644" s="200">
        <v>10.4</v>
      </c>
      <c r="N1644" s="201">
        <v>18</v>
      </c>
    </row>
    <row r="1645" spans="1:14">
      <c r="A1645" s="194">
        <v>41295.476134259261</v>
      </c>
      <c r="B1645" s="195">
        <v>2074</v>
      </c>
      <c r="C1645" s="194"/>
      <c r="D1645" s="194"/>
      <c r="E1645" s="198"/>
      <c r="G1645" s="202"/>
      <c r="J1645" s="195">
        <v>17</v>
      </c>
      <c r="K1645" s="204" t="s">
        <v>11</v>
      </c>
      <c r="L1645" s="199">
        <v>2</v>
      </c>
      <c r="M1645" s="200">
        <v>10.5</v>
      </c>
      <c r="N1645" s="201">
        <v>18</v>
      </c>
    </row>
    <row r="1646" spans="1:14">
      <c r="A1646" s="194">
        <v>41295.490115740744</v>
      </c>
      <c r="B1646" s="195">
        <v>2074</v>
      </c>
      <c r="C1646" s="194"/>
      <c r="D1646" s="194"/>
      <c r="E1646" s="198"/>
      <c r="G1646" s="202"/>
      <c r="J1646" s="195">
        <v>17</v>
      </c>
      <c r="K1646" s="204" t="s">
        <v>11</v>
      </c>
      <c r="L1646" s="199">
        <v>1</v>
      </c>
      <c r="M1646" s="200">
        <v>18.600000000000001</v>
      </c>
      <c r="N1646" s="201">
        <v>18</v>
      </c>
    </row>
    <row r="1647" spans="1:14">
      <c r="A1647" s="194">
        <v>41295.472812499997</v>
      </c>
      <c r="B1647" s="195">
        <v>2074</v>
      </c>
      <c r="C1647" s="194"/>
      <c r="D1647" s="194"/>
      <c r="E1647" s="198"/>
      <c r="G1647" s="202"/>
      <c r="J1647" s="195">
        <v>17</v>
      </c>
      <c r="K1647" s="204" t="s">
        <v>11</v>
      </c>
      <c r="L1647" s="199">
        <v>3</v>
      </c>
      <c r="M1647" s="200">
        <v>23.7</v>
      </c>
      <c r="N1647" s="201">
        <v>18</v>
      </c>
    </row>
    <row r="1648" spans="1:14">
      <c r="A1648" s="194">
        <v>41295.478275462963</v>
      </c>
      <c r="B1648" s="195">
        <v>2074</v>
      </c>
      <c r="C1648" s="194"/>
      <c r="D1648" s="194"/>
      <c r="E1648" s="198"/>
      <c r="G1648" s="202"/>
      <c r="J1648" s="195">
        <v>17</v>
      </c>
      <c r="K1648" s="204" t="s">
        <v>11</v>
      </c>
      <c r="L1648" s="199">
        <v>2</v>
      </c>
      <c r="M1648" s="200">
        <v>14.9</v>
      </c>
      <c r="N1648" s="201">
        <v>19</v>
      </c>
    </row>
    <row r="1649" spans="1:14">
      <c r="A1649" s="194">
        <v>41295.475590277776</v>
      </c>
      <c r="B1649" s="195">
        <v>2074</v>
      </c>
      <c r="C1649" s="194"/>
      <c r="D1649" s="194"/>
      <c r="E1649" s="198"/>
      <c r="G1649" s="202"/>
      <c r="J1649" s="195">
        <v>17</v>
      </c>
      <c r="K1649" s="204" t="s">
        <v>11</v>
      </c>
      <c r="L1649" s="199">
        <v>2</v>
      </c>
      <c r="M1649" s="200">
        <v>23.3</v>
      </c>
      <c r="N1649" s="201">
        <v>19</v>
      </c>
    </row>
    <row r="1650" spans="1:14">
      <c r="A1650" s="194">
        <v>41295.488819444443</v>
      </c>
      <c r="B1650" s="195">
        <v>2074</v>
      </c>
      <c r="C1650" s="194"/>
      <c r="D1650" s="194"/>
      <c r="E1650" s="198"/>
      <c r="G1650" s="202"/>
      <c r="J1650" s="195">
        <v>17</v>
      </c>
      <c r="K1650" s="204" t="s">
        <v>11</v>
      </c>
      <c r="L1650" s="199">
        <v>1</v>
      </c>
      <c r="M1650" s="200">
        <v>26.2</v>
      </c>
      <c r="N1650" s="201">
        <v>19</v>
      </c>
    </row>
    <row r="1651" spans="1:14">
      <c r="A1651" s="194">
        <v>41295.486076388886</v>
      </c>
      <c r="B1651" s="195">
        <v>2074</v>
      </c>
      <c r="C1651" s="194"/>
      <c r="D1651" s="194"/>
      <c r="E1651" s="198"/>
      <c r="G1651" s="202"/>
      <c r="J1651" s="195">
        <v>17</v>
      </c>
      <c r="K1651" s="204" t="s">
        <v>11</v>
      </c>
      <c r="L1651" s="199">
        <v>1</v>
      </c>
      <c r="M1651" s="200">
        <v>29.1</v>
      </c>
      <c r="N1651" s="201">
        <v>19</v>
      </c>
    </row>
    <row r="1652" spans="1:14">
      <c r="A1652" s="194">
        <v>41295.488923611112</v>
      </c>
      <c r="B1652" s="195">
        <v>2074</v>
      </c>
      <c r="C1652" s="194"/>
      <c r="D1652" s="194"/>
      <c r="E1652" s="198"/>
      <c r="G1652" s="202"/>
      <c r="J1652" s="195">
        <v>17</v>
      </c>
      <c r="K1652" s="204" t="s">
        <v>11</v>
      </c>
      <c r="L1652" s="199">
        <v>1</v>
      </c>
      <c r="M1652" s="200">
        <v>35.4</v>
      </c>
      <c r="N1652" s="201">
        <v>19</v>
      </c>
    </row>
    <row r="1653" spans="1:14">
      <c r="A1653" s="194">
        <v>41304.887141203704</v>
      </c>
      <c r="B1653" s="195">
        <v>2074</v>
      </c>
      <c r="C1653" s="194"/>
      <c r="D1653" s="194"/>
      <c r="E1653" s="198"/>
      <c r="G1653" s="202"/>
      <c r="J1653" s="195">
        <v>17</v>
      </c>
      <c r="K1653" s="204" t="s">
        <v>11</v>
      </c>
      <c r="L1653" s="199">
        <v>1</v>
      </c>
      <c r="M1653" s="200">
        <v>7.9</v>
      </c>
      <c r="N1653" s="201">
        <v>20</v>
      </c>
    </row>
    <row r="1654" spans="1:14">
      <c r="A1654" s="194">
        <v>41295.473402777781</v>
      </c>
      <c r="B1654" s="195">
        <v>2074</v>
      </c>
      <c r="C1654" s="194"/>
      <c r="D1654" s="194"/>
      <c r="E1654" s="198"/>
      <c r="G1654" s="202"/>
      <c r="J1654" s="195">
        <v>17</v>
      </c>
      <c r="K1654" s="204" t="s">
        <v>11</v>
      </c>
      <c r="L1654" s="199">
        <v>2</v>
      </c>
      <c r="M1654" s="200">
        <v>13.8</v>
      </c>
      <c r="N1654" s="201">
        <v>20</v>
      </c>
    </row>
    <row r="1655" spans="1:14">
      <c r="A1655" s="194">
        <v>41295.488078703704</v>
      </c>
      <c r="B1655" s="195">
        <v>2074</v>
      </c>
      <c r="C1655" s="194"/>
      <c r="D1655" s="194"/>
      <c r="E1655" s="198"/>
      <c r="G1655" s="202"/>
      <c r="J1655" s="195">
        <v>17</v>
      </c>
      <c r="K1655" s="204" t="s">
        <v>11</v>
      </c>
      <c r="L1655" s="199">
        <v>2</v>
      </c>
      <c r="M1655" s="200">
        <v>21.9</v>
      </c>
      <c r="N1655" s="201">
        <v>20</v>
      </c>
    </row>
    <row r="1656" spans="1:14">
      <c r="A1656" s="194">
        <v>41297.33148148148</v>
      </c>
      <c r="B1656" s="195">
        <v>2074</v>
      </c>
      <c r="C1656" s="194"/>
      <c r="D1656" s="194"/>
      <c r="E1656" s="198"/>
      <c r="G1656" s="202"/>
      <c r="J1656" s="195">
        <v>17</v>
      </c>
      <c r="K1656" s="204" t="s">
        <v>11</v>
      </c>
      <c r="L1656" s="199">
        <v>3</v>
      </c>
      <c r="M1656" s="200">
        <v>25.4</v>
      </c>
      <c r="N1656" s="201">
        <v>20</v>
      </c>
    </row>
    <row r="1657" spans="1:14">
      <c r="A1657" s="194">
        <v>41303.134629629632</v>
      </c>
      <c r="B1657" s="195">
        <v>2074</v>
      </c>
      <c r="C1657" s="194"/>
      <c r="D1657" s="194"/>
      <c r="E1657" s="198"/>
      <c r="G1657" s="202"/>
      <c r="J1657" s="195">
        <v>17</v>
      </c>
      <c r="K1657" s="204" t="s">
        <v>11</v>
      </c>
      <c r="L1657" s="199">
        <v>3</v>
      </c>
      <c r="M1657" s="200">
        <v>29.6</v>
      </c>
      <c r="N1657" s="201">
        <v>20</v>
      </c>
    </row>
    <row r="1658" spans="1:14">
      <c r="A1658" s="194">
        <v>41286.640034722222</v>
      </c>
      <c r="B1658" s="195">
        <v>2074</v>
      </c>
      <c r="C1658" s="194"/>
      <c r="D1658" s="194"/>
      <c r="E1658" s="198"/>
      <c r="G1658" s="202"/>
      <c r="J1658" s="195">
        <v>17</v>
      </c>
      <c r="K1658" s="204" t="s">
        <v>11</v>
      </c>
      <c r="L1658" s="199">
        <v>2</v>
      </c>
      <c r="M1658" s="200">
        <v>6.1</v>
      </c>
      <c r="N1658" s="201">
        <v>22</v>
      </c>
    </row>
    <row r="1659" spans="1:14">
      <c r="A1659" s="194">
        <v>41295.472754629627</v>
      </c>
      <c r="B1659" s="195">
        <v>2074</v>
      </c>
      <c r="C1659" s="194"/>
      <c r="D1659" s="194"/>
      <c r="E1659" s="198"/>
      <c r="G1659" s="202"/>
      <c r="J1659" s="195">
        <v>17</v>
      </c>
      <c r="K1659" s="204" t="s">
        <v>11</v>
      </c>
      <c r="L1659" s="199">
        <v>2</v>
      </c>
      <c r="M1659" s="200">
        <v>18.100000000000001</v>
      </c>
      <c r="N1659" s="201">
        <v>22</v>
      </c>
    </row>
    <row r="1660" spans="1:14">
      <c r="A1660" s="194">
        <v>41276.970960648148</v>
      </c>
      <c r="B1660" s="195">
        <v>2074</v>
      </c>
      <c r="C1660" s="194"/>
      <c r="D1660" s="194"/>
      <c r="E1660" s="198"/>
      <c r="G1660" s="202"/>
      <c r="J1660" s="195">
        <v>17</v>
      </c>
      <c r="K1660" s="204" t="s">
        <v>11</v>
      </c>
      <c r="L1660" s="199">
        <v>3</v>
      </c>
      <c r="M1660" s="200">
        <v>34.200000000000003</v>
      </c>
      <c r="N1660" s="201">
        <v>23</v>
      </c>
    </row>
    <row r="1661" spans="1:14">
      <c r="A1661" s="194">
        <v>41295.488113425927</v>
      </c>
      <c r="B1661" s="195">
        <v>2074</v>
      </c>
      <c r="C1661" s="194"/>
      <c r="D1661" s="194"/>
      <c r="E1661" s="198"/>
      <c r="G1661" s="202"/>
      <c r="J1661" s="195">
        <v>17</v>
      </c>
      <c r="K1661" s="204" t="s">
        <v>11</v>
      </c>
      <c r="L1661" s="199">
        <v>1</v>
      </c>
      <c r="M1661" s="200">
        <v>25</v>
      </c>
      <c r="N1661" s="201">
        <v>29</v>
      </c>
    </row>
    <row r="1662" spans="1:14">
      <c r="A1662" s="194">
        <v>41305.218530092592</v>
      </c>
      <c r="B1662" s="195">
        <v>2074</v>
      </c>
      <c r="C1662" s="194"/>
      <c r="D1662" s="194"/>
      <c r="E1662" s="198"/>
      <c r="G1662" s="202"/>
      <c r="J1662" s="195">
        <v>17</v>
      </c>
      <c r="K1662" s="204" t="s">
        <v>11</v>
      </c>
      <c r="L1662" s="199">
        <v>2</v>
      </c>
      <c r="M1662" s="200">
        <v>20.2</v>
      </c>
      <c r="N1662" s="201">
        <v>32</v>
      </c>
    </row>
    <row r="1663" spans="1:14">
      <c r="A1663" s="194">
        <v>41290.218090277776</v>
      </c>
      <c r="B1663" s="195">
        <v>2074</v>
      </c>
      <c r="C1663" s="194"/>
      <c r="D1663" s="194"/>
      <c r="E1663" s="198"/>
      <c r="G1663" s="202"/>
      <c r="J1663" s="195">
        <v>17</v>
      </c>
      <c r="K1663" s="204" t="s">
        <v>11</v>
      </c>
      <c r="L1663" s="199">
        <v>3</v>
      </c>
      <c r="M1663" s="200">
        <v>31.4</v>
      </c>
      <c r="N1663" s="201">
        <v>34</v>
      </c>
    </row>
    <row r="1664" spans="1:14">
      <c r="A1664" s="194">
        <v>41284.969363425924</v>
      </c>
      <c r="B1664" s="195">
        <v>2074</v>
      </c>
      <c r="C1664" s="194"/>
      <c r="D1664" s="194"/>
      <c r="E1664" s="198"/>
      <c r="G1664" s="202"/>
      <c r="J1664" s="195">
        <v>18</v>
      </c>
      <c r="K1664" s="204" t="s">
        <v>5</v>
      </c>
      <c r="L1664" s="199">
        <v>3</v>
      </c>
      <c r="M1664" s="200">
        <v>28.4</v>
      </c>
      <c r="N1664" s="201">
        <v>20</v>
      </c>
    </row>
    <row r="1665" spans="1:14">
      <c r="A1665" s="194">
        <v>41296.961458333331</v>
      </c>
      <c r="B1665" s="195">
        <v>2074</v>
      </c>
      <c r="C1665" s="194"/>
      <c r="D1665" s="194"/>
      <c r="E1665" s="198"/>
      <c r="G1665" s="202"/>
      <c r="J1665" s="195">
        <v>18</v>
      </c>
      <c r="K1665" s="204" t="s">
        <v>5</v>
      </c>
      <c r="L1665" s="199">
        <v>2</v>
      </c>
      <c r="M1665" s="200">
        <v>3.2</v>
      </c>
      <c r="N1665" s="201">
        <v>23</v>
      </c>
    </row>
    <row r="1666" spans="1:14">
      <c r="A1666" s="194">
        <v>41289.511087962965</v>
      </c>
      <c r="B1666" s="195">
        <v>2074</v>
      </c>
      <c r="C1666" s="194"/>
      <c r="D1666" s="194"/>
      <c r="E1666" s="198"/>
      <c r="G1666" s="202"/>
      <c r="J1666" s="195">
        <v>18</v>
      </c>
      <c r="K1666" s="204" t="s">
        <v>5</v>
      </c>
      <c r="L1666" s="199">
        <v>1</v>
      </c>
      <c r="M1666" s="200">
        <v>25.9</v>
      </c>
      <c r="N1666" s="201">
        <v>27</v>
      </c>
    </row>
    <row r="1667" spans="1:14">
      <c r="A1667" s="194">
        <v>41289.713842592595</v>
      </c>
      <c r="B1667" s="195">
        <v>2074</v>
      </c>
      <c r="C1667" s="194"/>
      <c r="D1667" s="194"/>
      <c r="E1667" s="198"/>
      <c r="G1667" s="202"/>
      <c r="J1667" s="195">
        <v>18</v>
      </c>
      <c r="K1667" s="204" t="s">
        <v>5</v>
      </c>
      <c r="L1667" s="199">
        <v>2</v>
      </c>
      <c r="M1667" s="200">
        <v>0.9</v>
      </c>
      <c r="N1667" s="201">
        <v>31</v>
      </c>
    </row>
    <row r="1668" spans="1:14">
      <c r="A1668" s="194">
        <v>41302.828067129631</v>
      </c>
      <c r="B1668" s="195">
        <v>2074</v>
      </c>
      <c r="C1668" s="194"/>
      <c r="D1668" s="194"/>
      <c r="E1668" s="198"/>
      <c r="G1668" s="202"/>
      <c r="J1668" s="195">
        <v>18</v>
      </c>
      <c r="K1668" s="204" t="s">
        <v>5</v>
      </c>
      <c r="L1668" s="199">
        <v>2</v>
      </c>
      <c r="M1668" s="200">
        <v>2</v>
      </c>
      <c r="N1668" s="201">
        <v>39</v>
      </c>
    </row>
    <row r="1669" spans="1:14">
      <c r="A1669" s="194">
        <v>41290.725636574076</v>
      </c>
      <c r="B1669" s="195">
        <v>2074</v>
      </c>
      <c r="C1669" s="194"/>
      <c r="D1669" s="194"/>
      <c r="E1669" s="196" t="s">
        <v>1812</v>
      </c>
      <c r="G1669" s="202"/>
      <c r="J1669" s="195">
        <v>24</v>
      </c>
      <c r="K1669" s="204" t="s">
        <v>25</v>
      </c>
      <c r="L1669" s="199">
        <v>2</v>
      </c>
      <c r="M1669" s="200">
        <v>0.3</v>
      </c>
      <c r="N1669" s="201">
        <v>17</v>
      </c>
    </row>
    <row r="1670" spans="1:14">
      <c r="A1670" s="194">
        <v>41288.474675925929</v>
      </c>
      <c r="B1670" s="195">
        <v>2074</v>
      </c>
      <c r="C1670" s="194"/>
      <c r="D1670" s="194"/>
      <c r="E1670" s="196" t="s">
        <v>2063</v>
      </c>
      <c r="G1670" s="202"/>
      <c r="J1670" s="195">
        <v>24</v>
      </c>
      <c r="K1670" s="204" t="s">
        <v>25</v>
      </c>
      <c r="L1670" s="199">
        <v>2</v>
      </c>
      <c r="M1670" s="200">
        <v>0.3</v>
      </c>
      <c r="N1670" s="201">
        <v>17</v>
      </c>
    </row>
    <row r="1671" spans="1:14">
      <c r="A1671" s="194">
        <v>41282.322962962964</v>
      </c>
      <c r="B1671" s="195">
        <v>2074</v>
      </c>
      <c r="C1671" s="194"/>
      <c r="D1671" s="194"/>
      <c r="E1671" s="196" t="s">
        <v>2095</v>
      </c>
      <c r="G1671" s="202"/>
      <c r="J1671" s="195">
        <v>24</v>
      </c>
      <c r="K1671" s="204" t="s">
        <v>25</v>
      </c>
      <c r="L1671" s="199">
        <v>1</v>
      </c>
      <c r="M1671" s="200">
        <v>0.4</v>
      </c>
      <c r="N1671" s="201">
        <v>20</v>
      </c>
    </row>
    <row r="1672" spans="1:14">
      <c r="A1672" s="194">
        <v>41290.716608796298</v>
      </c>
      <c r="B1672" s="195">
        <v>2074</v>
      </c>
      <c r="C1672" s="194"/>
      <c r="D1672" s="194"/>
      <c r="E1672" s="196" t="s">
        <v>1702</v>
      </c>
      <c r="G1672" s="202"/>
      <c r="J1672" s="195">
        <v>24</v>
      </c>
      <c r="K1672" s="204" t="s">
        <v>25</v>
      </c>
      <c r="L1672" s="199">
        <v>1</v>
      </c>
      <c r="M1672" s="200">
        <v>0.3</v>
      </c>
      <c r="N1672" s="201">
        <v>21</v>
      </c>
    </row>
    <row r="1673" spans="1:14">
      <c r="A1673" s="194">
        <v>41282.697199074071</v>
      </c>
      <c r="B1673" s="195">
        <v>2074</v>
      </c>
      <c r="C1673" s="194"/>
      <c r="D1673" s="194"/>
      <c r="E1673" s="196" t="s">
        <v>1860</v>
      </c>
      <c r="G1673" s="202"/>
      <c r="J1673" s="195">
        <v>24</v>
      </c>
      <c r="K1673" s="204" t="s">
        <v>25</v>
      </c>
      <c r="L1673" s="199">
        <v>1</v>
      </c>
      <c r="M1673" s="200">
        <v>0.5</v>
      </c>
      <c r="N1673" s="201">
        <v>22</v>
      </c>
    </row>
    <row r="1674" spans="1:14">
      <c r="A1674" s="194">
        <v>41293.923263888886</v>
      </c>
      <c r="B1674" s="195">
        <v>2074</v>
      </c>
      <c r="C1674" s="194"/>
      <c r="D1674" s="194"/>
      <c r="E1674" s="196" t="s">
        <v>2058</v>
      </c>
      <c r="G1674" s="202"/>
      <c r="J1674" s="195">
        <v>24</v>
      </c>
      <c r="K1674" s="204" t="s">
        <v>25</v>
      </c>
      <c r="L1674" s="199">
        <v>2</v>
      </c>
      <c r="M1674" s="200">
        <v>0.6</v>
      </c>
      <c r="N1674" s="201">
        <v>23</v>
      </c>
    </row>
    <row r="1675" spans="1:14">
      <c r="A1675" s="194">
        <v>41301.571111111109</v>
      </c>
      <c r="B1675" s="195">
        <v>2074</v>
      </c>
      <c r="C1675" s="194"/>
      <c r="D1675" s="194"/>
      <c r="E1675" s="196" t="s">
        <v>2050</v>
      </c>
      <c r="G1675" s="202"/>
      <c r="J1675" s="195">
        <v>24</v>
      </c>
      <c r="K1675" s="204" t="s">
        <v>25</v>
      </c>
      <c r="L1675" s="199">
        <v>2</v>
      </c>
      <c r="M1675" s="200">
        <v>1.2</v>
      </c>
      <c r="N1675" s="201">
        <v>24</v>
      </c>
    </row>
    <row r="1676" spans="1:14">
      <c r="A1676" s="194">
        <v>41300.491956018515</v>
      </c>
      <c r="B1676" s="195">
        <v>2074</v>
      </c>
      <c r="C1676" s="194"/>
      <c r="D1676" s="194"/>
      <c r="E1676" s="196" t="s">
        <v>1888</v>
      </c>
      <c r="G1676" s="202"/>
      <c r="J1676" s="195">
        <v>24</v>
      </c>
      <c r="K1676" s="204" t="s">
        <v>25</v>
      </c>
      <c r="L1676" s="199">
        <v>1</v>
      </c>
      <c r="M1676" s="200">
        <v>0.8</v>
      </c>
      <c r="N1676" s="201">
        <v>27</v>
      </c>
    </row>
    <row r="1677" spans="1:14">
      <c r="A1677" s="194">
        <v>41284.890046296299</v>
      </c>
      <c r="B1677" s="195">
        <v>2074</v>
      </c>
      <c r="C1677" s="194"/>
      <c r="D1677" s="194"/>
      <c r="E1677" s="196" t="s">
        <v>1928</v>
      </c>
      <c r="G1677" s="202"/>
      <c r="J1677" s="195">
        <v>24</v>
      </c>
      <c r="K1677" s="204" t="s">
        <v>25</v>
      </c>
      <c r="L1677" s="199">
        <v>2</v>
      </c>
      <c r="M1677" s="200">
        <v>0.6</v>
      </c>
      <c r="N1677" s="201">
        <v>34</v>
      </c>
    </row>
    <row r="1678" spans="1:14">
      <c r="A1678" s="194">
        <v>41299.948217592595</v>
      </c>
      <c r="B1678" s="195">
        <v>2074</v>
      </c>
      <c r="C1678" s="194"/>
      <c r="D1678" s="194"/>
      <c r="E1678" s="196" t="s">
        <v>1739</v>
      </c>
      <c r="G1678" s="202"/>
      <c r="J1678" s="195">
        <v>29</v>
      </c>
      <c r="K1678" s="204" t="s">
        <v>39</v>
      </c>
      <c r="L1678" s="199">
        <v>1</v>
      </c>
      <c r="M1678" s="200">
        <v>1.3</v>
      </c>
      <c r="N1678" s="201">
        <v>20</v>
      </c>
    </row>
    <row r="1679" spans="1:14">
      <c r="A1679" s="194">
        <v>41290.729108796295</v>
      </c>
      <c r="B1679" s="195">
        <v>2074</v>
      </c>
      <c r="C1679" s="194"/>
      <c r="D1679" s="194"/>
      <c r="E1679" s="196" t="s">
        <v>1796</v>
      </c>
      <c r="G1679" s="202"/>
      <c r="J1679" s="195">
        <v>29</v>
      </c>
      <c r="K1679" s="204" t="s">
        <v>39</v>
      </c>
      <c r="L1679" s="199">
        <v>2</v>
      </c>
      <c r="M1679" s="200">
        <v>0.4</v>
      </c>
      <c r="N1679" s="201">
        <v>22</v>
      </c>
    </row>
    <row r="1680" spans="1:14">
      <c r="A1680" s="194">
        <v>41303.359629629631</v>
      </c>
      <c r="B1680" s="195">
        <v>2074</v>
      </c>
      <c r="C1680" s="194"/>
      <c r="D1680" s="194"/>
      <c r="E1680" s="196" t="s">
        <v>1604</v>
      </c>
      <c r="G1680" s="202"/>
      <c r="J1680" s="195">
        <v>29</v>
      </c>
      <c r="K1680" s="204" t="s">
        <v>39</v>
      </c>
      <c r="L1680" s="199">
        <v>1</v>
      </c>
      <c r="M1680" s="200">
        <v>0.5</v>
      </c>
      <c r="N1680" s="201">
        <v>23</v>
      </c>
    </row>
    <row r="1681" spans="1:14">
      <c r="A1681" s="194">
        <v>41296.571157407408</v>
      </c>
      <c r="B1681" s="195">
        <v>2074</v>
      </c>
      <c r="C1681" s="194"/>
      <c r="D1681" s="194"/>
      <c r="E1681" s="196" t="s">
        <v>2163</v>
      </c>
      <c r="G1681" s="202"/>
      <c r="J1681" s="195">
        <v>29</v>
      </c>
      <c r="K1681" s="204" t="s">
        <v>39</v>
      </c>
      <c r="L1681" s="199">
        <v>1</v>
      </c>
      <c r="M1681" s="200">
        <v>0.8</v>
      </c>
      <c r="N1681" s="201">
        <v>32</v>
      </c>
    </row>
    <row r="1682" spans="1:14">
      <c r="A1682" s="194">
        <v>41286.503159722219</v>
      </c>
      <c r="B1682" s="195">
        <v>2074</v>
      </c>
      <c r="C1682" s="194"/>
      <c r="D1682" s="194"/>
      <c r="E1682" s="196" t="s">
        <v>1609</v>
      </c>
      <c r="G1682" s="202"/>
      <c r="J1682" s="195">
        <v>29</v>
      </c>
      <c r="K1682" s="204" t="s">
        <v>39</v>
      </c>
      <c r="L1682" s="199">
        <v>2</v>
      </c>
      <c r="M1682" s="200">
        <v>0.3</v>
      </c>
      <c r="N1682" s="201">
        <v>35</v>
      </c>
    </row>
    <row r="1683" spans="1:14">
      <c r="A1683" s="194">
        <v>41279.528194444443</v>
      </c>
      <c r="B1683" s="195">
        <v>2074</v>
      </c>
      <c r="C1683" s="194"/>
      <c r="D1683" s="194"/>
      <c r="E1683" s="198"/>
      <c r="G1683" s="202"/>
      <c r="J1683" s="195">
        <v>43</v>
      </c>
      <c r="K1683" s="204" t="s">
        <v>1596</v>
      </c>
      <c r="L1683" s="199">
        <v>3</v>
      </c>
      <c r="M1683" s="200">
        <v>0.5</v>
      </c>
      <c r="N1683" s="201">
        <v>16</v>
      </c>
    </row>
    <row r="1684" spans="1:14">
      <c r="A1684" s="194">
        <v>41285.743009259262</v>
      </c>
      <c r="B1684" s="195">
        <v>2074</v>
      </c>
      <c r="C1684" s="194"/>
      <c r="D1684" s="194"/>
      <c r="E1684" s="198"/>
      <c r="G1684" s="202"/>
      <c r="J1684" s="195">
        <v>43</v>
      </c>
      <c r="K1684" s="204" t="s">
        <v>1596</v>
      </c>
      <c r="L1684" s="199">
        <v>3</v>
      </c>
      <c r="M1684" s="200">
        <v>0.3</v>
      </c>
      <c r="N1684" s="201">
        <v>17</v>
      </c>
    </row>
    <row r="1685" spans="1:14">
      <c r="A1685" s="194">
        <v>41291.697881944441</v>
      </c>
      <c r="B1685" s="195">
        <v>2074</v>
      </c>
      <c r="C1685" s="194"/>
      <c r="D1685" s="194"/>
      <c r="E1685" s="198"/>
      <c r="G1685" s="202"/>
      <c r="J1685" s="195">
        <v>43</v>
      </c>
      <c r="K1685" s="204" t="s">
        <v>1596</v>
      </c>
      <c r="L1685" s="199">
        <v>3</v>
      </c>
      <c r="M1685" s="200">
        <v>3</v>
      </c>
      <c r="N1685" s="201">
        <v>17</v>
      </c>
    </row>
    <row r="1686" spans="1:14">
      <c r="A1686" s="194">
        <v>41302.552361111113</v>
      </c>
      <c r="B1686" s="195">
        <v>2074</v>
      </c>
      <c r="C1686" s="194"/>
      <c r="D1686" s="194"/>
      <c r="E1686" s="198"/>
      <c r="G1686" s="202"/>
      <c r="J1686" s="195">
        <v>4400</v>
      </c>
      <c r="K1686" s="204" t="s">
        <v>37</v>
      </c>
      <c r="L1686" s="199">
        <v>1</v>
      </c>
      <c r="M1686" s="200">
        <v>0.9</v>
      </c>
      <c r="N1686" s="201">
        <v>20</v>
      </c>
    </row>
    <row r="1687" spans="1:14">
      <c r="A1687" s="194">
        <v>41289.335439814815</v>
      </c>
      <c r="B1687" s="195">
        <v>2074</v>
      </c>
      <c r="C1687" s="194"/>
      <c r="D1687" s="194"/>
      <c r="E1687" s="198"/>
      <c r="G1687" s="202"/>
      <c r="J1687" s="195">
        <v>4400</v>
      </c>
      <c r="K1687" s="204" t="s">
        <v>37</v>
      </c>
      <c r="L1687" s="199">
        <v>1</v>
      </c>
      <c r="M1687" s="200">
        <v>0.8</v>
      </c>
      <c r="N1687" s="201">
        <v>21</v>
      </c>
    </row>
    <row r="1688" spans="1:14">
      <c r="A1688" s="194">
        <v>41299.578761574077</v>
      </c>
      <c r="B1688" s="195">
        <v>2074</v>
      </c>
      <c r="C1688" s="194"/>
      <c r="D1688" s="194"/>
      <c r="E1688" s="198"/>
      <c r="G1688" s="202"/>
      <c r="J1688" s="195">
        <v>4400</v>
      </c>
      <c r="K1688" s="204" t="s">
        <v>37</v>
      </c>
      <c r="L1688" s="199">
        <v>1</v>
      </c>
      <c r="M1688" s="200">
        <v>0.5</v>
      </c>
      <c r="N1688" s="201">
        <v>23</v>
      </c>
    </row>
    <row r="1689" spans="1:14">
      <c r="A1689" s="194">
        <v>41283.637465277781</v>
      </c>
      <c r="B1689" s="195">
        <v>2074</v>
      </c>
      <c r="C1689" s="194"/>
      <c r="D1689" s="194"/>
      <c r="E1689" s="198"/>
      <c r="G1689" s="202"/>
      <c r="J1689" s="195">
        <v>4400</v>
      </c>
      <c r="K1689" s="204" t="s">
        <v>37</v>
      </c>
      <c r="L1689" s="199">
        <v>1</v>
      </c>
      <c r="M1689" s="200">
        <v>0.6</v>
      </c>
      <c r="N1689" s="201">
        <v>23</v>
      </c>
    </row>
    <row r="1690" spans="1:14">
      <c r="A1690" s="194">
        <v>41296.805173611108</v>
      </c>
      <c r="B1690" s="195">
        <v>2074</v>
      </c>
      <c r="C1690" s="194"/>
      <c r="D1690" s="194"/>
      <c r="E1690" s="198"/>
      <c r="G1690" s="202"/>
      <c r="J1690" s="195">
        <v>4400</v>
      </c>
      <c r="K1690" s="204" t="s">
        <v>37</v>
      </c>
      <c r="L1690" s="199">
        <v>2</v>
      </c>
      <c r="M1690" s="200">
        <v>0.5</v>
      </c>
      <c r="N1690" s="201">
        <v>25</v>
      </c>
    </row>
    <row r="1691" spans="1:14">
      <c r="A1691" s="194">
        <v>41279.508750000001</v>
      </c>
      <c r="B1691" s="195">
        <v>2074</v>
      </c>
      <c r="C1691" s="194"/>
      <c r="D1691" s="194"/>
      <c r="E1691" s="198"/>
      <c r="G1691" s="202"/>
      <c r="J1691" s="195">
        <v>4400</v>
      </c>
      <c r="K1691" s="204" t="s">
        <v>37</v>
      </c>
      <c r="L1691" s="199">
        <v>2</v>
      </c>
      <c r="M1691" s="200">
        <v>0.7</v>
      </c>
      <c r="N1691" s="201">
        <v>29</v>
      </c>
    </row>
    <row r="1692" spans="1:14">
      <c r="A1692" s="194">
        <v>41278.430289351854</v>
      </c>
      <c r="B1692" s="195">
        <v>2074</v>
      </c>
      <c r="C1692" s="194"/>
      <c r="D1692" s="194"/>
      <c r="E1692" s="198"/>
      <c r="G1692" s="202"/>
      <c r="J1692" s="195">
        <v>4400</v>
      </c>
      <c r="K1692" s="204" t="s">
        <v>37</v>
      </c>
      <c r="L1692" s="199">
        <v>1</v>
      </c>
      <c r="M1692" s="200">
        <v>0.9</v>
      </c>
      <c r="N1692" s="201">
        <v>30</v>
      </c>
    </row>
    <row r="1693" spans="1:14">
      <c r="A1693" s="194">
        <v>41278.393784722219</v>
      </c>
      <c r="B1693" s="195">
        <v>2081</v>
      </c>
      <c r="C1693" s="194"/>
      <c r="D1693" s="194"/>
      <c r="E1693" s="196" t="s">
        <v>263</v>
      </c>
      <c r="F1693" s="195">
        <v>456</v>
      </c>
      <c r="G1693" s="197" t="s">
        <v>141</v>
      </c>
      <c r="H1693" s="197" t="s">
        <v>223</v>
      </c>
      <c r="I1693" s="196" t="s">
        <v>226</v>
      </c>
      <c r="J1693" s="195">
        <v>1</v>
      </c>
      <c r="K1693" s="204" t="s">
        <v>224</v>
      </c>
      <c r="L1693" s="199">
        <v>1</v>
      </c>
      <c r="M1693" s="200">
        <v>0.4</v>
      </c>
      <c r="N1693" s="201">
        <v>36</v>
      </c>
    </row>
    <row r="1694" spans="1:14">
      <c r="A1694" s="194">
        <v>41303.774606481478</v>
      </c>
      <c r="B1694" s="195">
        <v>2081</v>
      </c>
      <c r="C1694" s="194"/>
      <c r="D1694" s="194"/>
      <c r="E1694" s="196" t="s">
        <v>390</v>
      </c>
      <c r="F1694" s="195">
        <v>456</v>
      </c>
      <c r="G1694" s="197" t="s">
        <v>141</v>
      </c>
      <c r="H1694" s="197" t="s">
        <v>223</v>
      </c>
      <c r="I1694" s="196" t="s">
        <v>226</v>
      </c>
      <c r="J1694" s="195">
        <v>1</v>
      </c>
      <c r="K1694" s="204" t="s">
        <v>224</v>
      </c>
      <c r="L1694" s="199">
        <v>1</v>
      </c>
      <c r="M1694" s="200">
        <v>0.7</v>
      </c>
      <c r="N1694" s="201">
        <v>37</v>
      </c>
    </row>
    <row r="1695" spans="1:14">
      <c r="A1695" s="194">
        <v>41279.376435185186</v>
      </c>
      <c r="B1695" s="195">
        <v>2081</v>
      </c>
      <c r="C1695" s="194"/>
      <c r="D1695" s="194"/>
      <c r="E1695" s="196" t="s">
        <v>274</v>
      </c>
      <c r="F1695" s="195">
        <v>456</v>
      </c>
      <c r="G1695" s="197" t="s">
        <v>141</v>
      </c>
      <c r="H1695" s="197" t="s">
        <v>223</v>
      </c>
      <c r="I1695" s="196" t="s">
        <v>226</v>
      </c>
      <c r="J1695" s="195">
        <v>1</v>
      </c>
      <c r="K1695" s="204" t="s">
        <v>224</v>
      </c>
      <c r="L1695" s="199">
        <v>1</v>
      </c>
      <c r="M1695" s="200">
        <v>0.6</v>
      </c>
      <c r="N1695" s="201">
        <v>39</v>
      </c>
    </row>
    <row r="1696" spans="1:14">
      <c r="A1696" s="194">
        <v>41282.407025462962</v>
      </c>
      <c r="B1696" s="195">
        <v>2081</v>
      </c>
      <c r="C1696" s="194"/>
      <c r="D1696" s="194"/>
      <c r="E1696" s="196" t="s">
        <v>283</v>
      </c>
      <c r="F1696" s="195">
        <v>456</v>
      </c>
      <c r="G1696" s="197" t="s">
        <v>141</v>
      </c>
      <c r="H1696" s="197" t="s">
        <v>223</v>
      </c>
      <c r="I1696" s="196" t="s">
        <v>226</v>
      </c>
      <c r="J1696" s="195">
        <v>1</v>
      </c>
      <c r="K1696" s="204" t="s">
        <v>224</v>
      </c>
      <c r="L1696" s="199">
        <v>1</v>
      </c>
      <c r="M1696" s="200">
        <v>0.3</v>
      </c>
      <c r="N1696" s="201">
        <v>40</v>
      </c>
    </row>
    <row r="1697" spans="1:14">
      <c r="A1697" s="194">
        <v>41297.92728009259</v>
      </c>
      <c r="B1697" s="195">
        <v>2081</v>
      </c>
      <c r="C1697" s="194"/>
      <c r="D1697" s="194"/>
      <c r="E1697" s="196" t="s">
        <v>1339</v>
      </c>
      <c r="F1697" s="195">
        <v>800</v>
      </c>
      <c r="G1697" s="197" t="s">
        <v>470</v>
      </c>
      <c r="H1697" s="197" t="s">
        <v>471</v>
      </c>
      <c r="J1697" s="195">
        <v>1</v>
      </c>
      <c r="K1697" s="204" t="s">
        <v>224</v>
      </c>
      <c r="L1697" s="199">
        <v>2</v>
      </c>
      <c r="M1697" s="200">
        <v>4.0999999999999996</v>
      </c>
      <c r="N1697" s="201">
        <v>19</v>
      </c>
    </row>
    <row r="1698" spans="1:14">
      <c r="A1698" s="194">
        <v>41283.328506944446</v>
      </c>
      <c r="B1698" s="195">
        <v>2081</v>
      </c>
      <c r="C1698" s="194"/>
      <c r="D1698" s="194"/>
      <c r="E1698" s="196" t="s">
        <v>762</v>
      </c>
      <c r="F1698" s="195">
        <v>800</v>
      </c>
      <c r="G1698" s="197" t="s">
        <v>470</v>
      </c>
      <c r="H1698" s="197" t="s">
        <v>471</v>
      </c>
      <c r="J1698" s="195">
        <v>1</v>
      </c>
      <c r="K1698" s="204" t="s">
        <v>224</v>
      </c>
      <c r="L1698" s="199">
        <v>1</v>
      </c>
      <c r="M1698" s="200">
        <v>25.6</v>
      </c>
      <c r="N1698" s="201">
        <v>19</v>
      </c>
    </row>
    <row r="1699" spans="1:14">
      <c r="A1699" s="194">
        <v>41301.448888888888</v>
      </c>
      <c r="B1699" s="195">
        <v>2081</v>
      </c>
      <c r="C1699" s="194"/>
      <c r="D1699" s="194"/>
      <c r="E1699" s="196" t="s">
        <v>1405</v>
      </c>
      <c r="F1699" s="195">
        <v>800</v>
      </c>
      <c r="G1699" s="197" t="s">
        <v>470</v>
      </c>
      <c r="H1699" s="197" t="s">
        <v>471</v>
      </c>
      <c r="J1699" s="195">
        <v>1</v>
      </c>
      <c r="K1699" s="204" t="s">
        <v>224</v>
      </c>
      <c r="L1699" s="199">
        <v>1</v>
      </c>
      <c r="M1699" s="200">
        <v>3.1</v>
      </c>
      <c r="N1699" s="201">
        <v>20</v>
      </c>
    </row>
    <row r="1700" spans="1:14">
      <c r="A1700" s="194">
        <v>41305.602407407408</v>
      </c>
      <c r="B1700" s="195">
        <v>2081</v>
      </c>
      <c r="C1700" s="194"/>
      <c r="D1700" s="194"/>
      <c r="E1700" s="196" t="s">
        <v>1580</v>
      </c>
      <c r="F1700" s="195">
        <v>800</v>
      </c>
      <c r="G1700" s="197" t="s">
        <v>470</v>
      </c>
      <c r="H1700" s="197" t="s">
        <v>471</v>
      </c>
      <c r="J1700" s="195">
        <v>1</v>
      </c>
      <c r="K1700" s="204" t="s">
        <v>224</v>
      </c>
      <c r="L1700" s="199">
        <v>1</v>
      </c>
      <c r="M1700" s="200">
        <v>4.0999999999999996</v>
      </c>
      <c r="N1700" s="201">
        <v>21</v>
      </c>
    </row>
    <row r="1701" spans="1:14">
      <c r="A1701" s="194">
        <v>41277.373981481483</v>
      </c>
      <c r="B1701" s="195">
        <v>2081</v>
      </c>
      <c r="C1701" s="194"/>
      <c r="D1701" s="194"/>
      <c r="E1701" s="196" t="s">
        <v>499</v>
      </c>
      <c r="F1701" s="195">
        <v>800</v>
      </c>
      <c r="G1701" s="197" t="s">
        <v>470</v>
      </c>
      <c r="H1701" s="197" t="s">
        <v>471</v>
      </c>
      <c r="J1701" s="195">
        <v>1</v>
      </c>
      <c r="K1701" s="204" t="s">
        <v>224</v>
      </c>
      <c r="L1701" s="199">
        <v>1</v>
      </c>
      <c r="M1701" s="200">
        <v>0.3</v>
      </c>
      <c r="N1701" s="201">
        <v>22</v>
      </c>
    </row>
    <row r="1702" spans="1:14">
      <c r="A1702" s="194">
        <v>41277.48542824074</v>
      </c>
      <c r="B1702" s="195">
        <v>2081</v>
      </c>
      <c r="C1702" s="194"/>
      <c r="D1702" s="194"/>
      <c r="E1702" s="196" t="s">
        <v>616</v>
      </c>
      <c r="F1702" s="195">
        <v>800</v>
      </c>
      <c r="G1702" s="197" t="s">
        <v>470</v>
      </c>
      <c r="H1702" s="197" t="s">
        <v>471</v>
      </c>
      <c r="J1702" s="195">
        <v>1</v>
      </c>
      <c r="K1702" s="204" t="s">
        <v>224</v>
      </c>
      <c r="L1702" s="199">
        <v>2</v>
      </c>
      <c r="M1702" s="200">
        <v>4.2</v>
      </c>
      <c r="N1702" s="201">
        <v>22</v>
      </c>
    </row>
    <row r="1703" spans="1:14">
      <c r="A1703" s="194">
        <v>41302.037858796299</v>
      </c>
      <c r="B1703" s="195">
        <v>2081</v>
      </c>
      <c r="C1703" s="194"/>
      <c r="D1703" s="194"/>
      <c r="E1703" s="196" t="s">
        <v>1353</v>
      </c>
      <c r="F1703" s="195">
        <v>800</v>
      </c>
      <c r="G1703" s="197" t="s">
        <v>470</v>
      </c>
      <c r="H1703" s="197" t="s">
        <v>471</v>
      </c>
      <c r="J1703" s="195">
        <v>1</v>
      </c>
      <c r="K1703" s="204" t="s">
        <v>224</v>
      </c>
      <c r="L1703" s="199">
        <v>1</v>
      </c>
      <c r="M1703" s="200">
        <v>8.5</v>
      </c>
      <c r="N1703" s="201">
        <v>24</v>
      </c>
    </row>
    <row r="1704" spans="1:14">
      <c r="A1704" s="194">
        <v>41280.109826388885</v>
      </c>
      <c r="B1704" s="195">
        <v>2081</v>
      </c>
      <c r="C1704" s="194"/>
      <c r="D1704" s="194"/>
      <c r="E1704" s="196" t="s">
        <v>563</v>
      </c>
      <c r="F1704" s="195">
        <v>800</v>
      </c>
      <c r="G1704" s="197" t="s">
        <v>470</v>
      </c>
      <c r="H1704" s="197" t="s">
        <v>471</v>
      </c>
      <c r="J1704" s="195">
        <v>1</v>
      </c>
      <c r="K1704" s="204" t="s">
        <v>224</v>
      </c>
      <c r="L1704" s="199">
        <v>2</v>
      </c>
      <c r="M1704" s="200">
        <v>6.6</v>
      </c>
      <c r="N1704" s="201">
        <v>25</v>
      </c>
    </row>
    <row r="1705" spans="1:14">
      <c r="A1705" s="194">
        <v>41295.646064814813</v>
      </c>
      <c r="B1705" s="195">
        <v>2081</v>
      </c>
      <c r="C1705" s="194"/>
      <c r="D1705" s="194"/>
      <c r="E1705" s="196" t="s">
        <v>1111</v>
      </c>
      <c r="F1705" s="195">
        <v>800</v>
      </c>
      <c r="G1705" s="197" t="s">
        <v>470</v>
      </c>
      <c r="H1705" s="197" t="s">
        <v>471</v>
      </c>
      <c r="J1705" s="195">
        <v>1</v>
      </c>
      <c r="K1705" s="204" t="s">
        <v>224</v>
      </c>
      <c r="L1705" s="199">
        <v>1</v>
      </c>
      <c r="M1705" s="200">
        <v>3.6</v>
      </c>
      <c r="N1705" s="201">
        <v>26</v>
      </c>
    </row>
    <row r="1706" spans="1:14">
      <c r="A1706" s="194">
        <v>41276.446550925924</v>
      </c>
      <c r="B1706" s="195">
        <v>2081</v>
      </c>
      <c r="C1706" s="194"/>
      <c r="D1706" s="194"/>
      <c r="E1706" s="196" t="s">
        <v>515</v>
      </c>
      <c r="F1706" s="195">
        <v>800</v>
      </c>
      <c r="G1706" s="197" t="s">
        <v>470</v>
      </c>
      <c r="H1706" s="197" t="s">
        <v>471</v>
      </c>
      <c r="J1706" s="195">
        <v>1</v>
      </c>
      <c r="K1706" s="204" t="s">
        <v>224</v>
      </c>
      <c r="L1706" s="199">
        <v>1</v>
      </c>
      <c r="M1706" s="200">
        <v>1.4</v>
      </c>
      <c r="N1706" s="201">
        <v>27</v>
      </c>
    </row>
    <row r="1707" spans="1:14">
      <c r="A1707" s="194">
        <v>41295.310567129629</v>
      </c>
      <c r="B1707" s="195">
        <v>2081</v>
      </c>
      <c r="C1707" s="194"/>
      <c r="D1707" s="194"/>
      <c r="E1707" s="196" t="s">
        <v>1110</v>
      </c>
      <c r="F1707" s="195">
        <v>800</v>
      </c>
      <c r="G1707" s="197" t="s">
        <v>470</v>
      </c>
      <c r="H1707" s="197" t="s">
        <v>471</v>
      </c>
      <c r="J1707" s="195">
        <v>1</v>
      </c>
      <c r="K1707" s="204" t="s">
        <v>224</v>
      </c>
      <c r="L1707" s="199">
        <v>2</v>
      </c>
      <c r="M1707" s="200">
        <v>24.6</v>
      </c>
      <c r="N1707" s="201">
        <v>28</v>
      </c>
    </row>
    <row r="1708" spans="1:14">
      <c r="A1708" s="194">
        <v>41288.496655092589</v>
      </c>
      <c r="B1708" s="195">
        <v>2081</v>
      </c>
      <c r="C1708" s="194"/>
      <c r="D1708" s="194"/>
      <c r="E1708" s="196" t="s">
        <v>974</v>
      </c>
      <c r="F1708" s="195">
        <v>800</v>
      </c>
      <c r="G1708" s="197" t="s">
        <v>470</v>
      </c>
      <c r="H1708" s="197" t="s">
        <v>471</v>
      </c>
      <c r="J1708" s="195">
        <v>1</v>
      </c>
      <c r="K1708" s="204" t="s">
        <v>224</v>
      </c>
      <c r="L1708" s="199">
        <v>1</v>
      </c>
      <c r="M1708" s="200">
        <v>0.6</v>
      </c>
      <c r="N1708" s="201">
        <v>29</v>
      </c>
    </row>
    <row r="1709" spans="1:14">
      <c r="A1709" s="194">
        <v>41299.276990740742</v>
      </c>
      <c r="B1709" s="195">
        <v>2081</v>
      </c>
      <c r="C1709" s="194"/>
      <c r="D1709" s="194"/>
      <c r="E1709" s="196" t="s">
        <v>1311</v>
      </c>
      <c r="F1709" s="195">
        <v>800</v>
      </c>
      <c r="G1709" s="197" t="s">
        <v>470</v>
      </c>
      <c r="H1709" s="197" t="s">
        <v>471</v>
      </c>
      <c r="J1709" s="195">
        <v>1</v>
      </c>
      <c r="K1709" s="204" t="s">
        <v>224</v>
      </c>
      <c r="L1709" s="199">
        <v>2</v>
      </c>
      <c r="M1709" s="200">
        <v>1.4</v>
      </c>
      <c r="N1709" s="201">
        <v>29</v>
      </c>
    </row>
    <row r="1710" spans="1:14">
      <c r="A1710" s="194">
        <v>41301.526689814818</v>
      </c>
      <c r="B1710" s="195">
        <v>2081</v>
      </c>
      <c r="C1710" s="194"/>
      <c r="D1710" s="194"/>
      <c r="E1710" s="196" t="s">
        <v>1408</v>
      </c>
      <c r="F1710" s="195">
        <v>800</v>
      </c>
      <c r="G1710" s="197" t="s">
        <v>470</v>
      </c>
      <c r="H1710" s="197" t="s">
        <v>471</v>
      </c>
      <c r="J1710" s="195">
        <v>1</v>
      </c>
      <c r="K1710" s="204" t="s">
        <v>224</v>
      </c>
      <c r="L1710" s="199">
        <v>2</v>
      </c>
      <c r="M1710" s="200">
        <v>4.8</v>
      </c>
      <c r="N1710" s="201">
        <v>29</v>
      </c>
    </row>
    <row r="1711" spans="1:14">
      <c r="A1711" s="194">
        <v>41283.089861111112</v>
      </c>
      <c r="B1711" s="195">
        <v>2081</v>
      </c>
      <c r="C1711" s="194"/>
      <c r="D1711" s="194"/>
      <c r="E1711" s="196" t="s">
        <v>759</v>
      </c>
      <c r="F1711" s="195">
        <v>800</v>
      </c>
      <c r="G1711" s="197" t="s">
        <v>470</v>
      </c>
      <c r="H1711" s="197" t="s">
        <v>471</v>
      </c>
      <c r="J1711" s="195">
        <v>1</v>
      </c>
      <c r="K1711" s="204" t="s">
        <v>224</v>
      </c>
      <c r="L1711" s="199">
        <v>1</v>
      </c>
      <c r="M1711" s="200">
        <v>18.5</v>
      </c>
      <c r="N1711" s="201">
        <v>29</v>
      </c>
    </row>
    <row r="1712" spans="1:14">
      <c r="A1712" s="194">
        <v>41305.591967592591</v>
      </c>
      <c r="B1712" s="195">
        <v>2081</v>
      </c>
      <c r="C1712" s="194"/>
      <c r="D1712" s="194"/>
      <c r="E1712" s="196" t="s">
        <v>1579</v>
      </c>
      <c r="F1712" s="195">
        <v>800</v>
      </c>
      <c r="G1712" s="197" t="s">
        <v>470</v>
      </c>
      <c r="H1712" s="197" t="s">
        <v>471</v>
      </c>
      <c r="J1712" s="195">
        <v>1</v>
      </c>
      <c r="K1712" s="204" t="s">
        <v>224</v>
      </c>
      <c r="L1712" s="199">
        <v>1</v>
      </c>
      <c r="M1712" s="200">
        <v>2.2999999999999998</v>
      </c>
      <c r="N1712" s="201">
        <v>30</v>
      </c>
    </row>
    <row r="1713" spans="1:14">
      <c r="A1713" s="194">
        <v>41290.382777777777</v>
      </c>
      <c r="B1713" s="195">
        <v>2081</v>
      </c>
      <c r="C1713" s="194"/>
      <c r="D1713" s="194"/>
      <c r="E1713" s="196" t="s">
        <v>1039</v>
      </c>
      <c r="F1713" s="195">
        <v>800</v>
      </c>
      <c r="G1713" s="197" t="s">
        <v>470</v>
      </c>
      <c r="H1713" s="197" t="s">
        <v>471</v>
      </c>
      <c r="J1713" s="195">
        <v>1</v>
      </c>
      <c r="K1713" s="204" t="s">
        <v>224</v>
      </c>
      <c r="L1713" s="199">
        <v>1</v>
      </c>
      <c r="M1713" s="200">
        <v>1.2</v>
      </c>
      <c r="N1713" s="201">
        <v>31</v>
      </c>
    </row>
    <row r="1714" spans="1:14">
      <c r="A1714" s="194">
        <v>41301.712106481478</v>
      </c>
      <c r="B1714" s="195">
        <v>2081</v>
      </c>
      <c r="C1714" s="194"/>
      <c r="D1714" s="194"/>
      <c r="E1714" s="196" t="s">
        <v>1409</v>
      </c>
      <c r="F1714" s="195">
        <v>800</v>
      </c>
      <c r="G1714" s="197" t="s">
        <v>470</v>
      </c>
      <c r="H1714" s="197" t="s">
        <v>471</v>
      </c>
      <c r="J1714" s="195">
        <v>1</v>
      </c>
      <c r="K1714" s="204" t="s">
        <v>224</v>
      </c>
      <c r="L1714" s="199">
        <v>1</v>
      </c>
      <c r="M1714" s="200">
        <v>1.7</v>
      </c>
      <c r="N1714" s="201">
        <v>31</v>
      </c>
    </row>
    <row r="1715" spans="1:14">
      <c r="A1715" s="194">
        <v>41294.791759259257</v>
      </c>
      <c r="B1715" s="195">
        <v>2081</v>
      </c>
      <c r="C1715" s="194"/>
      <c r="D1715" s="194"/>
      <c r="E1715" s="196" t="s">
        <v>1150</v>
      </c>
      <c r="F1715" s="195">
        <v>800</v>
      </c>
      <c r="G1715" s="197" t="s">
        <v>470</v>
      </c>
      <c r="H1715" s="197" t="s">
        <v>471</v>
      </c>
      <c r="J1715" s="195">
        <v>1</v>
      </c>
      <c r="K1715" s="204" t="s">
        <v>224</v>
      </c>
      <c r="L1715" s="199">
        <v>2</v>
      </c>
      <c r="M1715" s="200">
        <v>2</v>
      </c>
      <c r="N1715" s="201">
        <v>31</v>
      </c>
    </row>
    <row r="1716" spans="1:14">
      <c r="A1716" s="194">
        <v>41277.007696759261</v>
      </c>
      <c r="B1716" s="195">
        <v>2081</v>
      </c>
      <c r="C1716" s="194"/>
      <c r="D1716" s="194"/>
      <c r="E1716" s="196" t="s">
        <v>497</v>
      </c>
      <c r="F1716" s="195">
        <v>800</v>
      </c>
      <c r="G1716" s="197" t="s">
        <v>470</v>
      </c>
      <c r="H1716" s="197" t="s">
        <v>471</v>
      </c>
      <c r="J1716" s="195">
        <v>1</v>
      </c>
      <c r="K1716" s="204" t="s">
        <v>224</v>
      </c>
      <c r="L1716" s="199">
        <v>1</v>
      </c>
      <c r="M1716" s="200">
        <v>9.5</v>
      </c>
      <c r="N1716" s="201">
        <v>31</v>
      </c>
    </row>
    <row r="1717" spans="1:14">
      <c r="A1717" s="194">
        <v>41303.614166666666</v>
      </c>
      <c r="B1717" s="195">
        <v>2081</v>
      </c>
      <c r="C1717" s="194"/>
      <c r="D1717" s="194"/>
      <c r="E1717" s="196" t="s">
        <v>1491</v>
      </c>
      <c r="F1717" s="195">
        <v>800</v>
      </c>
      <c r="G1717" s="197" t="s">
        <v>470</v>
      </c>
      <c r="H1717" s="197" t="s">
        <v>471</v>
      </c>
      <c r="J1717" s="195">
        <v>1</v>
      </c>
      <c r="K1717" s="204" t="s">
        <v>224</v>
      </c>
      <c r="L1717" s="199">
        <v>2</v>
      </c>
      <c r="M1717" s="200">
        <v>0.6</v>
      </c>
      <c r="N1717" s="201">
        <v>32</v>
      </c>
    </row>
    <row r="1718" spans="1:14">
      <c r="A1718" s="194">
        <v>41293.673113425924</v>
      </c>
      <c r="B1718" s="195">
        <v>2081</v>
      </c>
      <c r="C1718" s="194"/>
      <c r="D1718" s="194"/>
      <c r="E1718" s="196" t="s">
        <v>1196</v>
      </c>
      <c r="F1718" s="195">
        <v>800</v>
      </c>
      <c r="G1718" s="197" t="s">
        <v>470</v>
      </c>
      <c r="H1718" s="197" t="s">
        <v>471</v>
      </c>
      <c r="J1718" s="195">
        <v>1</v>
      </c>
      <c r="K1718" s="204" t="s">
        <v>224</v>
      </c>
      <c r="L1718" s="199">
        <v>1</v>
      </c>
      <c r="M1718" s="200">
        <v>1.1000000000000001</v>
      </c>
      <c r="N1718" s="201">
        <v>33</v>
      </c>
    </row>
    <row r="1719" spans="1:14">
      <c r="A1719" s="194">
        <v>41298.811979166669</v>
      </c>
      <c r="B1719" s="195">
        <v>2081</v>
      </c>
      <c r="C1719" s="194"/>
      <c r="D1719" s="194"/>
      <c r="E1719" s="196" t="s">
        <v>1314</v>
      </c>
      <c r="F1719" s="195">
        <v>800</v>
      </c>
      <c r="G1719" s="197" t="s">
        <v>470</v>
      </c>
      <c r="H1719" s="197" t="s">
        <v>471</v>
      </c>
      <c r="J1719" s="195">
        <v>1</v>
      </c>
      <c r="K1719" s="204" t="s">
        <v>224</v>
      </c>
      <c r="L1719" s="199">
        <v>1</v>
      </c>
      <c r="M1719" s="200">
        <v>0.3</v>
      </c>
      <c r="N1719" s="201">
        <v>34</v>
      </c>
    </row>
    <row r="1720" spans="1:14">
      <c r="A1720" s="194">
        <v>41277.479826388888</v>
      </c>
      <c r="B1720" s="195">
        <v>2081</v>
      </c>
      <c r="C1720" s="194"/>
      <c r="D1720" s="194"/>
      <c r="E1720" s="196" t="s">
        <v>615</v>
      </c>
      <c r="F1720" s="195">
        <v>800</v>
      </c>
      <c r="G1720" s="197" t="s">
        <v>470</v>
      </c>
      <c r="H1720" s="197" t="s">
        <v>471</v>
      </c>
      <c r="J1720" s="195">
        <v>1</v>
      </c>
      <c r="K1720" s="204" t="s">
        <v>224</v>
      </c>
      <c r="L1720" s="199">
        <v>1</v>
      </c>
      <c r="M1720" s="200">
        <v>0.5</v>
      </c>
      <c r="N1720" s="201">
        <v>34</v>
      </c>
    </row>
    <row r="1721" spans="1:14">
      <c r="A1721" s="194">
        <v>41301.725289351853</v>
      </c>
      <c r="B1721" s="195">
        <v>2081</v>
      </c>
      <c r="C1721" s="194"/>
      <c r="D1721" s="194"/>
      <c r="E1721" s="196" t="s">
        <v>1410</v>
      </c>
      <c r="F1721" s="195">
        <v>800</v>
      </c>
      <c r="G1721" s="197" t="s">
        <v>470</v>
      </c>
      <c r="H1721" s="197" t="s">
        <v>471</v>
      </c>
      <c r="J1721" s="195">
        <v>1</v>
      </c>
      <c r="K1721" s="204" t="s">
        <v>224</v>
      </c>
      <c r="L1721" s="199">
        <v>1</v>
      </c>
      <c r="M1721" s="200">
        <v>0.5</v>
      </c>
      <c r="N1721" s="201">
        <v>34</v>
      </c>
    </row>
    <row r="1722" spans="1:14">
      <c r="A1722" s="194">
        <v>41288.617476851854</v>
      </c>
      <c r="B1722" s="195">
        <v>2081</v>
      </c>
      <c r="C1722" s="194"/>
      <c r="D1722" s="194"/>
      <c r="E1722" s="196" t="s">
        <v>975</v>
      </c>
      <c r="F1722" s="195">
        <v>800</v>
      </c>
      <c r="G1722" s="197" t="s">
        <v>470</v>
      </c>
      <c r="H1722" s="197" t="s">
        <v>471</v>
      </c>
      <c r="J1722" s="195">
        <v>1</v>
      </c>
      <c r="K1722" s="204" t="s">
        <v>224</v>
      </c>
      <c r="L1722" s="199">
        <v>1</v>
      </c>
      <c r="M1722" s="200">
        <v>1</v>
      </c>
      <c r="N1722" s="201">
        <v>34</v>
      </c>
    </row>
    <row r="1723" spans="1:14">
      <c r="A1723" s="194">
        <v>41300.621076388888</v>
      </c>
      <c r="B1723" s="195">
        <v>2081</v>
      </c>
      <c r="C1723" s="194"/>
      <c r="D1723" s="194"/>
      <c r="E1723" s="196" t="s">
        <v>1438</v>
      </c>
      <c r="F1723" s="195">
        <v>800</v>
      </c>
      <c r="G1723" s="197" t="s">
        <v>470</v>
      </c>
      <c r="H1723" s="197" t="s">
        <v>471</v>
      </c>
      <c r="J1723" s="195">
        <v>1</v>
      </c>
      <c r="K1723" s="204" t="s">
        <v>224</v>
      </c>
      <c r="L1723" s="199">
        <v>2</v>
      </c>
      <c r="M1723" s="200">
        <v>1.1000000000000001</v>
      </c>
      <c r="N1723" s="201">
        <v>34</v>
      </c>
    </row>
    <row r="1724" spans="1:14">
      <c r="A1724" s="194">
        <v>41304.670046296298</v>
      </c>
      <c r="B1724" s="195">
        <v>2081</v>
      </c>
      <c r="C1724" s="194"/>
      <c r="D1724" s="194"/>
      <c r="E1724" s="196" t="s">
        <v>1545</v>
      </c>
      <c r="F1724" s="195">
        <v>800</v>
      </c>
      <c r="G1724" s="197" t="s">
        <v>470</v>
      </c>
      <c r="H1724" s="197" t="s">
        <v>471</v>
      </c>
      <c r="J1724" s="195">
        <v>1</v>
      </c>
      <c r="K1724" s="204" t="s">
        <v>224</v>
      </c>
      <c r="L1724" s="199">
        <v>1</v>
      </c>
      <c r="M1724" s="200">
        <v>1.3</v>
      </c>
      <c r="N1724" s="201">
        <v>34</v>
      </c>
    </row>
    <row r="1725" spans="1:14">
      <c r="A1725" s="194">
        <v>41301.403784722221</v>
      </c>
      <c r="B1725" s="195">
        <v>2081</v>
      </c>
      <c r="C1725" s="194"/>
      <c r="D1725" s="194"/>
      <c r="E1725" s="196" t="s">
        <v>1403</v>
      </c>
      <c r="F1725" s="195">
        <v>800</v>
      </c>
      <c r="G1725" s="197" t="s">
        <v>470</v>
      </c>
      <c r="H1725" s="197" t="s">
        <v>471</v>
      </c>
      <c r="J1725" s="195">
        <v>1</v>
      </c>
      <c r="K1725" s="204" t="s">
        <v>224</v>
      </c>
      <c r="L1725" s="199">
        <v>2</v>
      </c>
      <c r="M1725" s="200">
        <v>6.7</v>
      </c>
      <c r="N1725" s="201">
        <v>34</v>
      </c>
    </row>
    <row r="1726" spans="1:14">
      <c r="A1726" s="194">
        <v>41289.802916666667</v>
      </c>
      <c r="B1726" s="195">
        <v>2081</v>
      </c>
      <c r="C1726" s="194"/>
      <c r="D1726" s="194"/>
      <c r="E1726" s="196" t="s">
        <v>1003</v>
      </c>
      <c r="F1726" s="195">
        <v>800</v>
      </c>
      <c r="G1726" s="197" t="s">
        <v>470</v>
      </c>
      <c r="H1726" s="197" t="s">
        <v>471</v>
      </c>
      <c r="J1726" s="195">
        <v>1</v>
      </c>
      <c r="K1726" s="204" t="s">
        <v>224</v>
      </c>
      <c r="L1726" s="199">
        <v>1</v>
      </c>
      <c r="M1726" s="200">
        <v>0.3</v>
      </c>
      <c r="N1726" s="201">
        <v>35</v>
      </c>
    </row>
    <row r="1727" spans="1:14">
      <c r="A1727" s="194">
        <v>41278.527118055557</v>
      </c>
      <c r="B1727" s="195">
        <v>2081</v>
      </c>
      <c r="C1727" s="194"/>
      <c r="D1727" s="194"/>
      <c r="E1727" s="196" t="s">
        <v>593</v>
      </c>
      <c r="F1727" s="195">
        <v>800</v>
      </c>
      <c r="G1727" s="197" t="s">
        <v>470</v>
      </c>
      <c r="H1727" s="197" t="s">
        <v>471</v>
      </c>
      <c r="J1727" s="195">
        <v>1</v>
      </c>
      <c r="K1727" s="204" t="s">
        <v>224</v>
      </c>
      <c r="L1727" s="199">
        <v>1</v>
      </c>
      <c r="M1727" s="200">
        <v>0.3</v>
      </c>
      <c r="N1727" s="201">
        <v>36</v>
      </c>
    </row>
    <row r="1728" spans="1:14">
      <c r="A1728" s="194">
        <v>41294.1328587963</v>
      </c>
      <c r="B1728" s="195">
        <v>2081</v>
      </c>
      <c r="C1728" s="194"/>
      <c r="D1728" s="194"/>
      <c r="E1728" s="196" t="s">
        <v>1145</v>
      </c>
      <c r="F1728" s="195">
        <v>800</v>
      </c>
      <c r="G1728" s="197" t="s">
        <v>470</v>
      </c>
      <c r="H1728" s="197" t="s">
        <v>471</v>
      </c>
      <c r="J1728" s="195">
        <v>1</v>
      </c>
      <c r="K1728" s="204" t="s">
        <v>224</v>
      </c>
      <c r="L1728" s="199">
        <v>1</v>
      </c>
      <c r="M1728" s="200">
        <v>0.3</v>
      </c>
      <c r="N1728" s="201">
        <v>36</v>
      </c>
    </row>
    <row r="1729" spans="1:14">
      <c r="A1729" s="194">
        <v>41282.547268518516</v>
      </c>
      <c r="B1729" s="195">
        <v>2081</v>
      </c>
      <c r="C1729" s="194"/>
      <c r="D1729" s="194"/>
      <c r="E1729" s="196" t="s">
        <v>736</v>
      </c>
      <c r="F1729" s="195">
        <v>800</v>
      </c>
      <c r="G1729" s="197" t="s">
        <v>470</v>
      </c>
      <c r="H1729" s="197" t="s">
        <v>471</v>
      </c>
      <c r="J1729" s="195">
        <v>1</v>
      </c>
      <c r="K1729" s="204" t="s">
        <v>224</v>
      </c>
      <c r="L1729" s="199">
        <v>2</v>
      </c>
      <c r="M1729" s="200">
        <v>0.5</v>
      </c>
      <c r="N1729" s="201">
        <v>36</v>
      </c>
    </row>
    <row r="1730" spans="1:14">
      <c r="A1730" s="194">
        <v>41301.371759259258</v>
      </c>
      <c r="B1730" s="195">
        <v>2081</v>
      </c>
      <c r="C1730" s="194"/>
      <c r="D1730" s="194"/>
      <c r="E1730" s="196" t="s">
        <v>1402</v>
      </c>
      <c r="F1730" s="195">
        <v>800</v>
      </c>
      <c r="G1730" s="197" t="s">
        <v>470</v>
      </c>
      <c r="H1730" s="197" t="s">
        <v>471</v>
      </c>
      <c r="J1730" s="195">
        <v>1</v>
      </c>
      <c r="K1730" s="204" t="s">
        <v>224</v>
      </c>
      <c r="L1730" s="199">
        <v>1</v>
      </c>
      <c r="M1730" s="200">
        <v>0.5</v>
      </c>
      <c r="N1730" s="201">
        <v>36</v>
      </c>
    </row>
    <row r="1731" spans="1:14">
      <c r="A1731" s="194">
        <v>41283.856956018521</v>
      </c>
      <c r="B1731" s="195">
        <v>2081</v>
      </c>
      <c r="C1731" s="194"/>
      <c r="D1731" s="194"/>
      <c r="E1731" s="196" t="s">
        <v>764</v>
      </c>
      <c r="F1731" s="195">
        <v>800</v>
      </c>
      <c r="G1731" s="197" t="s">
        <v>470</v>
      </c>
      <c r="H1731" s="197" t="s">
        <v>471</v>
      </c>
      <c r="J1731" s="195">
        <v>1</v>
      </c>
      <c r="K1731" s="204" t="s">
        <v>224</v>
      </c>
      <c r="L1731" s="199">
        <v>2</v>
      </c>
      <c r="M1731" s="200">
        <v>0.9</v>
      </c>
      <c r="N1731" s="201">
        <v>36</v>
      </c>
    </row>
    <row r="1732" spans="1:14">
      <c r="A1732" s="194">
        <v>41293.393240740741</v>
      </c>
      <c r="B1732" s="195">
        <v>2081</v>
      </c>
      <c r="C1732" s="194"/>
      <c r="D1732" s="194"/>
      <c r="E1732" s="196" t="s">
        <v>1194</v>
      </c>
      <c r="F1732" s="195">
        <v>800</v>
      </c>
      <c r="G1732" s="197" t="s">
        <v>470</v>
      </c>
      <c r="H1732" s="197" t="s">
        <v>471</v>
      </c>
      <c r="J1732" s="195">
        <v>1</v>
      </c>
      <c r="K1732" s="204" t="s">
        <v>224</v>
      </c>
      <c r="L1732" s="199">
        <v>1</v>
      </c>
      <c r="M1732" s="200">
        <v>0.7</v>
      </c>
      <c r="N1732" s="201">
        <v>37</v>
      </c>
    </row>
    <row r="1733" spans="1:14">
      <c r="A1733" s="194">
        <v>41280.491006944445</v>
      </c>
      <c r="B1733" s="195">
        <v>2081</v>
      </c>
      <c r="C1733" s="194"/>
      <c r="D1733" s="194"/>
      <c r="E1733" s="196" t="s">
        <v>564</v>
      </c>
      <c r="F1733" s="195">
        <v>800</v>
      </c>
      <c r="G1733" s="197" t="s">
        <v>470</v>
      </c>
      <c r="H1733" s="197" t="s">
        <v>471</v>
      </c>
      <c r="J1733" s="195">
        <v>1</v>
      </c>
      <c r="K1733" s="204" t="s">
        <v>224</v>
      </c>
      <c r="L1733" s="199">
        <v>1</v>
      </c>
      <c r="M1733" s="200">
        <v>0.3</v>
      </c>
      <c r="N1733" s="201">
        <v>38</v>
      </c>
    </row>
    <row r="1734" spans="1:14">
      <c r="A1734" s="194">
        <v>41281.952708333331</v>
      </c>
      <c r="B1734" s="195">
        <v>2081</v>
      </c>
      <c r="C1734" s="194"/>
      <c r="D1734" s="194"/>
      <c r="E1734" s="196" t="s">
        <v>708</v>
      </c>
      <c r="F1734" s="195">
        <v>800</v>
      </c>
      <c r="G1734" s="197" t="s">
        <v>470</v>
      </c>
      <c r="H1734" s="197" t="s">
        <v>471</v>
      </c>
      <c r="J1734" s="195">
        <v>1</v>
      </c>
      <c r="K1734" s="204" t="s">
        <v>224</v>
      </c>
      <c r="L1734" s="199">
        <v>1</v>
      </c>
      <c r="M1734" s="200">
        <v>0.3</v>
      </c>
      <c r="N1734" s="201">
        <v>38</v>
      </c>
    </row>
    <row r="1735" spans="1:14">
      <c r="A1735" s="194">
        <v>41283.512523148151</v>
      </c>
      <c r="B1735" s="195">
        <v>2081</v>
      </c>
      <c r="C1735" s="194"/>
      <c r="D1735" s="194"/>
      <c r="E1735" s="196" t="s">
        <v>763</v>
      </c>
      <c r="F1735" s="195">
        <v>800</v>
      </c>
      <c r="G1735" s="197" t="s">
        <v>470</v>
      </c>
      <c r="H1735" s="197" t="s">
        <v>471</v>
      </c>
      <c r="J1735" s="195">
        <v>1</v>
      </c>
      <c r="K1735" s="204" t="s">
        <v>224</v>
      </c>
      <c r="L1735" s="199">
        <v>2</v>
      </c>
      <c r="M1735" s="200">
        <v>0.4</v>
      </c>
      <c r="N1735" s="201">
        <v>38</v>
      </c>
    </row>
    <row r="1736" spans="1:14">
      <c r="A1736" s="194">
        <v>41291.484861111108</v>
      </c>
      <c r="B1736" s="195">
        <v>2081</v>
      </c>
      <c r="C1736" s="194"/>
      <c r="D1736" s="194"/>
      <c r="E1736" s="196" t="s">
        <v>1101</v>
      </c>
      <c r="F1736" s="195">
        <v>800</v>
      </c>
      <c r="G1736" s="197" t="s">
        <v>470</v>
      </c>
      <c r="H1736" s="197" t="s">
        <v>471</v>
      </c>
      <c r="J1736" s="195">
        <v>1</v>
      </c>
      <c r="K1736" s="204" t="s">
        <v>224</v>
      </c>
      <c r="L1736" s="199">
        <v>1</v>
      </c>
      <c r="M1736" s="200">
        <v>0.4</v>
      </c>
      <c r="N1736" s="201">
        <v>38</v>
      </c>
    </row>
    <row r="1737" spans="1:14">
      <c r="A1737" s="194">
        <v>41291.264050925929</v>
      </c>
      <c r="B1737" s="195">
        <v>2081</v>
      </c>
      <c r="C1737" s="194"/>
      <c r="D1737" s="194"/>
      <c r="E1737" s="196" t="s">
        <v>979</v>
      </c>
      <c r="F1737" s="195">
        <v>800</v>
      </c>
      <c r="G1737" s="197" t="s">
        <v>470</v>
      </c>
      <c r="H1737" s="197" t="s">
        <v>471</v>
      </c>
      <c r="J1737" s="195">
        <v>1</v>
      </c>
      <c r="K1737" s="204" t="s">
        <v>224</v>
      </c>
      <c r="L1737" s="199">
        <v>1</v>
      </c>
      <c r="M1737" s="200">
        <v>0.6</v>
      </c>
      <c r="N1737" s="201">
        <v>38</v>
      </c>
    </row>
    <row r="1738" spans="1:14">
      <c r="A1738" s="194">
        <v>41305.646817129629</v>
      </c>
      <c r="B1738" s="195">
        <v>2081</v>
      </c>
      <c r="C1738" s="194"/>
      <c r="D1738" s="194"/>
      <c r="E1738" s="196" t="s">
        <v>1581</v>
      </c>
      <c r="F1738" s="195">
        <v>800</v>
      </c>
      <c r="G1738" s="197" t="s">
        <v>470</v>
      </c>
      <c r="H1738" s="197" t="s">
        <v>471</v>
      </c>
      <c r="J1738" s="195">
        <v>1</v>
      </c>
      <c r="K1738" s="204" t="s">
        <v>224</v>
      </c>
      <c r="L1738" s="199">
        <v>1</v>
      </c>
      <c r="M1738" s="200">
        <v>1.3</v>
      </c>
      <c r="N1738" s="201">
        <v>38</v>
      </c>
    </row>
    <row r="1739" spans="1:14">
      <c r="A1739" s="194">
        <v>41288.49596064815</v>
      </c>
      <c r="B1739" s="195">
        <v>2081</v>
      </c>
      <c r="C1739" s="194"/>
      <c r="D1739" s="194"/>
      <c r="E1739" s="196" t="s">
        <v>973</v>
      </c>
      <c r="F1739" s="195">
        <v>800</v>
      </c>
      <c r="G1739" s="197" t="s">
        <v>470</v>
      </c>
      <c r="H1739" s="197" t="s">
        <v>471</v>
      </c>
      <c r="J1739" s="195">
        <v>1</v>
      </c>
      <c r="K1739" s="204" t="s">
        <v>224</v>
      </c>
      <c r="L1739" s="199">
        <v>1</v>
      </c>
      <c r="M1739" s="200">
        <v>0.5</v>
      </c>
      <c r="N1739" s="201">
        <v>39</v>
      </c>
    </row>
    <row r="1740" spans="1:14">
      <c r="A1740" s="194">
        <v>41281.888148148151</v>
      </c>
      <c r="B1740" s="195">
        <v>2081</v>
      </c>
      <c r="C1740" s="194"/>
      <c r="D1740" s="194"/>
      <c r="E1740" s="196" t="s">
        <v>707</v>
      </c>
      <c r="F1740" s="195">
        <v>800</v>
      </c>
      <c r="G1740" s="197" t="s">
        <v>470</v>
      </c>
      <c r="H1740" s="197" t="s">
        <v>471</v>
      </c>
      <c r="J1740" s="195">
        <v>1</v>
      </c>
      <c r="K1740" s="204" t="s">
        <v>224</v>
      </c>
      <c r="L1740" s="199">
        <v>2</v>
      </c>
      <c r="M1740" s="200">
        <v>0.6</v>
      </c>
      <c r="N1740" s="201">
        <v>39</v>
      </c>
    </row>
    <row r="1741" spans="1:14">
      <c r="A1741" s="194">
        <v>41276.968715277777</v>
      </c>
      <c r="B1741" s="195">
        <v>2081</v>
      </c>
      <c r="C1741" s="194"/>
      <c r="D1741" s="194"/>
      <c r="E1741" s="196" t="s">
        <v>518</v>
      </c>
      <c r="F1741" s="195">
        <v>800</v>
      </c>
      <c r="G1741" s="197" t="s">
        <v>470</v>
      </c>
      <c r="H1741" s="197" t="s">
        <v>471</v>
      </c>
      <c r="J1741" s="195">
        <v>1</v>
      </c>
      <c r="K1741" s="204" t="s">
        <v>224</v>
      </c>
      <c r="L1741" s="199">
        <v>2</v>
      </c>
      <c r="M1741" s="200">
        <v>0.8</v>
      </c>
      <c r="N1741" s="201">
        <v>39</v>
      </c>
    </row>
    <row r="1742" spans="1:14">
      <c r="A1742" s="194">
        <v>41292.837685185186</v>
      </c>
      <c r="B1742" s="195">
        <v>2081</v>
      </c>
      <c r="C1742" s="194"/>
      <c r="D1742" s="194"/>
      <c r="E1742" s="196" t="s">
        <v>1151</v>
      </c>
      <c r="F1742" s="195">
        <v>800</v>
      </c>
      <c r="G1742" s="197" t="s">
        <v>470</v>
      </c>
      <c r="H1742" s="197" t="s">
        <v>471</v>
      </c>
      <c r="J1742" s="195">
        <v>1</v>
      </c>
      <c r="K1742" s="204" t="s">
        <v>224</v>
      </c>
      <c r="L1742" s="199">
        <v>1</v>
      </c>
      <c r="M1742" s="200">
        <v>0.8</v>
      </c>
      <c r="N1742" s="201">
        <v>39</v>
      </c>
    </row>
    <row r="1743" spans="1:14">
      <c r="A1743" s="194">
        <v>41298.481446759259</v>
      </c>
      <c r="B1743" s="195">
        <v>2081</v>
      </c>
      <c r="C1743" s="194"/>
      <c r="D1743" s="194"/>
      <c r="E1743" s="196" t="s">
        <v>1312</v>
      </c>
      <c r="F1743" s="195">
        <v>800</v>
      </c>
      <c r="G1743" s="197" t="s">
        <v>470</v>
      </c>
      <c r="H1743" s="197" t="s">
        <v>471</v>
      </c>
      <c r="J1743" s="195">
        <v>1</v>
      </c>
      <c r="K1743" s="204" t="s">
        <v>224</v>
      </c>
      <c r="L1743" s="199">
        <v>1</v>
      </c>
      <c r="M1743" s="200">
        <v>1</v>
      </c>
      <c r="N1743" s="201">
        <v>39</v>
      </c>
    </row>
    <row r="1744" spans="1:14">
      <c r="A1744" s="194">
        <v>41299.571736111109</v>
      </c>
      <c r="B1744" s="195">
        <v>2081</v>
      </c>
      <c r="C1744" s="194"/>
      <c r="D1744" s="194"/>
      <c r="E1744" s="196" t="s">
        <v>1381</v>
      </c>
      <c r="F1744" s="195">
        <v>800</v>
      </c>
      <c r="G1744" s="197" t="s">
        <v>470</v>
      </c>
      <c r="H1744" s="197" t="s">
        <v>471</v>
      </c>
      <c r="J1744" s="195">
        <v>1</v>
      </c>
      <c r="K1744" s="204" t="s">
        <v>224</v>
      </c>
      <c r="L1744" s="199">
        <v>1</v>
      </c>
      <c r="M1744" s="200">
        <v>1</v>
      </c>
      <c r="N1744" s="201">
        <v>39</v>
      </c>
    </row>
    <row r="1745" spans="1:14">
      <c r="A1745" s="194">
        <v>41298.093935185185</v>
      </c>
      <c r="B1745" s="195">
        <v>2081</v>
      </c>
      <c r="C1745" s="194"/>
      <c r="D1745" s="194"/>
      <c r="E1745" s="196" t="s">
        <v>1310</v>
      </c>
      <c r="F1745" s="195">
        <v>800</v>
      </c>
      <c r="G1745" s="197" t="s">
        <v>470</v>
      </c>
      <c r="H1745" s="197" t="s">
        <v>471</v>
      </c>
      <c r="J1745" s="195">
        <v>1</v>
      </c>
      <c r="K1745" s="204" t="s">
        <v>224</v>
      </c>
      <c r="L1745" s="199">
        <v>2</v>
      </c>
      <c r="M1745" s="200">
        <v>1.7</v>
      </c>
      <c r="N1745" s="201">
        <v>39</v>
      </c>
    </row>
    <row r="1746" spans="1:14">
      <c r="A1746" s="194">
        <v>41277.509675925925</v>
      </c>
      <c r="B1746" s="195">
        <v>2081</v>
      </c>
      <c r="C1746" s="194"/>
      <c r="D1746" s="194"/>
      <c r="E1746" s="196" t="s">
        <v>618</v>
      </c>
      <c r="F1746" s="195">
        <v>800</v>
      </c>
      <c r="G1746" s="197" t="s">
        <v>470</v>
      </c>
      <c r="H1746" s="197" t="s">
        <v>471</v>
      </c>
      <c r="J1746" s="195">
        <v>1</v>
      </c>
      <c r="K1746" s="204" t="s">
        <v>224</v>
      </c>
      <c r="L1746" s="199">
        <v>2</v>
      </c>
      <c r="M1746" s="200">
        <v>0.3</v>
      </c>
      <c r="N1746" s="201">
        <v>40</v>
      </c>
    </row>
    <row r="1747" spans="1:14">
      <c r="A1747" s="194">
        <v>41276.930509259262</v>
      </c>
      <c r="B1747" s="195">
        <v>2081</v>
      </c>
      <c r="C1747" s="194"/>
      <c r="D1747" s="194"/>
      <c r="E1747" s="196" t="s">
        <v>517</v>
      </c>
      <c r="F1747" s="195">
        <v>800</v>
      </c>
      <c r="G1747" s="197" t="s">
        <v>470</v>
      </c>
      <c r="H1747" s="197" t="s">
        <v>471</v>
      </c>
      <c r="J1747" s="195">
        <v>1</v>
      </c>
      <c r="K1747" s="204" t="s">
        <v>224</v>
      </c>
      <c r="L1747" s="199">
        <v>1</v>
      </c>
      <c r="M1747" s="200">
        <v>0.4</v>
      </c>
      <c r="N1747" s="201">
        <v>40</v>
      </c>
    </row>
    <row r="1748" spans="1:14">
      <c r="A1748" s="194">
        <v>41289.416817129626</v>
      </c>
      <c r="B1748" s="195">
        <v>2081</v>
      </c>
      <c r="C1748" s="194"/>
      <c r="D1748" s="194"/>
      <c r="E1748" s="196" t="s">
        <v>1001</v>
      </c>
      <c r="F1748" s="195">
        <v>800</v>
      </c>
      <c r="G1748" s="197" t="s">
        <v>470</v>
      </c>
      <c r="H1748" s="197" t="s">
        <v>471</v>
      </c>
      <c r="J1748" s="195">
        <v>1</v>
      </c>
      <c r="K1748" s="204" t="s">
        <v>224</v>
      </c>
      <c r="L1748" s="199">
        <v>1</v>
      </c>
      <c r="M1748" s="200">
        <v>0.4</v>
      </c>
      <c r="N1748" s="201">
        <v>40</v>
      </c>
    </row>
    <row r="1749" spans="1:14">
      <c r="A1749" s="194">
        <v>41277.515231481484</v>
      </c>
      <c r="B1749" s="195">
        <v>2081</v>
      </c>
      <c r="C1749" s="194"/>
      <c r="D1749" s="194"/>
      <c r="E1749" s="196" t="s">
        <v>619</v>
      </c>
      <c r="F1749" s="195">
        <v>800</v>
      </c>
      <c r="G1749" s="197" t="s">
        <v>470</v>
      </c>
      <c r="H1749" s="197" t="s">
        <v>471</v>
      </c>
      <c r="J1749" s="195">
        <v>1</v>
      </c>
      <c r="K1749" s="204" t="s">
        <v>224</v>
      </c>
      <c r="L1749" s="199">
        <v>1</v>
      </c>
      <c r="M1749" s="200">
        <v>0.5</v>
      </c>
      <c r="N1749" s="201">
        <v>40</v>
      </c>
    </row>
    <row r="1750" spans="1:14">
      <c r="A1750" s="194">
        <v>41290.138321759259</v>
      </c>
      <c r="B1750" s="195">
        <v>2081</v>
      </c>
      <c r="C1750" s="194"/>
      <c r="D1750" s="194"/>
      <c r="E1750" s="196" t="s">
        <v>1038</v>
      </c>
      <c r="F1750" s="195">
        <v>800</v>
      </c>
      <c r="G1750" s="197" t="s">
        <v>470</v>
      </c>
      <c r="H1750" s="197" t="s">
        <v>471</v>
      </c>
      <c r="J1750" s="195">
        <v>1</v>
      </c>
      <c r="K1750" s="204" t="s">
        <v>224</v>
      </c>
      <c r="L1750" s="199">
        <v>2</v>
      </c>
      <c r="M1750" s="200">
        <v>0.6</v>
      </c>
      <c r="N1750" s="201">
        <v>40</v>
      </c>
    </row>
    <row r="1751" spans="1:14">
      <c r="A1751" s="194">
        <v>41294.665358796294</v>
      </c>
      <c r="B1751" s="195">
        <v>2081</v>
      </c>
      <c r="C1751" s="194"/>
      <c r="D1751" s="194"/>
      <c r="E1751" s="196" t="s">
        <v>1149</v>
      </c>
      <c r="F1751" s="195">
        <v>800</v>
      </c>
      <c r="G1751" s="197" t="s">
        <v>470</v>
      </c>
      <c r="H1751" s="197" t="s">
        <v>471</v>
      </c>
      <c r="J1751" s="195">
        <v>1</v>
      </c>
      <c r="K1751" s="204" t="s">
        <v>224</v>
      </c>
      <c r="L1751" s="199">
        <v>1</v>
      </c>
      <c r="M1751" s="200">
        <v>1.3</v>
      </c>
      <c r="N1751" s="201">
        <v>40</v>
      </c>
    </row>
    <row r="1752" spans="1:14">
      <c r="A1752" s="194">
        <v>41275.518726851849</v>
      </c>
      <c r="B1752" s="195">
        <v>2081</v>
      </c>
      <c r="C1752" s="194"/>
      <c r="D1752" s="194"/>
      <c r="E1752" s="196" t="s">
        <v>492</v>
      </c>
      <c r="F1752" s="195">
        <v>800</v>
      </c>
      <c r="G1752" s="197" t="s">
        <v>470</v>
      </c>
      <c r="H1752" s="197" t="s">
        <v>471</v>
      </c>
      <c r="J1752" s="195">
        <v>1</v>
      </c>
      <c r="K1752" s="204" t="s">
        <v>224</v>
      </c>
      <c r="L1752" s="199">
        <v>2</v>
      </c>
      <c r="M1752" s="200">
        <v>0.4</v>
      </c>
      <c r="N1752" s="201">
        <v>41</v>
      </c>
    </row>
    <row r="1753" spans="1:14">
      <c r="A1753" s="194">
        <v>41283.200740740744</v>
      </c>
      <c r="B1753" s="195">
        <v>2081</v>
      </c>
      <c r="C1753" s="194"/>
      <c r="D1753" s="194"/>
      <c r="E1753" s="196" t="s">
        <v>761</v>
      </c>
      <c r="F1753" s="195">
        <v>800</v>
      </c>
      <c r="G1753" s="197" t="s">
        <v>470</v>
      </c>
      <c r="H1753" s="197" t="s">
        <v>471</v>
      </c>
      <c r="J1753" s="195">
        <v>1</v>
      </c>
      <c r="K1753" s="204" t="s">
        <v>224</v>
      </c>
      <c r="L1753" s="199">
        <v>1</v>
      </c>
      <c r="M1753" s="200">
        <v>0.6</v>
      </c>
      <c r="N1753" s="201">
        <v>41</v>
      </c>
    </row>
    <row r="1754" spans="1:14">
      <c r="A1754" s="194">
        <v>41293.594629629632</v>
      </c>
      <c r="B1754" s="195">
        <v>2081</v>
      </c>
      <c r="C1754" s="194"/>
      <c r="D1754" s="194"/>
      <c r="E1754" s="196" t="s">
        <v>1195</v>
      </c>
      <c r="F1754" s="195">
        <v>800</v>
      </c>
      <c r="G1754" s="197" t="s">
        <v>470</v>
      </c>
      <c r="H1754" s="197" t="s">
        <v>471</v>
      </c>
      <c r="J1754" s="195">
        <v>1</v>
      </c>
      <c r="K1754" s="204" t="s">
        <v>224</v>
      </c>
      <c r="L1754" s="199">
        <v>1</v>
      </c>
      <c r="M1754" s="200">
        <v>0.6</v>
      </c>
      <c r="N1754" s="201">
        <v>41</v>
      </c>
    </row>
    <row r="1755" spans="1:14">
      <c r="A1755" s="194">
        <v>41296.773796296293</v>
      </c>
      <c r="B1755" s="195">
        <v>2081</v>
      </c>
      <c r="C1755" s="194"/>
      <c r="D1755" s="194"/>
      <c r="E1755" s="196" t="s">
        <v>1319</v>
      </c>
      <c r="F1755" s="195">
        <v>800</v>
      </c>
      <c r="G1755" s="197" t="s">
        <v>470</v>
      </c>
      <c r="H1755" s="197" t="s">
        <v>471</v>
      </c>
      <c r="J1755" s="195">
        <v>1</v>
      </c>
      <c r="K1755" s="204" t="s">
        <v>224</v>
      </c>
      <c r="L1755" s="199">
        <v>1</v>
      </c>
      <c r="M1755" s="200">
        <v>1</v>
      </c>
      <c r="N1755" s="201">
        <v>41</v>
      </c>
    </row>
    <row r="1756" spans="1:14">
      <c r="A1756" s="194">
        <v>41291.478622685187</v>
      </c>
      <c r="B1756" s="195">
        <v>2081</v>
      </c>
      <c r="C1756" s="194"/>
      <c r="D1756" s="194"/>
      <c r="E1756" s="196" t="s">
        <v>1100</v>
      </c>
      <c r="F1756" s="195">
        <v>800</v>
      </c>
      <c r="G1756" s="197" t="s">
        <v>470</v>
      </c>
      <c r="H1756" s="197" t="s">
        <v>471</v>
      </c>
      <c r="J1756" s="195">
        <v>1</v>
      </c>
      <c r="K1756" s="204" t="s">
        <v>224</v>
      </c>
      <c r="L1756" s="199">
        <v>1</v>
      </c>
      <c r="M1756" s="200">
        <v>1.2</v>
      </c>
      <c r="N1756" s="201">
        <v>41</v>
      </c>
    </row>
    <row r="1757" spans="1:14">
      <c r="A1757" s="194">
        <v>41288.441805555558</v>
      </c>
      <c r="B1757" s="195">
        <v>2081</v>
      </c>
      <c r="C1757" s="194"/>
      <c r="D1757" s="194"/>
      <c r="E1757" s="196" t="s">
        <v>971</v>
      </c>
      <c r="F1757" s="195">
        <v>800</v>
      </c>
      <c r="G1757" s="197" t="s">
        <v>470</v>
      </c>
      <c r="H1757" s="197" t="s">
        <v>471</v>
      </c>
      <c r="J1757" s="195">
        <v>1</v>
      </c>
      <c r="K1757" s="204" t="s">
        <v>224</v>
      </c>
      <c r="L1757" s="199">
        <v>1</v>
      </c>
      <c r="M1757" s="200">
        <v>1.8</v>
      </c>
      <c r="N1757" s="201">
        <v>41</v>
      </c>
    </row>
    <row r="1758" spans="1:14">
      <c r="A1758" s="194">
        <v>41277.500648148147</v>
      </c>
      <c r="B1758" s="195">
        <v>2081</v>
      </c>
      <c r="C1758" s="194"/>
      <c r="D1758" s="194"/>
      <c r="E1758" s="196" t="s">
        <v>617</v>
      </c>
      <c r="F1758" s="195">
        <v>800</v>
      </c>
      <c r="G1758" s="197" t="s">
        <v>470</v>
      </c>
      <c r="H1758" s="197" t="s">
        <v>471</v>
      </c>
      <c r="J1758" s="195">
        <v>1</v>
      </c>
      <c r="K1758" s="204" t="s">
        <v>224</v>
      </c>
      <c r="L1758" s="199">
        <v>1</v>
      </c>
      <c r="M1758" s="200">
        <v>0.4</v>
      </c>
      <c r="N1758" s="201">
        <v>42</v>
      </c>
    </row>
    <row r="1759" spans="1:14">
      <c r="A1759" s="194">
        <v>41290.499421296299</v>
      </c>
      <c r="B1759" s="195">
        <v>2081</v>
      </c>
      <c r="C1759" s="194"/>
      <c r="D1759" s="194"/>
      <c r="E1759" s="196" t="s">
        <v>1040</v>
      </c>
      <c r="F1759" s="195">
        <v>800</v>
      </c>
      <c r="G1759" s="197" t="s">
        <v>470</v>
      </c>
      <c r="H1759" s="197" t="s">
        <v>471</v>
      </c>
      <c r="J1759" s="195">
        <v>1</v>
      </c>
      <c r="K1759" s="204" t="s">
        <v>224</v>
      </c>
      <c r="L1759" s="199">
        <v>2</v>
      </c>
      <c r="M1759" s="200">
        <v>0.4</v>
      </c>
      <c r="N1759" s="201">
        <v>42</v>
      </c>
    </row>
    <row r="1760" spans="1:14">
      <c r="A1760" s="194">
        <v>41282.012430555558</v>
      </c>
      <c r="B1760" s="195">
        <v>2081</v>
      </c>
      <c r="C1760" s="194"/>
      <c r="D1760" s="194"/>
      <c r="E1760" s="196" t="s">
        <v>735</v>
      </c>
      <c r="F1760" s="195">
        <v>800</v>
      </c>
      <c r="G1760" s="197" t="s">
        <v>470</v>
      </c>
      <c r="H1760" s="197" t="s">
        <v>471</v>
      </c>
      <c r="J1760" s="195">
        <v>1</v>
      </c>
      <c r="K1760" s="204" t="s">
        <v>224</v>
      </c>
      <c r="L1760" s="199">
        <v>1</v>
      </c>
      <c r="M1760" s="200">
        <v>0.6</v>
      </c>
      <c r="N1760" s="201">
        <v>42</v>
      </c>
    </row>
    <row r="1761" spans="1:14">
      <c r="A1761" s="194">
        <v>41278.869467592594</v>
      </c>
      <c r="B1761" s="195">
        <v>2081</v>
      </c>
      <c r="C1761" s="194"/>
      <c r="D1761" s="194"/>
      <c r="E1761" s="196" t="s">
        <v>595</v>
      </c>
      <c r="F1761" s="195">
        <v>800</v>
      </c>
      <c r="G1761" s="197" t="s">
        <v>470</v>
      </c>
      <c r="H1761" s="197" t="s">
        <v>471</v>
      </c>
      <c r="J1761" s="195">
        <v>1</v>
      </c>
      <c r="K1761" s="204" t="s">
        <v>224</v>
      </c>
      <c r="L1761" s="199">
        <v>1</v>
      </c>
      <c r="M1761" s="200">
        <v>0.7</v>
      </c>
      <c r="N1761" s="201">
        <v>42</v>
      </c>
    </row>
    <row r="1762" spans="1:14">
      <c r="A1762" s="194">
        <v>41276.918715277781</v>
      </c>
      <c r="B1762" s="195">
        <v>2081</v>
      </c>
      <c r="C1762" s="194"/>
      <c r="D1762" s="194"/>
      <c r="E1762" s="196" t="s">
        <v>516</v>
      </c>
      <c r="F1762" s="195">
        <v>800</v>
      </c>
      <c r="G1762" s="197" t="s">
        <v>470</v>
      </c>
      <c r="H1762" s="197" t="s">
        <v>471</v>
      </c>
      <c r="J1762" s="195">
        <v>1</v>
      </c>
      <c r="K1762" s="204" t="s">
        <v>224</v>
      </c>
      <c r="L1762" s="199">
        <v>1</v>
      </c>
      <c r="M1762" s="200">
        <v>1.1000000000000001</v>
      </c>
      <c r="N1762" s="201">
        <v>42</v>
      </c>
    </row>
    <row r="1763" spans="1:14">
      <c r="A1763" s="194">
        <v>41278.572951388887</v>
      </c>
      <c r="B1763" s="195">
        <v>2081</v>
      </c>
      <c r="C1763" s="194"/>
      <c r="D1763" s="194"/>
      <c r="E1763" s="196" t="s">
        <v>594</v>
      </c>
      <c r="F1763" s="195">
        <v>800</v>
      </c>
      <c r="G1763" s="197" t="s">
        <v>470</v>
      </c>
      <c r="H1763" s="197" t="s">
        <v>471</v>
      </c>
      <c r="J1763" s="195">
        <v>1</v>
      </c>
      <c r="K1763" s="204" t="s">
        <v>224</v>
      </c>
      <c r="L1763" s="199">
        <v>1</v>
      </c>
      <c r="M1763" s="200">
        <v>0.5</v>
      </c>
      <c r="N1763" s="201">
        <v>43</v>
      </c>
    </row>
    <row r="1764" spans="1:14">
      <c r="A1764" s="194">
        <v>41291.028564814813</v>
      </c>
      <c r="B1764" s="195">
        <v>2081</v>
      </c>
      <c r="C1764" s="194"/>
      <c r="D1764" s="194"/>
      <c r="E1764" s="196" t="s">
        <v>976</v>
      </c>
      <c r="F1764" s="195">
        <v>800</v>
      </c>
      <c r="G1764" s="197" t="s">
        <v>470</v>
      </c>
      <c r="H1764" s="197" t="s">
        <v>471</v>
      </c>
      <c r="J1764" s="195">
        <v>1</v>
      </c>
      <c r="K1764" s="204" t="s">
        <v>224</v>
      </c>
      <c r="L1764" s="199">
        <v>1</v>
      </c>
      <c r="M1764" s="200">
        <v>0.5</v>
      </c>
      <c r="N1764" s="201">
        <v>43</v>
      </c>
    </row>
    <row r="1765" spans="1:14">
      <c r="A1765" s="194">
        <v>41283.198657407411</v>
      </c>
      <c r="B1765" s="195">
        <v>2081</v>
      </c>
      <c r="C1765" s="194"/>
      <c r="D1765" s="194"/>
      <c r="E1765" s="196" t="s">
        <v>760</v>
      </c>
      <c r="F1765" s="195">
        <v>800</v>
      </c>
      <c r="G1765" s="197" t="s">
        <v>470</v>
      </c>
      <c r="H1765" s="197" t="s">
        <v>471</v>
      </c>
      <c r="J1765" s="195">
        <v>1</v>
      </c>
      <c r="K1765" s="204" t="s">
        <v>224</v>
      </c>
      <c r="L1765" s="199">
        <v>1</v>
      </c>
      <c r="M1765" s="200">
        <v>0.6</v>
      </c>
      <c r="N1765" s="201">
        <v>43</v>
      </c>
    </row>
    <row r="1766" spans="1:14">
      <c r="A1766" s="194">
        <v>41300.512060185189</v>
      </c>
      <c r="B1766" s="195">
        <v>2081</v>
      </c>
      <c r="C1766" s="194"/>
      <c r="D1766" s="194"/>
      <c r="E1766" s="196" t="s">
        <v>1437</v>
      </c>
      <c r="F1766" s="195">
        <v>800</v>
      </c>
      <c r="G1766" s="197" t="s">
        <v>470</v>
      </c>
      <c r="H1766" s="197" t="s">
        <v>471</v>
      </c>
      <c r="J1766" s="195">
        <v>1</v>
      </c>
      <c r="K1766" s="204" t="s">
        <v>224</v>
      </c>
      <c r="L1766" s="199">
        <v>1</v>
      </c>
      <c r="M1766" s="200">
        <v>0.5</v>
      </c>
      <c r="N1766" s="201">
        <v>46</v>
      </c>
    </row>
    <row r="1767" spans="1:14">
      <c r="A1767" s="194">
        <v>41291.138321759259</v>
      </c>
      <c r="B1767" s="195">
        <v>2081</v>
      </c>
      <c r="C1767" s="194"/>
      <c r="D1767" s="194"/>
      <c r="E1767" s="196" t="s">
        <v>978</v>
      </c>
      <c r="F1767" s="195">
        <v>800</v>
      </c>
      <c r="G1767" s="197" t="s">
        <v>470</v>
      </c>
      <c r="H1767" s="197" t="s">
        <v>471</v>
      </c>
      <c r="J1767" s="195">
        <v>1</v>
      </c>
      <c r="K1767" s="204" t="s">
        <v>224</v>
      </c>
      <c r="L1767" s="199">
        <v>2</v>
      </c>
      <c r="M1767" s="200">
        <v>0.7</v>
      </c>
      <c r="N1767" s="201">
        <v>51</v>
      </c>
    </row>
    <row r="1768" spans="1:14">
      <c r="A1768" s="194">
        <v>41290.945937500001</v>
      </c>
      <c r="B1768" s="195">
        <v>2081</v>
      </c>
      <c r="C1768" s="194"/>
      <c r="D1768" s="194"/>
      <c r="E1768" s="196" t="s">
        <v>1041</v>
      </c>
      <c r="F1768" s="195">
        <v>800</v>
      </c>
      <c r="G1768" s="197" t="s">
        <v>470</v>
      </c>
      <c r="H1768" s="197" t="s">
        <v>471</v>
      </c>
      <c r="J1768" s="195">
        <v>1</v>
      </c>
      <c r="K1768" s="204" t="s">
        <v>224</v>
      </c>
      <c r="L1768" s="199">
        <v>1</v>
      </c>
      <c r="M1768" s="200">
        <v>0.7</v>
      </c>
      <c r="N1768" s="201">
        <v>52</v>
      </c>
    </row>
    <row r="1769" spans="1:14">
      <c r="A1769" s="194">
        <v>41301.026585648149</v>
      </c>
      <c r="B1769" s="195">
        <v>2081</v>
      </c>
      <c r="C1769" s="194"/>
      <c r="D1769" s="194"/>
      <c r="E1769" s="196" t="s">
        <v>1400</v>
      </c>
      <c r="F1769" s="195">
        <v>800</v>
      </c>
      <c r="G1769" s="197" t="s">
        <v>470</v>
      </c>
      <c r="H1769" s="197" t="s">
        <v>471</v>
      </c>
      <c r="J1769" s="195">
        <v>1</v>
      </c>
      <c r="K1769" s="204" t="s">
        <v>224</v>
      </c>
      <c r="L1769" s="199">
        <v>1</v>
      </c>
      <c r="M1769" s="200">
        <v>0.3</v>
      </c>
      <c r="N1769" s="201">
        <v>58</v>
      </c>
    </row>
    <row r="1770" spans="1:14">
      <c r="A1770" s="194">
        <v>41279.897256944445</v>
      </c>
      <c r="B1770" s="195">
        <v>2081</v>
      </c>
      <c r="C1770" s="194"/>
      <c r="D1770" s="194"/>
      <c r="E1770" s="198"/>
      <c r="G1770" s="202"/>
      <c r="J1770" s="195">
        <v>2</v>
      </c>
      <c r="K1770" s="204" t="s">
        <v>32</v>
      </c>
      <c r="L1770" s="199">
        <v>2</v>
      </c>
      <c r="M1770" s="200">
        <v>1.5</v>
      </c>
      <c r="N1770" s="201">
        <v>16</v>
      </c>
    </row>
    <row r="1771" spans="1:14">
      <c r="A1771" s="194">
        <v>41305.526655092595</v>
      </c>
      <c r="B1771" s="195">
        <v>2081</v>
      </c>
      <c r="C1771" s="194"/>
      <c r="D1771" s="194"/>
      <c r="E1771" s="198"/>
      <c r="G1771" s="202"/>
      <c r="J1771" s="195">
        <v>2</v>
      </c>
      <c r="K1771" s="204" t="s">
        <v>32</v>
      </c>
      <c r="L1771" s="199">
        <v>1</v>
      </c>
      <c r="M1771" s="200">
        <v>0.8</v>
      </c>
      <c r="N1771" s="201">
        <v>25</v>
      </c>
    </row>
    <row r="1772" spans="1:14">
      <c r="A1772" s="194">
        <v>41299.824537037035</v>
      </c>
      <c r="B1772" s="195">
        <v>2081</v>
      </c>
      <c r="C1772" s="194"/>
      <c r="D1772" s="194"/>
      <c r="E1772" s="198"/>
      <c r="G1772" s="202"/>
      <c r="J1772" s="195">
        <v>2</v>
      </c>
      <c r="K1772" s="204" t="s">
        <v>32</v>
      </c>
      <c r="L1772" s="199">
        <v>1</v>
      </c>
      <c r="M1772" s="200">
        <v>2.2999999999999998</v>
      </c>
      <c r="N1772" s="201">
        <v>28</v>
      </c>
    </row>
    <row r="1773" spans="1:14">
      <c r="A1773" s="194">
        <v>41280.386840277781</v>
      </c>
      <c r="B1773" s="195">
        <v>2081</v>
      </c>
      <c r="C1773" s="194"/>
      <c r="D1773" s="194"/>
      <c r="E1773" s="198"/>
      <c r="G1773" s="202"/>
      <c r="J1773" s="195">
        <v>2</v>
      </c>
      <c r="K1773" s="204" t="s">
        <v>32</v>
      </c>
      <c r="L1773" s="199">
        <v>1</v>
      </c>
      <c r="M1773" s="200">
        <v>1.4</v>
      </c>
      <c r="N1773" s="201">
        <v>29</v>
      </c>
    </row>
    <row r="1774" spans="1:14">
      <c r="A1774" s="194">
        <v>41282.910439814812</v>
      </c>
      <c r="B1774" s="195">
        <v>2081</v>
      </c>
      <c r="C1774" s="194"/>
      <c r="D1774" s="194"/>
      <c r="E1774" s="198"/>
      <c r="G1774" s="202"/>
      <c r="J1774" s="195">
        <v>2</v>
      </c>
      <c r="K1774" s="204" t="s">
        <v>32</v>
      </c>
      <c r="L1774" s="199">
        <v>2</v>
      </c>
      <c r="M1774" s="200">
        <v>0.3</v>
      </c>
      <c r="N1774" s="201">
        <v>32</v>
      </c>
    </row>
    <row r="1775" spans="1:14">
      <c r="A1775" s="194">
        <v>41275.140902777777</v>
      </c>
      <c r="B1775" s="195">
        <v>2081</v>
      </c>
      <c r="C1775" s="194"/>
      <c r="D1775" s="194"/>
      <c r="E1775" s="198"/>
      <c r="G1775" s="202"/>
      <c r="J1775" s="195">
        <v>2</v>
      </c>
      <c r="K1775" s="204" t="s">
        <v>32</v>
      </c>
      <c r="L1775" s="199">
        <v>1</v>
      </c>
      <c r="M1775" s="200">
        <v>1.9</v>
      </c>
      <c r="N1775" s="201">
        <v>32</v>
      </c>
    </row>
    <row r="1776" spans="1:14">
      <c r="A1776" s="194">
        <v>41303.937789351854</v>
      </c>
      <c r="B1776" s="195">
        <v>2081</v>
      </c>
      <c r="C1776" s="194"/>
      <c r="D1776" s="194"/>
      <c r="E1776" s="198"/>
      <c r="G1776" s="202"/>
      <c r="J1776" s="195">
        <v>2</v>
      </c>
      <c r="K1776" s="204" t="s">
        <v>32</v>
      </c>
      <c r="L1776" s="199">
        <v>1</v>
      </c>
      <c r="M1776" s="200">
        <v>0.4</v>
      </c>
      <c r="N1776" s="201">
        <v>33</v>
      </c>
    </row>
    <row r="1777" spans="1:14">
      <c r="A1777" s="194">
        <v>41290.470254629632</v>
      </c>
      <c r="B1777" s="195">
        <v>2081</v>
      </c>
      <c r="C1777" s="194"/>
      <c r="D1777" s="194"/>
      <c r="E1777" s="198"/>
      <c r="G1777" s="202"/>
      <c r="J1777" s="195">
        <v>2</v>
      </c>
      <c r="K1777" s="204" t="s">
        <v>32</v>
      </c>
      <c r="L1777" s="199">
        <v>1</v>
      </c>
      <c r="M1777" s="200">
        <v>0.6</v>
      </c>
      <c r="N1777" s="201">
        <v>33</v>
      </c>
    </row>
    <row r="1778" spans="1:14">
      <c r="A1778" s="194">
        <v>41298.39534722222</v>
      </c>
      <c r="B1778" s="195">
        <v>2081</v>
      </c>
      <c r="C1778" s="194"/>
      <c r="D1778" s="194"/>
      <c r="E1778" s="198"/>
      <c r="G1778" s="202"/>
      <c r="J1778" s="195">
        <v>2</v>
      </c>
      <c r="K1778" s="204" t="s">
        <v>32</v>
      </c>
      <c r="L1778" s="199">
        <v>1</v>
      </c>
      <c r="M1778" s="200">
        <v>0.4</v>
      </c>
      <c r="N1778" s="201">
        <v>35</v>
      </c>
    </row>
    <row r="1779" spans="1:14">
      <c r="A1779" s="194">
        <v>41283.774328703701</v>
      </c>
      <c r="B1779" s="195">
        <v>2081</v>
      </c>
      <c r="C1779" s="194"/>
      <c r="D1779" s="194"/>
      <c r="E1779" s="198"/>
      <c r="G1779" s="202"/>
      <c r="J1779" s="195">
        <v>2</v>
      </c>
      <c r="K1779" s="204" t="s">
        <v>32</v>
      </c>
      <c r="L1779" s="199">
        <v>2</v>
      </c>
      <c r="M1779" s="200">
        <v>1.3</v>
      </c>
      <c r="N1779" s="201">
        <v>35</v>
      </c>
    </row>
    <row r="1780" spans="1:14">
      <c r="A1780" s="194">
        <v>41292.659849537034</v>
      </c>
      <c r="B1780" s="195">
        <v>2081</v>
      </c>
      <c r="C1780" s="194"/>
      <c r="D1780" s="194"/>
      <c r="E1780" s="198"/>
      <c r="G1780" s="202"/>
      <c r="J1780" s="195">
        <v>2</v>
      </c>
      <c r="K1780" s="204" t="s">
        <v>32</v>
      </c>
      <c r="L1780" s="199">
        <v>1</v>
      </c>
      <c r="M1780" s="200">
        <v>0.8</v>
      </c>
      <c r="N1780" s="201">
        <v>36</v>
      </c>
    </row>
    <row r="1781" spans="1:14">
      <c r="A1781" s="194">
        <v>41301.30300925926</v>
      </c>
      <c r="B1781" s="195">
        <v>2081</v>
      </c>
      <c r="C1781" s="194"/>
      <c r="D1781" s="194"/>
      <c r="E1781" s="198"/>
      <c r="G1781" s="202"/>
      <c r="J1781" s="195">
        <v>2</v>
      </c>
      <c r="K1781" s="204" t="s">
        <v>32</v>
      </c>
      <c r="L1781" s="199">
        <v>2</v>
      </c>
      <c r="M1781" s="200">
        <v>0.9</v>
      </c>
      <c r="N1781" s="201">
        <v>37</v>
      </c>
    </row>
    <row r="1782" spans="1:14">
      <c r="A1782" s="194">
        <v>41292.465416666666</v>
      </c>
      <c r="B1782" s="195">
        <v>2081</v>
      </c>
      <c r="C1782" s="194"/>
      <c r="D1782" s="194"/>
      <c r="E1782" s="198"/>
      <c r="G1782" s="202"/>
      <c r="J1782" s="195">
        <v>2</v>
      </c>
      <c r="K1782" s="204" t="s">
        <v>32</v>
      </c>
      <c r="L1782" s="199">
        <v>1</v>
      </c>
      <c r="M1782" s="200">
        <v>0.5</v>
      </c>
      <c r="N1782" s="201">
        <v>38</v>
      </c>
    </row>
    <row r="1783" spans="1:14">
      <c r="A1783" s="194">
        <v>41280.634050925924</v>
      </c>
      <c r="B1783" s="195">
        <v>2081</v>
      </c>
      <c r="C1783" s="194"/>
      <c r="D1783" s="194"/>
      <c r="E1783" s="198"/>
      <c r="G1783" s="202"/>
      <c r="J1783" s="195">
        <v>2</v>
      </c>
      <c r="K1783" s="204" t="s">
        <v>32</v>
      </c>
      <c r="L1783" s="199">
        <v>2</v>
      </c>
      <c r="M1783" s="200">
        <v>0.5</v>
      </c>
      <c r="N1783" s="201">
        <v>39</v>
      </c>
    </row>
    <row r="1784" spans="1:14">
      <c r="A1784" s="194">
        <v>41278.956956018519</v>
      </c>
      <c r="B1784" s="195">
        <v>2081</v>
      </c>
      <c r="C1784" s="194"/>
      <c r="D1784" s="194"/>
      <c r="E1784" s="198"/>
      <c r="G1784" s="202"/>
      <c r="J1784" s="195">
        <v>2</v>
      </c>
      <c r="K1784" s="204" t="s">
        <v>32</v>
      </c>
      <c r="L1784" s="199">
        <v>2</v>
      </c>
      <c r="M1784" s="200">
        <v>0.4</v>
      </c>
      <c r="N1784" s="201">
        <v>40</v>
      </c>
    </row>
    <row r="1785" spans="1:14">
      <c r="A1785" s="194">
        <v>41278.511157407411</v>
      </c>
      <c r="B1785" s="195">
        <v>2081</v>
      </c>
      <c r="C1785" s="194"/>
      <c r="D1785" s="194"/>
      <c r="E1785" s="198"/>
      <c r="G1785" s="202"/>
      <c r="J1785" s="195">
        <v>2</v>
      </c>
      <c r="K1785" s="204" t="s">
        <v>32</v>
      </c>
      <c r="L1785" s="199">
        <v>1</v>
      </c>
      <c r="M1785" s="200">
        <v>0.5</v>
      </c>
      <c r="N1785" s="201">
        <v>40</v>
      </c>
    </row>
    <row r="1786" spans="1:14">
      <c r="A1786" s="194">
        <v>41299.651585648149</v>
      </c>
      <c r="B1786" s="195">
        <v>2081</v>
      </c>
      <c r="C1786" s="194"/>
      <c r="D1786" s="194"/>
      <c r="E1786" s="198"/>
      <c r="G1786" s="202"/>
      <c r="J1786" s="195">
        <v>2</v>
      </c>
      <c r="K1786" s="204" t="s">
        <v>32</v>
      </c>
      <c r="L1786" s="199">
        <v>2</v>
      </c>
      <c r="M1786" s="200">
        <v>0.3</v>
      </c>
      <c r="N1786" s="201">
        <v>41</v>
      </c>
    </row>
    <row r="1787" spans="1:14">
      <c r="A1787" s="194">
        <v>41282.874340277776</v>
      </c>
      <c r="B1787" s="195">
        <v>2081</v>
      </c>
      <c r="C1787" s="194"/>
      <c r="D1787" s="194"/>
      <c r="E1787" s="198"/>
      <c r="G1787" s="202"/>
      <c r="J1787" s="195">
        <v>2</v>
      </c>
      <c r="K1787" s="204" t="s">
        <v>32</v>
      </c>
      <c r="L1787" s="199">
        <v>1</v>
      </c>
      <c r="M1787" s="200">
        <v>0.9</v>
      </c>
      <c r="N1787" s="201">
        <v>41</v>
      </c>
    </row>
    <row r="1788" spans="1:14">
      <c r="A1788" s="194">
        <v>41297.008483796293</v>
      </c>
      <c r="B1788" s="195">
        <v>2081</v>
      </c>
      <c r="C1788" s="194"/>
      <c r="D1788" s="194"/>
      <c r="E1788" s="198"/>
      <c r="G1788" s="202"/>
      <c r="J1788" s="195">
        <v>2</v>
      </c>
      <c r="K1788" s="204" t="s">
        <v>32</v>
      </c>
      <c r="L1788" s="199">
        <v>1</v>
      </c>
      <c r="M1788" s="200">
        <v>3</v>
      </c>
      <c r="N1788" s="201">
        <v>41</v>
      </c>
    </row>
    <row r="1789" spans="1:14">
      <c r="A1789" s="194">
        <v>41291.503611111111</v>
      </c>
      <c r="B1789" s="195">
        <v>2081</v>
      </c>
      <c r="C1789" s="194"/>
      <c r="D1789" s="194"/>
      <c r="E1789" s="198"/>
      <c r="G1789" s="202"/>
      <c r="J1789" s="195">
        <v>2</v>
      </c>
      <c r="K1789" s="204" t="s">
        <v>32</v>
      </c>
      <c r="L1789" s="199">
        <v>2</v>
      </c>
      <c r="M1789" s="200">
        <v>0.5</v>
      </c>
      <c r="N1789" s="201">
        <v>42</v>
      </c>
    </row>
    <row r="1790" spans="1:14">
      <c r="A1790" s="194">
        <v>41280.525023148148</v>
      </c>
      <c r="B1790" s="195">
        <v>2081</v>
      </c>
      <c r="C1790" s="194"/>
      <c r="D1790" s="194"/>
      <c r="E1790" s="198"/>
      <c r="G1790" s="202"/>
      <c r="J1790" s="195">
        <v>2</v>
      </c>
      <c r="K1790" s="204" t="s">
        <v>32</v>
      </c>
      <c r="L1790" s="199">
        <v>1</v>
      </c>
      <c r="M1790" s="200">
        <v>0.5</v>
      </c>
      <c r="N1790" s="201">
        <v>42</v>
      </c>
    </row>
    <row r="1791" spans="1:14">
      <c r="A1791" s="194">
        <v>41275.882638888892</v>
      </c>
      <c r="B1791" s="195">
        <v>2081</v>
      </c>
      <c r="C1791" s="194"/>
      <c r="D1791" s="194"/>
      <c r="E1791" s="198"/>
      <c r="G1791" s="202"/>
      <c r="J1791" s="195">
        <v>2</v>
      </c>
      <c r="K1791" s="204" t="s">
        <v>32</v>
      </c>
      <c r="L1791" s="199">
        <v>2</v>
      </c>
      <c r="M1791" s="200">
        <v>0.8</v>
      </c>
      <c r="N1791" s="201">
        <v>43</v>
      </c>
    </row>
    <row r="1792" spans="1:14">
      <c r="A1792" s="194">
        <v>41277.831273148149</v>
      </c>
      <c r="B1792" s="195">
        <v>2081</v>
      </c>
      <c r="C1792" s="194"/>
      <c r="D1792" s="194"/>
      <c r="E1792" s="198"/>
      <c r="G1792" s="202"/>
      <c r="J1792" s="195">
        <v>2</v>
      </c>
      <c r="K1792" s="204" t="s">
        <v>32</v>
      </c>
      <c r="L1792" s="199">
        <v>1</v>
      </c>
      <c r="M1792" s="200">
        <v>0.9</v>
      </c>
      <c r="N1792" s="201">
        <v>47</v>
      </c>
    </row>
    <row r="1793" spans="1:14">
      <c r="A1793" s="194">
        <v>41294.125219907408</v>
      </c>
      <c r="B1793" s="195">
        <v>2081</v>
      </c>
      <c r="C1793" s="194"/>
      <c r="D1793" s="194"/>
      <c r="E1793" s="198"/>
      <c r="G1793" s="202"/>
      <c r="J1793" s="195">
        <v>2</v>
      </c>
      <c r="K1793" s="204" t="s">
        <v>32</v>
      </c>
      <c r="L1793" s="199">
        <v>2</v>
      </c>
      <c r="M1793" s="200">
        <v>0.3</v>
      </c>
      <c r="N1793" s="201">
        <v>48</v>
      </c>
    </row>
    <row r="1794" spans="1:14">
      <c r="A1794" s="194">
        <v>41293.514756944445</v>
      </c>
      <c r="B1794" s="195">
        <v>2081</v>
      </c>
      <c r="C1794" s="194"/>
      <c r="D1794" s="194"/>
      <c r="E1794" s="198"/>
      <c r="G1794" s="202"/>
      <c r="J1794" s="195">
        <v>2</v>
      </c>
      <c r="K1794" s="204" t="s">
        <v>32</v>
      </c>
      <c r="L1794" s="199">
        <v>1</v>
      </c>
      <c r="M1794" s="200">
        <v>0.3</v>
      </c>
      <c r="N1794" s="201">
        <v>49</v>
      </c>
    </row>
    <row r="1795" spans="1:14">
      <c r="A1795" s="194">
        <v>41303.716608796298</v>
      </c>
      <c r="B1795" s="195">
        <v>2081</v>
      </c>
      <c r="C1795" s="194"/>
      <c r="D1795" s="194"/>
      <c r="E1795" s="198"/>
      <c r="G1795" s="202"/>
      <c r="J1795" s="195">
        <v>3</v>
      </c>
      <c r="K1795" s="204" t="s">
        <v>1595</v>
      </c>
      <c r="L1795" s="199">
        <v>2</v>
      </c>
      <c r="M1795" s="200">
        <v>2.1</v>
      </c>
      <c r="N1795" s="201">
        <v>17</v>
      </c>
    </row>
    <row r="1796" spans="1:14">
      <c r="A1796" s="194">
        <v>41279.520196759258</v>
      </c>
      <c r="B1796" s="195">
        <v>2081</v>
      </c>
      <c r="C1796" s="194"/>
      <c r="D1796" s="194"/>
      <c r="E1796" s="198"/>
      <c r="G1796" s="202"/>
      <c r="J1796" s="195">
        <v>3</v>
      </c>
      <c r="K1796" s="204" t="s">
        <v>1595</v>
      </c>
      <c r="L1796" s="199">
        <v>1</v>
      </c>
      <c r="M1796" s="200">
        <v>2.5</v>
      </c>
      <c r="N1796" s="201">
        <v>30</v>
      </c>
    </row>
    <row r="1797" spans="1:14">
      <c r="A1797" s="194">
        <v>41293.959236111114</v>
      </c>
      <c r="B1797" s="195">
        <v>2081</v>
      </c>
      <c r="C1797" s="194"/>
      <c r="D1797" s="194"/>
      <c r="E1797" s="198"/>
      <c r="G1797" s="202"/>
      <c r="J1797" s="195">
        <v>3</v>
      </c>
      <c r="K1797" s="204" t="s">
        <v>1595</v>
      </c>
      <c r="L1797" s="199">
        <v>1</v>
      </c>
      <c r="M1797" s="200">
        <v>0.3</v>
      </c>
      <c r="N1797" s="201">
        <v>32</v>
      </c>
    </row>
    <row r="1798" spans="1:14">
      <c r="A1798" s="194">
        <v>41304.015555555554</v>
      </c>
      <c r="B1798" s="195">
        <v>2081</v>
      </c>
      <c r="C1798" s="194"/>
      <c r="D1798" s="194"/>
      <c r="E1798" s="198"/>
      <c r="G1798" s="202"/>
      <c r="J1798" s="195">
        <v>3</v>
      </c>
      <c r="K1798" s="204" t="s">
        <v>1595</v>
      </c>
      <c r="L1798" s="199">
        <v>1</v>
      </c>
      <c r="M1798" s="200">
        <v>0.7</v>
      </c>
      <c r="N1798" s="201">
        <v>33</v>
      </c>
    </row>
    <row r="1799" spans="1:14">
      <c r="A1799" s="194">
        <v>41282.866006944445</v>
      </c>
      <c r="B1799" s="195">
        <v>2081</v>
      </c>
      <c r="C1799" s="194"/>
      <c r="D1799" s="194"/>
      <c r="E1799" s="198"/>
      <c r="G1799" s="202"/>
      <c r="J1799" s="195">
        <v>3</v>
      </c>
      <c r="K1799" s="204" t="s">
        <v>1595</v>
      </c>
      <c r="L1799" s="199">
        <v>1</v>
      </c>
      <c r="M1799" s="200">
        <v>1.2</v>
      </c>
      <c r="N1799" s="201">
        <v>35</v>
      </c>
    </row>
    <row r="1800" spans="1:14">
      <c r="A1800" s="194">
        <v>41297.434212962966</v>
      </c>
      <c r="B1800" s="195">
        <v>2081</v>
      </c>
      <c r="C1800" s="194"/>
      <c r="D1800" s="194"/>
      <c r="E1800" s="198"/>
      <c r="G1800" s="202"/>
      <c r="J1800" s="195">
        <v>3</v>
      </c>
      <c r="K1800" s="204" t="s">
        <v>1595</v>
      </c>
      <c r="L1800" s="199">
        <v>1</v>
      </c>
      <c r="M1800" s="200">
        <v>0.5</v>
      </c>
      <c r="N1800" s="201">
        <v>40</v>
      </c>
    </row>
    <row r="1801" spans="1:14">
      <c r="A1801" s="194">
        <v>41282.166631944441</v>
      </c>
      <c r="B1801" s="195">
        <v>2081</v>
      </c>
      <c r="C1801" s="194"/>
      <c r="D1801" s="194"/>
      <c r="E1801" s="198"/>
      <c r="G1801" s="202"/>
      <c r="J1801" s="195">
        <v>3</v>
      </c>
      <c r="K1801" s="204" t="s">
        <v>1595</v>
      </c>
      <c r="L1801" s="199">
        <v>2</v>
      </c>
      <c r="M1801" s="200">
        <v>0.6</v>
      </c>
      <c r="N1801" s="201">
        <v>43</v>
      </c>
    </row>
    <row r="1802" spans="1:14">
      <c r="A1802" s="194">
        <v>41276.916620370372</v>
      </c>
      <c r="B1802" s="195">
        <v>2081</v>
      </c>
      <c r="C1802" s="194"/>
      <c r="D1802" s="194"/>
      <c r="E1802" s="198"/>
      <c r="G1802" s="202"/>
      <c r="J1802" s="195">
        <v>5</v>
      </c>
      <c r="K1802" s="204" t="s">
        <v>6</v>
      </c>
      <c r="L1802" s="199">
        <v>1</v>
      </c>
      <c r="M1802" s="200">
        <v>0.3</v>
      </c>
      <c r="N1802" s="201">
        <v>40</v>
      </c>
    </row>
    <row r="1803" spans="1:14">
      <c r="A1803" s="194">
        <v>41275.063113425924</v>
      </c>
      <c r="B1803" s="195">
        <v>2081</v>
      </c>
      <c r="C1803" s="194"/>
      <c r="D1803" s="194"/>
      <c r="E1803" s="196" t="s">
        <v>1610</v>
      </c>
      <c r="G1803" s="202"/>
      <c r="J1803" s="195">
        <v>7</v>
      </c>
      <c r="K1803" s="204" t="s">
        <v>30</v>
      </c>
      <c r="L1803" s="199">
        <v>2</v>
      </c>
      <c r="M1803" s="200">
        <v>0.3</v>
      </c>
      <c r="N1803" s="201">
        <v>21</v>
      </c>
    </row>
    <row r="1804" spans="1:14">
      <c r="A1804" s="194">
        <v>41280.563263888886</v>
      </c>
      <c r="B1804" s="195">
        <v>2081</v>
      </c>
      <c r="C1804" s="194"/>
      <c r="D1804" s="194"/>
      <c r="E1804" s="196" t="s">
        <v>1648</v>
      </c>
      <c r="G1804" s="202"/>
      <c r="J1804" s="195">
        <v>10</v>
      </c>
      <c r="K1804" s="204" t="s">
        <v>31</v>
      </c>
      <c r="L1804" s="199">
        <v>2</v>
      </c>
      <c r="M1804" s="200">
        <v>4.9000000000000004</v>
      </c>
      <c r="N1804" s="201">
        <v>29</v>
      </c>
    </row>
    <row r="1805" spans="1:14">
      <c r="A1805" s="194">
        <v>41281.487523148149</v>
      </c>
      <c r="B1805" s="195">
        <v>2081</v>
      </c>
      <c r="C1805" s="194"/>
      <c r="D1805" s="194"/>
      <c r="E1805" s="198"/>
      <c r="G1805" s="202"/>
      <c r="J1805" s="195">
        <v>10</v>
      </c>
      <c r="K1805" s="204" t="s">
        <v>31</v>
      </c>
      <c r="L1805" s="199">
        <v>1</v>
      </c>
      <c r="M1805" s="200">
        <v>0.9</v>
      </c>
      <c r="N1805" s="201">
        <v>37</v>
      </c>
    </row>
    <row r="1806" spans="1:14">
      <c r="A1806" s="194">
        <v>41298.561296296299</v>
      </c>
      <c r="B1806" s="195">
        <v>2081</v>
      </c>
      <c r="C1806" s="194"/>
      <c r="D1806" s="194"/>
      <c r="E1806" s="198"/>
      <c r="G1806" s="202"/>
      <c r="J1806" s="195">
        <v>10</v>
      </c>
      <c r="K1806" s="204" t="s">
        <v>31</v>
      </c>
      <c r="L1806" s="199">
        <v>1</v>
      </c>
      <c r="M1806" s="200">
        <v>0.9</v>
      </c>
      <c r="N1806" s="201">
        <v>40</v>
      </c>
    </row>
    <row r="1807" spans="1:14">
      <c r="A1807" s="194">
        <v>41282.202824074076</v>
      </c>
      <c r="B1807" s="195">
        <v>2081</v>
      </c>
      <c r="C1807" s="194"/>
      <c r="D1807" s="194"/>
      <c r="E1807" s="198"/>
      <c r="G1807" s="202"/>
      <c r="J1807" s="195">
        <v>11</v>
      </c>
      <c r="K1807" s="204" t="s">
        <v>1</v>
      </c>
      <c r="L1807" s="199">
        <v>1</v>
      </c>
      <c r="M1807" s="200">
        <v>0.7</v>
      </c>
      <c r="N1807" s="201">
        <v>36</v>
      </c>
    </row>
    <row r="1808" spans="1:14">
      <c r="A1808" s="194">
        <v>41282.802835648145</v>
      </c>
      <c r="B1808" s="195">
        <v>2081</v>
      </c>
      <c r="C1808" s="194"/>
      <c r="D1808" s="194"/>
      <c r="E1808" s="198"/>
      <c r="G1808" s="202"/>
      <c r="J1808" s="195">
        <v>12</v>
      </c>
      <c r="K1808" s="204" t="s">
        <v>7</v>
      </c>
      <c r="L1808" s="199">
        <v>2</v>
      </c>
      <c r="M1808" s="200">
        <v>3.6</v>
      </c>
      <c r="N1808" s="201">
        <v>14</v>
      </c>
    </row>
    <row r="1809" spans="1:14">
      <c r="A1809" s="194">
        <v>41276.721134259256</v>
      </c>
      <c r="B1809" s="195">
        <v>2081</v>
      </c>
      <c r="C1809" s="194"/>
      <c r="D1809" s="194"/>
      <c r="E1809" s="198"/>
      <c r="G1809" s="202"/>
      <c r="J1809" s="195">
        <v>13</v>
      </c>
      <c r="K1809" s="204" t="s">
        <v>3</v>
      </c>
      <c r="L1809" s="199">
        <v>1</v>
      </c>
      <c r="M1809" s="200">
        <v>0.4</v>
      </c>
      <c r="N1809" s="201">
        <v>47</v>
      </c>
    </row>
    <row r="1810" spans="1:14">
      <c r="A1810" s="194">
        <v>41292.689456018517</v>
      </c>
      <c r="B1810" s="195">
        <v>2081</v>
      </c>
      <c r="C1810" s="194"/>
      <c r="D1810" s="194"/>
      <c r="E1810" s="198"/>
      <c r="G1810" s="202"/>
      <c r="J1810" s="195">
        <v>17</v>
      </c>
      <c r="K1810" s="204" t="s">
        <v>11</v>
      </c>
      <c r="L1810" s="199">
        <v>2</v>
      </c>
      <c r="M1810" s="200">
        <v>10.199999999999999</v>
      </c>
      <c r="N1810" s="201">
        <v>0</v>
      </c>
    </row>
    <row r="1811" spans="1:14">
      <c r="A1811" s="194">
        <v>41305.139953703707</v>
      </c>
      <c r="B1811" s="195">
        <v>2081</v>
      </c>
      <c r="C1811" s="194"/>
      <c r="D1811" s="194"/>
      <c r="E1811" s="198"/>
      <c r="G1811" s="202"/>
      <c r="J1811" s="195">
        <v>17</v>
      </c>
      <c r="K1811" s="204" t="s">
        <v>11</v>
      </c>
      <c r="L1811" s="199">
        <v>2</v>
      </c>
      <c r="M1811" s="200">
        <v>12.1</v>
      </c>
      <c r="N1811" s="201">
        <v>0</v>
      </c>
    </row>
    <row r="1812" spans="1:14">
      <c r="A1812" s="194">
        <v>41296.907777777778</v>
      </c>
      <c r="B1812" s="195">
        <v>2081</v>
      </c>
      <c r="C1812" s="194"/>
      <c r="D1812" s="194"/>
      <c r="E1812" s="198"/>
      <c r="G1812" s="202"/>
      <c r="J1812" s="195">
        <v>17</v>
      </c>
      <c r="K1812" s="204" t="s">
        <v>11</v>
      </c>
      <c r="L1812" s="199">
        <v>2</v>
      </c>
      <c r="M1812" s="200">
        <v>0.8</v>
      </c>
      <c r="N1812" s="201">
        <v>16</v>
      </c>
    </row>
    <row r="1813" spans="1:14">
      <c r="A1813" s="194">
        <v>41289.355405092596</v>
      </c>
      <c r="B1813" s="195">
        <v>2081</v>
      </c>
      <c r="C1813" s="194"/>
      <c r="D1813" s="194"/>
      <c r="E1813" s="198"/>
      <c r="G1813" s="202"/>
      <c r="J1813" s="195">
        <v>17</v>
      </c>
      <c r="K1813" s="204" t="s">
        <v>11</v>
      </c>
      <c r="L1813" s="199">
        <v>2</v>
      </c>
      <c r="M1813" s="200">
        <v>1.1000000000000001</v>
      </c>
      <c r="N1813" s="201">
        <v>16</v>
      </c>
    </row>
    <row r="1814" spans="1:14">
      <c r="A1814" s="194">
        <v>41290.79179398148</v>
      </c>
      <c r="B1814" s="195">
        <v>2081</v>
      </c>
      <c r="C1814" s="194"/>
      <c r="D1814" s="194"/>
      <c r="E1814" s="198"/>
      <c r="G1814" s="202"/>
      <c r="J1814" s="195">
        <v>17</v>
      </c>
      <c r="K1814" s="204" t="s">
        <v>11</v>
      </c>
      <c r="L1814" s="199">
        <v>2</v>
      </c>
      <c r="M1814" s="200">
        <v>1.2</v>
      </c>
      <c r="N1814" s="201">
        <v>16</v>
      </c>
    </row>
    <row r="1815" spans="1:14">
      <c r="A1815" s="194">
        <v>41300.887731481482</v>
      </c>
      <c r="B1815" s="195">
        <v>2081</v>
      </c>
      <c r="C1815" s="194"/>
      <c r="D1815" s="194"/>
      <c r="E1815" s="198"/>
      <c r="G1815" s="202"/>
      <c r="J1815" s="195">
        <v>17</v>
      </c>
      <c r="K1815" s="204" t="s">
        <v>11</v>
      </c>
      <c r="L1815" s="199">
        <v>2</v>
      </c>
      <c r="M1815" s="200">
        <v>1.3</v>
      </c>
      <c r="N1815" s="201">
        <v>16</v>
      </c>
    </row>
    <row r="1816" spans="1:14">
      <c r="A1816" s="194">
        <v>41300.329409722224</v>
      </c>
      <c r="B1816" s="195">
        <v>2081</v>
      </c>
      <c r="C1816" s="194"/>
      <c r="D1816" s="194"/>
      <c r="E1816" s="198"/>
      <c r="G1816" s="202"/>
      <c r="J1816" s="195">
        <v>17</v>
      </c>
      <c r="K1816" s="204" t="s">
        <v>11</v>
      </c>
      <c r="L1816" s="199">
        <v>2</v>
      </c>
      <c r="M1816" s="200">
        <v>1.4</v>
      </c>
      <c r="N1816" s="201">
        <v>16</v>
      </c>
    </row>
    <row r="1817" spans="1:14">
      <c r="A1817" s="194">
        <v>41288.459849537037</v>
      </c>
      <c r="B1817" s="195">
        <v>2081</v>
      </c>
      <c r="C1817" s="194"/>
      <c r="D1817" s="194"/>
      <c r="E1817" s="198"/>
      <c r="G1817" s="202"/>
      <c r="J1817" s="195">
        <v>17</v>
      </c>
      <c r="K1817" s="204" t="s">
        <v>11</v>
      </c>
      <c r="L1817" s="199">
        <v>1</v>
      </c>
      <c r="M1817" s="200">
        <v>1.7</v>
      </c>
      <c r="N1817" s="201">
        <v>16</v>
      </c>
    </row>
    <row r="1818" spans="1:14">
      <c r="A1818" s="194">
        <v>41302.837673611109</v>
      </c>
      <c r="B1818" s="195">
        <v>2081</v>
      </c>
      <c r="C1818" s="194"/>
      <c r="D1818" s="194"/>
      <c r="E1818" s="198"/>
      <c r="G1818" s="202"/>
      <c r="J1818" s="195">
        <v>17</v>
      </c>
      <c r="K1818" s="204" t="s">
        <v>11</v>
      </c>
      <c r="L1818" s="199">
        <v>1</v>
      </c>
      <c r="M1818" s="200">
        <v>2.2000000000000002</v>
      </c>
      <c r="N1818" s="201">
        <v>16</v>
      </c>
    </row>
    <row r="1819" spans="1:14">
      <c r="A1819" s="194">
        <v>41291.925844907404</v>
      </c>
      <c r="B1819" s="195">
        <v>2081</v>
      </c>
      <c r="C1819" s="194"/>
      <c r="D1819" s="194"/>
      <c r="E1819" s="198"/>
      <c r="G1819" s="202"/>
      <c r="J1819" s="195">
        <v>17</v>
      </c>
      <c r="K1819" s="204" t="s">
        <v>11</v>
      </c>
      <c r="L1819" s="199">
        <v>2</v>
      </c>
      <c r="M1819" s="200">
        <v>3.4</v>
      </c>
      <c r="N1819" s="201">
        <v>16</v>
      </c>
    </row>
    <row r="1820" spans="1:14">
      <c r="A1820" s="194">
        <v>41289.975868055553</v>
      </c>
      <c r="B1820" s="195">
        <v>2081</v>
      </c>
      <c r="C1820" s="194"/>
      <c r="D1820" s="194"/>
      <c r="E1820" s="198"/>
      <c r="G1820" s="202"/>
      <c r="J1820" s="195">
        <v>17</v>
      </c>
      <c r="K1820" s="204" t="s">
        <v>11</v>
      </c>
      <c r="L1820" s="199">
        <v>2</v>
      </c>
      <c r="M1820" s="200">
        <v>5</v>
      </c>
      <c r="N1820" s="201">
        <v>16</v>
      </c>
    </row>
    <row r="1821" spans="1:14">
      <c r="A1821" s="194">
        <v>41294.682766203703</v>
      </c>
      <c r="B1821" s="195">
        <v>2081</v>
      </c>
      <c r="C1821" s="194"/>
      <c r="D1821" s="194"/>
      <c r="E1821" s="198"/>
      <c r="G1821" s="202"/>
      <c r="J1821" s="195">
        <v>17</v>
      </c>
      <c r="K1821" s="204" t="s">
        <v>11</v>
      </c>
      <c r="L1821" s="199">
        <v>2</v>
      </c>
      <c r="M1821" s="200">
        <v>5.3</v>
      </c>
      <c r="N1821" s="201">
        <v>16</v>
      </c>
    </row>
    <row r="1822" spans="1:14">
      <c r="A1822" s="194">
        <v>41284.143136574072</v>
      </c>
      <c r="B1822" s="195">
        <v>2081</v>
      </c>
      <c r="C1822" s="194"/>
      <c r="D1822" s="194"/>
      <c r="E1822" s="198"/>
      <c r="G1822" s="202"/>
      <c r="J1822" s="195">
        <v>17</v>
      </c>
      <c r="K1822" s="204" t="s">
        <v>11</v>
      </c>
      <c r="L1822" s="199">
        <v>2</v>
      </c>
      <c r="M1822" s="200">
        <v>5.5</v>
      </c>
      <c r="N1822" s="201">
        <v>16</v>
      </c>
    </row>
    <row r="1823" spans="1:14">
      <c r="A1823" s="194">
        <v>41296.022534722222</v>
      </c>
      <c r="B1823" s="195">
        <v>2081</v>
      </c>
      <c r="C1823" s="194"/>
      <c r="D1823" s="194"/>
      <c r="E1823" s="198"/>
      <c r="G1823" s="202"/>
      <c r="J1823" s="195">
        <v>17</v>
      </c>
      <c r="K1823" s="204" t="s">
        <v>11</v>
      </c>
      <c r="L1823" s="199">
        <v>2</v>
      </c>
      <c r="M1823" s="200">
        <v>12.8</v>
      </c>
      <c r="N1823" s="201">
        <v>16</v>
      </c>
    </row>
    <row r="1824" spans="1:14">
      <c r="A1824" s="194">
        <v>41299.280682870369</v>
      </c>
      <c r="B1824" s="195">
        <v>2081</v>
      </c>
      <c r="C1824" s="194"/>
      <c r="D1824" s="194"/>
      <c r="E1824" s="198"/>
      <c r="G1824" s="202"/>
      <c r="J1824" s="195">
        <v>17</v>
      </c>
      <c r="K1824" s="204" t="s">
        <v>11</v>
      </c>
      <c r="L1824" s="199">
        <v>1</v>
      </c>
      <c r="M1824" s="200">
        <v>21</v>
      </c>
      <c r="N1824" s="201">
        <v>16</v>
      </c>
    </row>
    <row r="1825" spans="1:14">
      <c r="A1825" s="194">
        <v>41291.518206018518</v>
      </c>
      <c r="B1825" s="195">
        <v>2081</v>
      </c>
      <c r="C1825" s="194"/>
      <c r="D1825" s="194"/>
      <c r="E1825" s="198"/>
      <c r="G1825" s="202"/>
      <c r="J1825" s="195">
        <v>17</v>
      </c>
      <c r="K1825" s="204" t="s">
        <v>11</v>
      </c>
      <c r="L1825" s="199">
        <v>2</v>
      </c>
      <c r="M1825" s="200">
        <v>1.3</v>
      </c>
      <c r="N1825" s="201">
        <v>17</v>
      </c>
    </row>
    <row r="1826" spans="1:14">
      <c r="A1826" s="194">
        <v>41300.123819444445</v>
      </c>
      <c r="B1826" s="195">
        <v>2081</v>
      </c>
      <c r="C1826" s="194"/>
      <c r="D1826" s="194"/>
      <c r="E1826" s="198"/>
      <c r="G1826" s="202"/>
      <c r="J1826" s="195">
        <v>17</v>
      </c>
      <c r="K1826" s="204" t="s">
        <v>11</v>
      </c>
      <c r="L1826" s="199">
        <v>2</v>
      </c>
      <c r="M1826" s="200">
        <v>2.5</v>
      </c>
      <c r="N1826" s="201">
        <v>17</v>
      </c>
    </row>
    <row r="1827" spans="1:14">
      <c r="A1827" s="194">
        <v>41299.089837962965</v>
      </c>
      <c r="B1827" s="195">
        <v>2081</v>
      </c>
      <c r="C1827" s="194"/>
      <c r="D1827" s="194"/>
      <c r="E1827" s="198"/>
      <c r="G1827" s="202"/>
      <c r="J1827" s="195">
        <v>17</v>
      </c>
      <c r="K1827" s="204" t="s">
        <v>11</v>
      </c>
      <c r="L1827" s="199">
        <v>1</v>
      </c>
      <c r="M1827" s="200">
        <v>8.1</v>
      </c>
      <c r="N1827" s="201">
        <v>17</v>
      </c>
    </row>
    <row r="1828" spans="1:14">
      <c r="A1828" s="194">
        <v>41281.061319444445</v>
      </c>
      <c r="B1828" s="195">
        <v>2081</v>
      </c>
      <c r="C1828" s="194"/>
      <c r="D1828" s="194"/>
      <c r="E1828" s="198"/>
      <c r="G1828" s="202"/>
      <c r="J1828" s="195">
        <v>17</v>
      </c>
      <c r="K1828" s="204" t="s">
        <v>11</v>
      </c>
      <c r="L1828" s="199">
        <v>2</v>
      </c>
      <c r="M1828" s="200">
        <v>15.1</v>
      </c>
      <c r="N1828" s="201">
        <v>17</v>
      </c>
    </row>
    <row r="1829" spans="1:14">
      <c r="A1829" s="194">
        <v>41303.462997685187</v>
      </c>
      <c r="B1829" s="195">
        <v>2081</v>
      </c>
      <c r="C1829" s="194"/>
      <c r="D1829" s="194"/>
      <c r="E1829" s="198"/>
      <c r="G1829" s="202"/>
      <c r="J1829" s="195">
        <v>17</v>
      </c>
      <c r="K1829" s="204" t="s">
        <v>11</v>
      </c>
      <c r="L1829" s="199">
        <v>2</v>
      </c>
      <c r="M1829" s="200">
        <v>19.399999999999999</v>
      </c>
      <c r="N1829" s="201">
        <v>17</v>
      </c>
    </row>
    <row r="1830" spans="1:14">
      <c r="A1830" s="194">
        <v>41293.481423611112</v>
      </c>
      <c r="B1830" s="195">
        <v>2081</v>
      </c>
      <c r="C1830" s="194"/>
      <c r="D1830" s="194"/>
      <c r="E1830" s="198"/>
      <c r="G1830" s="202"/>
      <c r="J1830" s="195">
        <v>17</v>
      </c>
      <c r="K1830" s="204" t="s">
        <v>11</v>
      </c>
      <c r="L1830" s="199">
        <v>1</v>
      </c>
      <c r="M1830" s="200">
        <v>0.3</v>
      </c>
      <c r="N1830" s="201">
        <v>18</v>
      </c>
    </row>
    <row r="1831" spans="1:14">
      <c r="A1831" s="194">
        <v>41304.32912037037</v>
      </c>
      <c r="B1831" s="195">
        <v>2081</v>
      </c>
      <c r="C1831" s="194"/>
      <c r="D1831" s="194"/>
      <c r="E1831" s="198"/>
      <c r="G1831" s="202"/>
      <c r="J1831" s="195">
        <v>17</v>
      </c>
      <c r="K1831" s="204" t="s">
        <v>11</v>
      </c>
      <c r="L1831" s="199">
        <v>2</v>
      </c>
      <c r="M1831" s="200">
        <v>0.4</v>
      </c>
      <c r="N1831" s="201">
        <v>19</v>
      </c>
    </row>
    <row r="1832" spans="1:14">
      <c r="A1832" s="194">
        <v>41281.868738425925</v>
      </c>
      <c r="B1832" s="195">
        <v>2081</v>
      </c>
      <c r="C1832" s="194"/>
      <c r="D1832" s="194"/>
      <c r="E1832" s="198"/>
      <c r="G1832" s="202"/>
      <c r="J1832" s="195">
        <v>17</v>
      </c>
      <c r="K1832" s="204" t="s">
        <v>11</v>
      </c>
      <c r="L1832" s="199">
        <v>2</v>
      </c>
      <c r="M1832" s="200">
        <v>3</v>
      </c>
      <c r="N1832" s="201">
        <v>19</v>
      </c>
    </row>
    <row r="1833" spans="1:14">
      <c r="A1833" s="194">
        <v>41294.323842592596</v>
      </c>
      <c r="B1833" s="195">
        <v>2081</v>
      </c>
      <c r="C1833" s="194"/>
      <c r="D1833" s="194"/>
      <c r="E1833" s="198"/>
      <c r="G1833" s="202"/>
      <c r="J1833" s="195">
        <v>17</v>
      </c>
      <c r="K1833" s="204" t="s">
        <v>11</v>
      </c>
      <c r="L1833" s="199">
        <v>2</v>
      </c>
      <c r="M1833" s="200">
        <v>6</v>
      </c>
      <c r="N1833" s="201">
        <v>19</v>
      </c>
    </row>
    <row r="1834" spans="1:14">
      <c r="A1834" s="194">
        <v>41299.569004629629</v>
      </c>
      <c r="B1834" s="195">
        <v>2081</v>
      </c>
      <c r="C1834" s="194"/>
      <c r="D1834" s="194"/>
      <c r="E1834" s="198"/>
      <c r="G1834" s="202"/>
      <c r="J1834" s="195">
        <v>17</v>
      </c>
      <c r="K1834" s="204" t="s">
        <v>11</v>
      </c>
      <c r="L1834" s="199">
        <v>1</v>
      </c>
      <c r="M1834" s="200">
        <v>5.0999999999999996</v>
      </c>
      <c r="N1834" s="201">
        <v>21</v>
      </c>
    </row>
    <row r="1835" spans="1:14">
      <c r="A1835" s="194">
        <v>41291.150266203702</v>
      </c>
      <c r="B1835" s="195">
        <v>2081</v>
      </c>
      <c r="C1835" s="194"/>
      <c r="D1835" s="194"/>
      <c r="E1835" s="198"/>
      <c r="G1835" s="202"/>
      <c r="J1835" s="195">
        <v>17</v>
      </c>
      <c r="K1835" s="204" t="s">
        <v>11</v>
      </c>
      <c r="L1835" s="199">
        <v>2</v>
      </c>
      <c r="M1835" s="200">
        <v>12.8</v>
      </c>
      <c r="N1835" s="201">
        <v>21</v>
      </c>
    </row>
    <row r="1836" spans="1:14">
      <c r="A1836" s="194">
        <v>41294.09952546296</v>
      </c>
      <c r="B1836" s="195">
        <v>2081</v>
      </c>
      <c r="C1836" s="194"/>
      <c r="D1836" s="194"/>
      <c r="E1836" s="198"/>
      <c r="G1836" s="202"/>
      <c r="J1836" s="195">
        <v>17</v>
      </c>
      <c r="K1836" s="204" t="s">
        <v>11</v>
      </c>
      <c r="L1836" s="199">
        <v>2</v>
      </c>
      <c r="M1836" s="200">
        <v>1.1000000000000001</v>
      </c>
      <c r="N1836" s="201">
        <v>22</v>
      </c>
    </row>
    <row r="1837" spans="1:14">
      <c r="A1837" s="194">
        <v>41294.985578703701</v>
      </c>
      <c r="B1837" s="195">
        <v>2081</v>
      </c>
      <c r="C1837" s="194"/>
      <c r="D1837" s="194"/>
      <c r="E1837" s="198"/>
      <c r="G1837" s="202"/>
      <c r="J1837" s="195">
        <v>17</v>
      </c>
      <c r="K1837" s="204" t="s">
        <v>11</v>
      </c>
      <c r="L1837" s="199">
        <v>2</v>
      </c>
      <c r="M1837" s="200">
        <v>10</v>
      </c>
      <c r="N1837" s="201">
        <v>31</v>
      </c>
    </row>
    <row r="1838" spans="1:14">
      <c r="A1838" s="194">
        <v>41304.589236111111</v>
      </c>
      <c r="B1838" s="195">
        <v>2081</v>
      </c>
      <c r="C1838" s="194"/>
      <c r="D1838" s="194"/>
      <c r="E1838" s="198"/>
      <c r="G1838" s="202"/>
      <c r="J1838" s="195">
        <v>18</v>
      </c>
      <c r="K1838" s="204" t="s">
        <v>5</v>
      </c>
      <c r="L1838" s="199">
        <v>2</v>
      </c>
      <c r="M1838" s="200">
        <v>7.7</v>
      </c>
      <c r="N1838" s="201">
        <v>15</v>
      </c>
    </row>
    <row r="1839" spans="1:14">
      <c r="A1839" s="194">
        <v>41276.36859953704</v>
      </c>
      <c r="B1839" s="195">
        <v>2081</v>
      </c>
      <c r="C1839" s="194"/>
      <c r="D1839" s="194"/>
      <c r="E1839" s="198"/>
      <c r="G1839" s="202"/>
      <c r="J1839" s="195">
        <v>18</v>
      </c>
      <c r="K1839" s="204" t="s">
        <v>5</v>
      </c>
      <c r="L1839" s="199">
        <v>1</v>
      </c>
      <c r="M1839" s="200">
        <v>11.4</v>
      </c>
      <c r="N1839" s="201">
        <v>15</v>
      </c>
    </row>
    <row r="1840" spans="1:14">
      <c r="A1840" s="194">
        <v>41283.564097222225</v>
      </c>
      <c r="B1840" s="195">
        <v>2081</v>
      </c>
      <c r="C1840" s="194"/>
      <c r="D1840" s="194"/>
      <c r="E1840" s="198"/>
      <c r="G1840" s="202"/>
      <c r="J1840" s="195">
        <v>18</v>
      </c>
      <c r="K1840" s="204" t="s">
        <v>5</v>
      </c>
      <c r="L1840" s="199">
        <v>2</v>
      </c>
      <c r="M1840" s="200">
        <v>15.5</v>
      </c>
      <c r="N1840" s="201">
        <v>16</v>
      </c>
    </row>
    <row r="1841" spans="1:14">
      <c r="A1841" s="194">
        <v>41276.945115740738</v>
      </c>
      <c r="B1841" s="195">
        <v>2081</v>
      </c>
      <c r="C1841" s="194"/>
      <c r="D1841" s="194"/>
      <c r="E1841" s="198"/>
      <c r="G1841" s="202"/>
      <c r="J1841" s="195">
        <v>18</v>
      </c>
      <c r="K1841" s="204" t="s">
        <v>5</v>
      </c>
      <c r="L1841" s="199">
        <v>2</v>
      </c>
      <c r="M1841" s="200">
        <v>2.1</v>
      </c>
      <c r="N1841" s="201">
        <v>18</v>
      </c>
    </row>
    <row r="1842" spans="1:14">
      <c r="A1842" s="194">
        <v>41283.185023148151</v>
      </c>
      <c r="B1842" s="195">
        <v>2081</v>
      </c>
      <c r="C1842" s="194"/>
      <c r="D1842" s="194"/>
      <c r="E1842" s="198"/>
      <c r="G1842" s="202"/>
      <c r="J1842" s="195">
        <v>18</v>
      </c>
      <c r="K1842" s="204" t="s">
        <v>5</v>
      </c>
      <c r="L1842" s="199">
        <v>2</v>
      </c>
      <c r="M1842" s="200">
        <v>21.8</v>
      </c>
      <c r="N1842" s="201">
        <v>18</v>
      </c>
    </row>
    <row r="1843" spans="1:14">
      <c r="A1843" s="194">
        <v>41277.74</v>
      </c>
      <c r="B1843" s="195">
        <v>2081</v>
      </c>
      <c r="C1843" s="194"/>
      <c r="D1843" s="194"/>
      <c r="E1843" s="198"/>
      <c r="G1843" s="202"/>
      <c r="J1843" s="195">
        <v>18</v>
      </c>
      <c r="K1843" s="204" t="s">
        <v>5</v>
      </c>
      <c r="L1843" s="199">
        <v>1</v>
      </c>
      <c r="M1843" s="200">
        <v>5.8</v>
      </c>
      <c r="N1843" s="201">
        <v>20</v>
      </c>
    </row>
    <row r="1844" spans="1:14">
      <c r="A1844" s="194">
        <v>41297.781435185185</v>
      </c>
      <c r="B1844" s="195">
        <v>2081</v>
      </c>
      <c r="C1844" s="194"/>
      <c r="D1844" s="194"/>
      <c r="E1844" s="198"/>
      <c r="G1844" s="202"/>
      <c r="J1844" s="195">
        <v>18</v>
      </c>
      <c r="K1844" s="204" t="s">
        <v>5</v>
      </c>
      <c r="L1844" s="199">
        <v>2</v>
      </c>
      <c r="M1844" s="200">
        <v>0.9</v>
      </c>
      <c r="N1844" s="201">
        <v>21</v>
      </c>
    </row>
    <row r="1845" spans="1:14">
      <c r="A1845" s="194">
        <v>41280.982800925929</v>
      </c>
      <c r="B1845" s="195">
        <v>2081</v>
      </c>
      <c r="C1845" s="194"/>
      <c r="D1845" s="194"/>
      <c r="E1845" s="198"/>
      <c r="G1845" s="202"/>
      <c r="J1845" s="195">
        <v>18</v>
      </c>
      <c r="K1845" s="204" t="s">
        <v>5</v>
      </c>
      <c r="L1845" s="199">
        <v>1</v>
      </c>
      <c r="M1845" s="200">
        <v>11.8</v>
      </c>
      <c r="N1845" s="201">
        <v>30</v>
      </c>
    </row>
    <row r="1846" spans="1:14">
      <c r="A1846" s="194">
        <v>41293.798831018517</v>
      </c>
      <c r="B1846" s="195">
        <v>2081</v>
      </c>
      <c r="C1846" s="194"/>
      <c r="D1846" s="194"/>
      <c r="E1846" s="198"/>
      <c r="G1846" s="202"/>
      <c r="J1846" s="195">
        <v>18</v>
      </c>
      <c r="K1846" s="204" t="s">
        <v>5</v>
      </c>
      <c r="L1846" s="199">
        <v>1</v>
      </c>
      <c r="M1846" s="200">
        <v>1.2</v>
      </c>
      <c r="N1846" s="201">
        <v>31</v>
      </c>
    </row>
    <row r="1847" spans="1:14">
      <c r="A1847" s="194">
        <v>41291.791122685187</v>
      </c>
      <c r="B1847" s="195">
        <v>2081</v>
      </c>
      <c r="C1847" s="194"/>
      <c r="D1847" s="194"/>
      <c r="E1847" s="198"/>
      <c r="G1847" s="202"/>
      <c r="J1847" s="195">
        <v>18</v>
      </c>
      <c r="K1847" s="204" t="s">
        <v>5</v>
      </c>
      <c r="L1847" s="199">
        <v>1</v>
      </c>
      <c r="M1847" s="200">
        <v>2.8</v>
      </c>
      <c r="N1847" s="201">
        <v>35</v>
      </c>
    </row>
    <row r="1848" spans="1:14">
      <c r="A1848" s="194">
        <v>41300.868969907409</v>
      </c>
      <c r="B1848" s="195">
        <v>2081</v>
      </c>
      <c r="C1848" s="194"/>
      <c r="D1848" s="194"/>
      <c r="E1848" s="198"/>
      <c r="G1848" s="202"/>
      <c r="J1848" s="195">
        <v>18</v>
      </c>
      <c r="K1848" s="204" t="s">
        <v>5</v>
      </c>
      <c r="L1848" s="199">
        <v>1</v>
      </c>
      <c r="M1848" s="200">
        <v>0.3</v>
      </c>
      <c r="N1848" s="201">
        <v>47</v>
      </c>
    </row>
    <row r="1849" spans="1:14">
      <c r="A1849" s="194">
        <v>41297.572442129633</v>
      </c>
      <c r="B1849" s="195">
        <v>2081</v>
      </c>
      <c r="C1849" s="194"/>
      <c r="D1849" s="194"/>
      <c r="E1849" s="196" t="s">
        <v>1830</v>
      </c>
      <c r="G1849" s="202"/>
      <c r="J1849" s="195">
        <v>24</v>
      </c>
      <c r="K1849" s="204" t="s">
        <v>25</v>
      </c>
      <c r="L1849" s="199">
        <v>1</v>
      </c>
      <c r="M1849" s="200">
        <v>2.8</v>
      </c>
      <c r="N1849" s="201">
        <v>26</v>
      </c>
    </row>
    <row r="1850" spans="1:14">
      <c r="A1850" s="194">
        <v>41303.024675925924</v>
      </c>
      <c r="B1850" s="195">
        <v>2081</v>
      </c>
      <c r="C1850" s="194"/>
      <c r="D1850" s="194"/>
      <c r="E1850" s="196" t="s">
        <v>2061</v>
      </c>
      <c r="G1850" s="202"/>
      <c r="J1850" s="195">
        <v>24</v>
      </c>
      <c r="K1850" s="204" t="s">
        <v>25</v>
      </c>
      <c r="L1850" s="199">
        <v>1</v>
      </c>
      <c r="M1850" s="200">
        <v>21.2</v>
      </c>
      <c r="N1850" s="201">
        <v>27</v>
      </c>
    </row>
    <row r="1851" spans="1:14">
      <c r="A1851" s="194">
        <v>41293.576562499999</v>
      </c>
      <c r="B1851" s="195">
        <v>2081</v>
      </c>
      <c r="C1851" s="194"/>
      <c r="D1851" s="194"/>
      <c r="E1851" s="196" t="s">
        <v>1990</v>
      </c>
      <c r="G1851" s="202"/>
      <c r="J1851" s="195">
        <v>24</v>
      </c>
      <c r="K1851" s="204" t="s">
        <v>25</v>
      </c>
      <c r="L1851" s="199">
        <v>1</v>
      </c>
      <c r="M1851" s="200">
        <v>0.8</v>
      </c>
      <c r="N1851" s="201">
        <v>30</v>
      </c>
    </row>
    <row r="1852" spans="1:14">
      <c r="A1852" s="194">
        <v>41293.684918981482</v>
      </c>
      <c r="B1852" s="195">
        <v>2081</v>
      </c>
      <c r="C1852" s="194"/>
      <c r="D1852" s="194"/>
      <c r="E1852" s="196" t="s">
        <v>1661</v>
      </c>
      <c r="G1852" s="202"/>
      <c r="J1852" s="195">
        <v>24</v>
      </c>
      <c r="K1852" s="204" t="s">
        <v>25</v>
      </c>
      <c r="L1852" s="199">
        <v>1</v>
      </c>
      <c r="M1852" s="200">
        <v>1.2</v>
      </c>
      <c r="N1852" s="201">
        <v>31</v>
      </c>
    </row>
    <row r="1853" spans="1:14">
      <c r="A1853" s="194">
        <v>41292.932824074072</v>
      </c>
      <c r="B1853" s="195">
        <v>2081</v>
      </c>
      <c r="C1853" s="194"/>
      <c r="D1853" s="194"/>
      <c r="E1853" s="196" t="s">
        <v>2167</v>
      </c>
      <c r="G1853" s="202"/>
      <c r="J1853" s="195">
        <v>24</v>
      </c>
      <c r="K1853" s="204" t="s">
        <v>25</v>
      </c>
      <c r="L1853" s="199">
        <v>1</v>
      </c>
      <c r="M1853" s="200">
        <v>2</v>
      </c>
      <c r="N1853" s="201">
        <v>31</v>
      </c>
    </row>
    <row r="1854" spans="1:14">
      <c r="A1854" s="194">
        <v>41280.692395833335</v>
      </c>
      <c r="B1854" s="195">
        <v>2081</v>
      </c>
      <c r="C1854" s="194"/>
      <c r="D1854" s="194"/>
      <c r="E1854" s="196" t="s">
        <v>1807</v>
      </c>
      <c r="G1854" s="202"/>
      <c r="J1854" s="195">
        <v>24</v>
      </c>
      <c r="K1854" s="204" t="s">
        <v>25</v>
      </c>
      <c r="L1854" s="199">
        <v>1</v>
      </c>
      <c r="M1854" s="200">
        <v>0.7</v>
      </c>
      <c r="N1854" s="201">
        <v>33</v>
      </c>
    </row>
    <row r="1855" spans="1:14">
      <c r="A1855" s="194">
        <v>41276.631898148145</v>
      </c>
      <c r="B1855" s="195">
        <v>2081</v>
      </c>
      <c r="C1855" s="194"/>
      <c r="D1855" s="194"/>
      <c r="E1855" s="196" t="s">
        <v>1721</v>
      </c>
      <c r="G1855" s="202"/>
      <c r="J1855" s="195">
        <v>24</v>
      </c>
      <c r="K1855" s="204" t="s">
        <v>25</v>
      </c>
      <c r="L1855" s="199">
        <v>1</v>
      </c>
      <c r="M1855" s="200">
        <v>1</v>
      </c>
      <c r="N1855" s="201">
        <v>35</v>
      </c>
    </row>
    <row r="1856" spans="1:14">
      <c r="A1856" s="194">
        <v>41279.683368055557</v>
      </c>
      <c r="B1856" s="195">
        <v>2081</v>
      </c>
      <c r="C1856" s="194"/>
      <c r="D1856" s="194"/>
      <c r="E1856" s="196" t="s">
        <v>1818</v>
      </c>
      <c r="G1856" s="202"/>
      <c r="J1856" s="195">
        <v>24</v>
      </c>
      <c r="K1856" s="204" t="s">
        <v>25</v>
      </c>
      <c r="L1856" s="199">
        <v>1</v>
      </c>
      <c r="M1856" s="200">
        <v>0.4</v>
      </c>
      <c r="N1856" s="201">
        <v>38</v>
      </c>
    </row>
    <row r="1857" spans="1:14">
      <c r="A1857" s="194">
        <v>41276.456956018519</v>
      </c>
      <c r="B1857" s="195">
        <v>2081</v>
      </c>
      <c r="C1857" s="194"/>
      <c r="D1857" s="194"/>
      <c r="E1857" s="196" t="s">
        <v>2120</v>
      </c>
      <c r="G1857" s="202"/>
      <c r="J1857" s="195">
        <v>24</v>
      </c>
      <c r="K1857" s="204" t="s">
        <v>25</v>
      </c>
      <c r="L1857" s="199">
        <v>1</v>
      </c>
      <c r="M1857" s="200">
        <v>0.7</v>
      </c>
      <c r="N1857" s="201">
        <v>38</v>
      </c>
    </row>
    <row r="1858" spans="1:14">
      <c r="A1858" s="194">
        <v>41291.501539351855</v>
      </c>
      <c r="B1858" s="195">
        <v>2081</v>
      </c>
      <c r="C1858" s="194"/>
      <c r="D1858" s="194"/>
      <c r="E1858" s="196" t="s">
        <v>2039</v>
      </c>
      <c r="G1858" s="202"/>
      <c r="J1858" s="195">
        <v>24</v>
      </c>
      <c r="K1858" s="204" t="s">
        <v>25</v>
      </c>
      <c r="L1858" s="199">
        <v>1</v>
      </c>
      <c r="M1858" s="200">
        <v>1.7</v>
      </c>
      <c r="N1858" s="201">
        <v>38</v>
      </c>
    </row>
    <row r="1859" spans="1:14">
      <c r="A1859" s="194">
        <v>41300.70579861111</v>
      </c>
      <c r="B1859" s="195">
        <v>2081</v>
      </c>
      <c r="C1859" s="194"/>
      <c r="D1859" s="194"/>
      <c r="E1859" s="196" t="s">
        <v>1613</v>
      </c>
      <c r="G1859" s="202"/>
      <c r="J1859" s="195">
        <v>24</v>
      </c>
      <c r="K1859" s="204" t="s">
        <v>25</v>
      </c>
      <c r="L1859" s="199">
        <v>1</v>
      </c>
      <c r="M1859" s="200">
        <v>0.7</v>
      </c>
      <c r="N1859" s="201">
        <v>39</v>
      </c>
    </row>
    <row r="1860" spans="1:14">
      <c r="A1860" s="194">
        <v>41284.008310185185</v>
      </c>
      <c r="B1860" s="195">
        <v>2081</v>
      </c>
      <c r="C1860" s="194"/>
      <c r="D1860" s="194"/>
      <c r="E1860" s="196" t="s">
        <v>1762</v>
      </c>
      <c r="G1860" s="202"/>
      <c r="J1860" s="195">
        <v>24</v>
      </c>
      <c r="K1860" s="204" t="s">
        <v>25</v>
      </c>
      <c r="L1860" s="199">
        <v>2</v>
      </c>
      <c r="M1860" s="200">
        <v>0.8</v>
      </c>
      <c r="N1860" s="201">
        <v>40</v>
      </c>
    </row>
    <row r="1861" spans="1:14">
      <c r="A1861" s="194">
        <v>41296.264780092592</v>
      </c>
      <c r="B1861" s="195">
        <v>2081</v>
      </c>
      <c r="C1861" s="194"/>
      <c r="D1861" s="194"/>
      <c r="E1861" s="196" t="s">
        <v>1938</v>
      </c>
      <c r="G1861" s="202"/>
      <c r="J1861" s="195">
        <v>24</v>
      </c>
      <c r="K1861" s="204" t="s">
        <v>25</v>
      </c>
      <c r="L1861" s="199">
        <v>1</v>
      </c>
      <c r="M1861" s="200">
        <v>2.2999999999999998</v>
      </c>
      <c r="N1861" s="201">
        <v>40</v>
      </c>
    </row>
    <row r="1862" spans="1:14">
      <c r="A1862" s="194">
        <v>41276.992314814815</v>
      </c>
      <c r="B1862" s="195">
        <v>2081</v>
      </c>
      <c r="C1862" s="194"/>
      <c r="D1862" s="194"/>
      <c r="E1862" s="196" t="s">
        <v>2071</v>
      </c>
      <c r="G1862" s="202"/>
      <c r="J1862" s="195">
        <v>24</v>
      </c>
      <c r="K1862" s="204" t="s">
        <v>25</v>
      </c>
      <c r="L1862" s="199">
        <v>1</v>
      </c>
      <c r="M1862" s="200">
        <v>0.3</v>
      </c>
      <c r="N1862" s="201">
        <v>41</v>
      </c>
    </row>
    <row r="1863" spans="1:14">
      <c r="A1863" s="194">
        <v>41299.499537037038</v>
      </c>
      <c r="B1863" s="195">
        <v>2081</v>
      </c>
      <c r="C1863" s="194"/>
      <c r="D1863" s="194"/>
      <c r="E1863" s="196" t="s">
        <v>1846</v>
      </c>
      <c r="G1863" s="202"/>
      <c r="J1863" s="195">
        <v>24</v>
      </c>
      <c r="K1863" s="204" t="s">
        <v>25</v>
      </c>
      <c r="L1863" s="199">
        <v>1</v>
      </c>
      <c r="M1863" s="200">
        <v>2.1</v>
      </c>
      <c r="N1863" s="201">
        <v>42</v>
      </c>
    </row>
    <row r="1864" spans="1:14">
      <c r="A1864" s="194">
        <v>41300.871064814812</v>
      </c>
      <c r="B1864" s="195">
        <v>2081</v>
      </c>
      <c r="C1864" s="194"/>
      <c r="D1864" s="194"/>
      <c r="E1864" s="196" t="s">
        <v>1943</v>
      </c>
      <c r="G1864" s="202"/>
      <c r="J1864" s="195">
        <v>24</v>
      </c>
      <c r="K1864" s="204" t="s">
        <v>25</v>
      </c>
      <c r="L1864" s="199">
        <v>1</v>
      </c>
      <c r="M1864" s="200">
        <v>0.6</v>
      </c>
      <c r="N1864" s="201">
        <v>47</v>
      </c>
    </row>
    <row r="1865" spans="1:14">
      <c r="A1865" s="194">
        <v>41279.228750000002</v>
      </c>
      <c r="B1865" s="195">
        <v>2081</v>
      </c>
      <c r="C1865" s="194"/>
      <c r="D1865" s="194"/>
      <c r="E1865" s="196" t="s">
        <v>1806</v>
      </c>
      <c r="G1865" s="202"/>
      <c r="J1865" s="195">
        <v>29</v>
      </c>
      <c r="K1865" s="204" t="s">
        <v>39</v>
      </c>
      <c r="L1865" s="199">
        <v>1</v>
      </c>
      <c r="M1865" s="200">
        <v>23.2</v>
      </c>
      <c r="N1865" s="201">
        <v>27</v>
      </c>
    </row>
    <row r="1866" spans="1:14">
      <c r="A1866" s="194">
        <v>41293.718958333331</v>
      </c>
      <c r="B1866" s="195">
        <v>2081</v>
      </c>
      <c r="C1866" s="194"/>
      <c r="D1866" s="194"/>
      <c r="E1866" s="196" t="s">
        <v>1791</v>
      </c>
      <c r="G1866" s="202"/>
      <c r="J1866" s="195">
        <v>29</v>
      </c>
      <c r="K1866" s="204" t="s">
        <v>39</v>
      </c>
      <c r="L1866" s="199">
        <v>1</v>
      </c>
      <c r="M1866" s="200">
        <v>1.4</v>
      </c>
      <c r="N1866" s="201">
        <v>30</v>
      </c>
    </row>
    <row r="1867" spans="1:14">
      <c r="A1867" s="194">
        <v>41294.43277777778</v>
      </c>
      <c r="B1867" s="195">
        <v>2081</v>
      </c>
      <c r="C1867" s="194"/>
      <c r="D1867" s="194"/>
      <c r="E1867" s="196" t="s">
        <v>1983</v>
      </c>
      <c r="G1867" s="202"/>
      <c r="J1867" s="195">
        <v>29</v>
      </c>
      <c r="K1867" s="204" t="s">
        <v>39</v>
      </c>
      <c r="L1867" s="199">
        <v>1</v>
      </c>
      <c r="M1867" s="200">
        <v>1.2</v>
      </c>
      <c r="N1867" s="201">
        <v>33</v>
      </c>
    </row>
    <row r="1868" spans="1:14">
      <c r="A1868" s="194">
        <v>41301.515590277777</v>
      </c>
      <c r="B1868" s="195">
        <v>2081</v>
      </c>
      <c r="C1868" s="194"/>
      <c r="D1868" s="194"/>
      <c r="E1868" s="196" t="s">
        <v>1986</v>
      </c>
      <c r="G1868" s="202"/>
      <c r="J1868" s="195">
        <v>29</v>
      </c>
      <c r="K1868" s="204" t="s">
        <v>39</v>
      </c>
      <c r="L1868" s="199">
        <v>1</v>
      </c>
      <c r="M1868" s="200">
        <v>5.8</v>
      </c>
      <c r="N1868" s="201">
        <v>33</v>
      </c>
    </row>
    <row r="1869" spans="1:14">
      <c r="A1869" s="194">
        <v>41295.812696759262</v>
      </c>
      <c r="B1869" s="195">
        <v>2081</v>
      </c>
      <c r="C1869" s="194"/>
      <c r="D1869" s="194"/>
      <c r="E1869" s="196" t="s">
        <v>1803</v>
      </c>
      <c r="G1869" s="202"/>
      <c r="J1869" s="195">
        <v>29</v>
      </c>
      <c r="K1869" s="204" t="s">
        <v>39</v>
      </c>
      <c r="L1869" s="199">
        <v>1</v>
      </c>
      <c r="M1869" s="200">
        <v>0.3</v>
      </c>
      <c r="N1869" s="201">
        <v>34</v>
      </c>
    </row>
    <row r="1870" spans="1:14">
      <c r="A1870" s="194">
        <v>41293.088333333333</v>
      </c>
      <c r="B1870" s="195">
        <v>2081</v>
      </c>
      <c r="C1870" s="194"/>
      <c r="D1870" s="194"/>
      <c r="E1870" s="196" t="s">
        <v>1603</v>
      </c>
      <c r="G1870" s="202"/>
      <c r="J1870" s="195">
        <v>29</v>
      </c>
      <c r="K1870" s="204" t="s">
        <v>39</v>
      </c>
      <c r="L1870" s="199">
        <v>2</v>
      </c>
      <c r="M1870" s="200">
        <v>0.3</v>
      </c>
      <c r="N1870" s="201">
        <v>36</v>
      </c>
    </row>
    <row r="1871" spans="1:14">
      <c r="A1871" s="194">
        <v>41281.779143518521</v>
      </c>
      <c r="B1871" s="195">
        <v>2081</v>
      </c>
      <c r="C1871" s="194"/>
      <c r="D1871" s="194"/>
      <c r="E1871" s="196" t="s">
        <v>2113</v>
      </c>
      <c r="G1871" s="202"/>
      <c r="J1871" s="195">
        <v>29</v>
      </c>
      <c r="K1871" s="204" t="s">
        <v>39</v>
      </c>
      <c r="L1871" s="199">
        <v>2</v>
      </c>
      <c r="M1871" s="200">
        <v>0.7</v>
      </c>
      <c r="N1871" s="201">
        <v>36</v>
      </c>
    </row>
    <row r="1872" spans="1:14">
      <c r="A1872" s="194">
        <v>41302.199537037035</v>
      </c>
      <c r="B1872" s="195">
        <v>2081</v>
      </c>
      <c r="C1872" s="194"/>
      <c r="D1872" s="194"/>
      <c r="E1872" s="196" t="s">
        <v>2083</v>
      </c>
      <c r="G1872" s="202"/>
      <c r="J1872" s="195">
        <v>29</v>
      </c>
      <c r="K1872" s="204" t="s">
        <v>39</v>
      </c>
      <c r="L1872" s="199">
        <v>1</v>
      </c>
      <c r="M1872" s="200">
        <v>0.5</v>
      </c>
      <c r="N1872" s="201">
        <v>40</v>
      </c>
    </row>
    <row r="1873" spans="1:14">
      <c r="A1873" s="194">
        <v>41278.060439814813</v>
      </c>
      <c r="B1873" s="195">
        <v>2081</v>
      </c>
      <c r="C1873" s="194"/>
      <c r="D1873" s="194"/>
      <c r="E1873" s="196" t="s">
        <v>1651</v>
      </c>
      <c r="G1873" s="202"/>
      <c r="J1873" s="195">
        <v>29</v>
      </c>
      <c r="K1873" s="204" t="s">
        <v>39</v>
      </c>
      <c r="L1873" s="199">
        <v>1</v>
      </c>
      <c r="M1873" s="200">
        <v>1.1000000000000001</v>
      </c>
      <c r="N1873" s="201">
        <v>41</v>
      </c>
    </row>
    <row r="1874" spans="1:14">
      <c r="A1874" s="194">
        <v>41294.464016203703</v>
      </c>
      <c r="B1874" s="195">
        <v>2081</v>
      </c>
      <c r="C1874" s="194"/>
      <c r="D1874" s="194"/>
      <c r="E1874" s="196" t="s">
        <v>2091</v>
      </c>
      <c r="G1874" s="202"/>
      <c r="J1874" s="195">
        <v>29</v>
      </c>
      <c r="K1874" s="204" t="s">
        <v>39</v>
      </c>
      <c r="L1874" s="199">
        <v>1</v>
      </c>
      <c r="M1874" s="200">
        <v>1.6</v>
      </c>
      <c r="N1874" s="201">
        <v>41</v>
      </c>
    </row>
    <row r="1875" spans="1:14">
      <c r="A1875" s="194">
        <v>41278.93959490741</v>
      </c>
      <c r="B1875" s="195">
        <v>2081</v>
      </c>
      <c r="C1875" s="194"/>
      <c r="D1875" s="194"/>
      <c r="E1875" s="196" t="s">
        <v>1636</v>
      </c>
      <c r="G1875" s="202"/>
      <c r="J1875" s="195">
        <v>29</v>
      </c>
      <c r="K1875" s="204" t="s">
        <v>39</v>
      </c>
      <c r="L1875" s="199">
        <v>2</v>
      </c>
      <c r="M1875" s="200">
        <v>0.5</v>
      </c>
      <c r="N1875" s="201">
        <v>44</v>
      </c>
    </row>
    <row r="1876" spans="1:14">
      <c r="A1876" s="194">
        <v>41288.898726851854</v>
      </c>
      <c r="B1876" s="195">
        <v>2081</v>
      </c>
      <c r="C1876" s="194"/>
      <c r="D1876" s="194"/>
      <c r="E1876" s="196" t="s">
        <v>1707</v>
      </c>
      <c r="G1876" s="202"/>
      <c r="J1876" s="195">
        <v>29</v>
      </c>
      <c r="K1876" s="204" t="s">
        <v>39</v>
      </c>
      <c r="L1876" s="199">
        <v>1</v>
      </c>
      <c r="M1876" s="200">
        <v>0.5</v>
      </c>
      <c r="N1876" s="201">
        <v>45</v>
      </c>
    </row>
    <row r="1877" spans="1:14">
      <c r="A1877" s="194">
        <v>41302.979583333334</v>
      </c>
      <c r="B1877" s="195">
        <v>2081</v>
      </c>
      <c r="C1877" s="194"/>
      <c r="D1877" s="194"/>
      <c r="E1877" s="198"/>
      <c r="G1877" s="202"/>
      <c r="J1877" s="195">
        <v>43</v>
      </c>
      <c r="K1877" s="204" t="s">
        <v>1596</v>
      </c>
      <c r="L1877" s="199">
        <v>2</v>
      </c>
      <c r="M1877" s="200">
        <v>24.2</v>
      </c>
      <c r="N1877" s="201">
        <v>15</v>
      </c>
    </row>
    <row r="1878" spans="1:14">
      <c r="A1878" s="194">
        <v>41303.601666666669</v>
      </c>
      <c r="B1878" s="195">
        <v>2081</v>
      </c>
      <c r="C1878" s="194"/>
      <c r="D1878" s="194"/>
      <c r="E1878" s="198"/>
      <c r="G1878" s="202"/>
      <c r="J1878" s="195">
        <v>43</v>
      </c>
      <c r="K1878" s="204" t="s">
        <v>1596</v>
      </c>
      <c r="L1878" s="199">
        <v>2</v>
      </c>
      <c r="M1878" s="200">
        <v>0.9</v>
      </c>
      <c r="N1878" s="201">
        <v>16</v>
      </c>
    </row>
    <row r="1879" spans="1:14">
      <c r="A1879" s="194">
        <v>41280.726458333331</v>
      </c>
      <c r="B1879" s="195">
        <v>2081</v>
      </c>
      <c r="C1879" s="194"/>
      <c r="D1879" s="194"/>
      <c r="E1879" s="198"/>
      <c r="G1879" s="202"/>
      <c r="J1879" s="195">
        <v>43</v>
      </c>
      <c r="K1879" s="204" t="s">
        <v>1596</v>
      </c>
      <c r="L1879" s="199">
        <v>2</v>
      </c>
      <c r="M1879" s="200">
        <v>2.5</v>
      </c>
      <c r="N1879" s="201">
        <v>16</v>
      </c>
    </row>
    <row r="1880" spans="1:14">
      <c r="A1880" s="194">
        <v>41291.580023148148</v>
      </c>
      <c r="B1880" s="195">
        <v>2081</v>
      </c>
      <c r="C1880" s="194"/>
      <c r="D1880" s="194"/>
      <c r="E1880" s="198"/>
      <c r="G1880" s="202"/>
      <c r="J1880" s="195">
        <v>43</v>
      </c>
      <c r="K1880" s="204" t="s">
        <v>1596</v>
      </c>
      <c r="L1880" s="199">
        <v>1</v>
      </c>
      <c r="M1880" s="200">
        <v>2.6</v>
      </c>
      <c r="N1880" s="201">
        <v>16</v>
      </c>
    </row>
    <row r="1881" spans="1:14">
      <c r="A1881" s="194">
        <v>41289.033425925925</v>
      </c>
      <c r="B1881" s="195">
        <v>2081</v>
      </c>
      <c r="C1881" s="194"/>
      <c r="D1881" s="194"/>
      <c r="E1881" s="198"/>
      <c r="G1881" s="202"/>
      <c r="J1881" s="195">
        <v>43</v>
      </c>
      <c r="K1881" s="204" t="s">
        <v>1596</v>
      </c>
      <c r="L1881" s="199">
        <v>2</v>
      </c>
      <c r="M1881" s="200">
        <v>0.5</v>
      </c>
      <c r="N1881" s="201">
        <v>17</v>
      </c>
    </row>
    <row r="1882" spans="1:14">
      <c r="A1882" s="194">
        <v>41280.574328703704</v>
      </c>
      <c r="B1882" s="195">
        <v>2081</v>
      </c>
      <c r="C1882" s="194"/>
      <c r="D1882" s="194"/>
      <c r="E1882" s="198"/>
      <c r="G1882" s="202"/>
      <c r="J1882" s="195">
        <v>43</v>
      </c>
      <c r="K1882" s="204" t="s">
        <v>1596</v>
      </c>
      <c r="L1882" s="199">
        <v>2</v>
      </c>
      <c r="M1882" s="200">
        <v>1.1000000000000001</v>
      </c>
      <c r="N1882" s="201">
        <v>17</v>
      </c>
    </row>
    <row r="1883" spans="1:14">
      <c r="A1883" s="194">
        <v>41276.480567129627</v>
      </c>
      <c r="B1883" s="195">
        <v>2081</v>
      </c>
      <c r="C1883" s="194"/>
      <c r="D1883" s="194"/>
      <c r="E1883" s="198"/>
      <c r="G1883" s="202"/>
      <c r="J1883" s="195">
        <v>43</v>
      </c>
      <c r="K1883" s="204" t="s">
        <v>1596</v>
      </c>
      <c r="L1883" s="199">
        <v>2</v>
      </c>
      <c r="M1883" s="200">
        <v>2.4</v>
      </c>
      <c r="N1883" s="201">
        <v>17</v>
      </c>
    </row>
    <row r="1884" spans="1:14">
      <c r="A1884" s="194">
        <v>41288.925115740742</v>
      </c>
      <c r="B1884" s="195">
        <v>2081</v>
      </c>
      <c r="C1884" s="194"/>
      <c r="D1884" s="194"/>
      <c r="E1884" s="198"/>
      <c r="G1884" s="202"/>
      <c r="J1884" s="195">
        <v>43</v>
      </c>
      <c r="K1884" s="204" t="s">
        <v>1596</v>
      </c>
      <c r="L1884" s="199">
        <v>2</v>
      </c>
      <c r="M1884" s="200">
        <v>0.6</v>
      </c>
      <c r="N1884" s="201">
        <v>18</v>
      </c>
    </row>
    <row r="1885" spans="1:14">
      <c r="A1885" s="194">
        <v>41288.777905092589</v>
      </c>
      <c r="B1885" s="195">
        <v>2081</v>
      </c>
      <c r="C1885" s="194"/>
      <c r="D1885" s="194"/>
      <c r="E1885" s="198"/>
      <c r="G1885" s="202"/>
      <c r="J1885" s="195">
        <v>43</v>
      </c>
      <c r="K1885" s="204" t="s">
        <v>1596</v>
      </c>
      <c r="L1885" s="199">
        <v>2</v>
      </c>
      <c r="M1885" s="200">
        <v>0.7</v>
      </c>
      <c r="N1885" s="201">
        <v>18</v>
      </c>
    </row>
    <row r="1886" spans="1:14">
      <c r="A1886" s="194">
        <v>41289.630694444444</v>
      </c>
      <c r="B1886" s="195">
        <v>2081</v>
      </c>
      <c r="C1886" s="194"/>
      <c r="D1886" s="194"/>
      <c r="E1886" s="198"/>
      <c r="G1886" s="202"/>
      <c r="J1886" s="195">
        <v>43</v>
      </c>
      <c r="K1886" s="204" t="s">
        <v>1596</v>
      </c>
      <c r="L1886" s="199">
        <v>1</v>
      </c>
      <c r="M1886" s="200">
        <v>1.3</v>
      </c>
      <c r="N1886" s="201">
        <v>20</v>
      </c>
    </row>
    <row r="1887" spans="1:14">
      <c r="A1887" s="194">
        <v>41301.62771990741</v>
      </c>
      <c r="B1887" s="195">
        <v>2083</v>
      </c>
      <c r="C1887" s="194"/>
      <c r="D1887" s="194"/>
      <c r="E1887" s="196" t="s">
        <v>365</v>
      </c>
      <c r="F1887" s="195">
        <v>456</v>
      </c>
      <c r="G1887" s="197" t="s">
        <v>141</v>
      </c>
      <c r="H1887" s="197" t="s">
        <v>223</v>
      </c>
      <c r="I1887" s="196" t="s">
        <v>226</v>
      </c>
      <c r="J1887" s="195">
        <v>1</v>
      </c>
      <c r="K1887" s="204" t="s">
        <v>224</v>
      </c>
      <c r="L1887" s="199">
        <v>2</v>
      </c>
      <c r="M1887" s="200">
        <v>0.9</v>
      </c>
      <c r="N1887" s="201">
        <v>30</v>
      </c>
    </row>
    <row r="1888" spans="1:14">
      <c r="A1888" s="194">
        <v>41303.522870370369</v>
      </c>
      <c r="B1888" s="195">
        <v>2083</v>
      </c>
      <c r="C1888" s="194"/>
      <c r="D1888" s="194"/>
      <c r="E1888" s="196" t="s">
        <v>1492</v>
      </c>
      <c r="F1888" s="195">
        <v>800</v>
      </c>
      <c r="G1888" s="197" t="s">
        <v>470</v>
      </c>
      <c r="H1888" s="197" t="s">
        <v>471</v>
      </c>
      <c r="J1888" s="195">
        <v>1</v>
      </c>
      <c r="K1888" s="204" t="s">
        <v>224</v>
      </c>
      <c r="L1888" s="199">
        <v>2</v>
      </c>
      <c r="M1888" s="200">
        <v>2.5</v>
      </c>
      <c r="N1888" s="201">
        <v>16</v>
      </c>
    </row>
    <row r="1889" spans="1:14">
      <c r="A1889" s="194">
        <v>41298.431863425925</v>
      </c>
      <c r="B1889" s="195">
        <v>2083</v>
      </c>
      <c r="C1889" s="194"/>
      <c r="D1889" s="194"/>
      <c r="E1889" s="196" t="s">
        <v>1315</v>
      </c>
      <c r="F1889" s="195">
        <v>800</v>
      </c>
      <c r="G1889" s="197" t="s">
        <v>470</v>
      </c>
      <c r="H1889" s="197" t="s">
        <v>471</v>
      </c>
      <c r="J1889" s="195">
        <v>1</v>
      </c>
      <c r="K1889" s="204" t="s">
        <v>224</v>
      </c>
      <c r="L1889" s="199">
        <v>2</v>
      </c>
      <c r="M1889" s="200">
        <v>0.6</v>
      </c>
      <c r="N1889" s="201">
        <v>19</v>
      </c>
    </row>
    <row r="1890" spans="1:14">
      <c r="A1890" s="194">
        <v>41282.503437500003</v>
      </c>
      <c r="B1890" s="195">
        <v>2083</v>
      </c>
      <c r="C1890" s="194"/>
      <c r="D1890" s="194"/>
      <c r="E1890" s="196" t="s">
        <v>737</v>
      </c>
      <c r="F1890" s="195">
        <v>800</v>
      </c>
      <c r="G1890" s="197" t="s">
        <v>470</v>
      </c>
      <c r="H1890" s="197" t="s">
        <v>471</v>
      </c>
      <c r="J1890" s="195">
        <v>1</v>
      </c>
      <c r="K1890" s="204" t="s">
        <v>224</v>
      </c>
      <c r="L1890" s="199">
        <v>2</v>
      </c>
      <c r="M1890" s="200">
        <v>0.3</v>
      </c>
      <c r="N1890" s="201">
        <v>21</v>
      </c>
    </row>
    <row r="1891" spans="1:14">
      <c r="A1891" s="194">
        <v>41299.453402777777</v>
      </c>
      <c r="B1891" s="195">
        <v>2083</v>
      </c>
      <c r="C1891" s="194"/>
      <c r="D1891" s="194"/>
      <c r="E1891" s="196" t="s">
        <v>1383</v>
      </c>
      <c r="F1891" s="195">
        <v>800</v>
      </c>
      <c r="G1891" s="197" t="s">
        <v>470</v>
      </c>
      <c r="H1891" s="197" t="s">
        <v>471</v>
      </c>
      <c r="J1891" s="195">
        <v>1</v>
      </c>
      <c r="K1891" s="204" t="s">
        <v>224</v>
      </c>
      <c r="L1891" s="199">
        <v>2</v>
      </c>
      <c r="M1891" s="200">
        <v>1.1000000000000001</v>
      </c>
      <c r="N1891" s="201">
        <v>22</v>
      </c>
    </row>
    <row r="1892" spans="1:14">
      <c r="A1892" s="194">
        <v>41282.884664351855</v>
      </c>
      <c r="B1892" s="195">
        <v>2083</v>
      </c>
      <c r="C1892" s="194"/>
      <c r="D1892" s="194"/>
      <c r="E1892" s="196" t="s">
        <v>738</v>
      </c>
      <c r="F1892" s="195">
        <v>800</v>
      </c>
      <c r="G1892" s="197" t="s">
        <v>470</v>
      </c>
      <c r="H1892" s="197" t="s">
        <v>471</v>
      </c>
      <c r="J1892" s="195">
        <v>1</v>
      </c>
      <c r="K1892" s="204" t="s">
        <v>224</v>
      </c>
      <c r="L1892" s="199">
        <v>2</v>
      </c>
      <c r="M1892" s="200">
        <v>0.4</v>
      </c>
      <c r="N1892" s="201">
        <v>25</v>
      </c>
    </row>
    <row r="1893" spans="1:14">
      <c r="A1893" s="194">
        <v>41297.716226851851</v>
      </c>
      <c r="B1893" s="195">
        <v>2083</v>
      </c>
      <c r="C1893" s="194"/>
      <c r="D1893" s="194"/>
      <c r="E1893" s="196" t="s">
        <v>1340</v>
      </c>
      <c r="F1893" s="195">
        <v>800</v>
      </c>
      <c r="G1893" s="197" t="s">
        <v>470</v>
      </c>
      <c r="H1893" s="197" t="s">
        <v>471</v>
      </c>
      <c r="J1893" s="195">
        <v>1</v>
      </c>
      <c r="K1893" s="204" t="s">
        <v>224</v>
      </c>
      <c r="L1893" s="199">
        <v>1</v>
      </c>
      <c r="M1893" s="200">
        <v>0.5</v>
      </c>
      <c r="N1893" s="201">
        <v>25</v>
      </c>
    </row>
    <row r="1894" spans="1:14">
      <c r="A1894" s="194">
        <v>41284.318449074075</v>
      </c>
      <c r="B1894" s="195">
        <v>2083</v>
      </c>
      <c r="C1894" s="194"/>
      <c r="D1894" s="194"/>
      <c r="E1894" s="196" t="s">
        <v>779</v>
      </c>
      <c r="F1894" s="195">
        <v>800</v>
      </c>
      <c r="G1894" s="197" t="s">
        <v>470</v>
      </c>
      <c r="H1894" s="197" t="s">
        <v>471</v>
      </c>
      <c r="J1894" s="195">
        <v>1</v>
      </c>
      <c r="K1894" s="204" t="s">
        <v>224</v>
      </c>
      <c r="L1894" s="199">
        <v>2</v>
      </c>
      <c r="M1894" s="200">
        <v>0.5</v>
      </c>
      <c r="N1894" s="201">
        <v>26</v>
      </c>
    </row>
    <row r="1895" spans="1:14">
      <c r="A1895" s="194">
        <v>41300.695069444446</v>
      </c>
      <c r="B1895" s="195">
        <v>2083</v>
      </c>
      <c r="C1895" s="194"/>
      <c r="D1895" s="194"/>
      <c r="E1895" s="196" t="s">
        <v>1439</v>
      </c>
      <c r="F1895" s="195">
        <v>800</v>
      </c>
      <c r="G1895" s="197" t="s">
        <v>470</v>
      </c>
      <c r="H1895" s="197" t="s">
        <v>471</v>
      </c>
      <c r="J1895" s="195">
        <v>1</v>
      </c>
      <c r="K1895" s="204" t="s">
        <v>224</v>
      </c>
      <c r="L1895" s="199">
        <v>1</v>
      </c>
      <c r="M1895" s="200">
        <v>1</v>
      </c>
      <c r="N1895" s="201">
        <v>27</v>
      </c>
    </row>
    <row r="1896" spans="1:14">
      <c r="A1896" s="194">
        <v>41285.531134259261</v>
      </c>
      <c r="B1896" s="195">
        <v>2083</v>
      </c>
      <c r="C1896" s="194"/>
      <c r="D1896" s="194"/>
      <c r="E1896" s="196" t="s">
        <v>924</v>
      </c>
      <c r="F1896" s="195">
        <v>800</v>
      </c>
      <c r="G1896" s="197" t="s">
        <v>470</v>
      </c>
      <c r="H1896" s="197" t="s">
        <v>471</v>
      </c>
      <c r="J1896" s="195">
        <v>1</v>
      </c>
      <c r="K1896" s="204" t="s">
        <v>224</v>
      </c>
      <c r="L1896" s="199">
        <v>2</v>
      </c>
      <c r="M1896" s="200">
        <v>0.5</v>
      </c>
      <c r="N1896" s="201">
        <v>29</v>
      </c>
    </row>
    <row r="1897" spans="1:14">
      <c r="A1897" s="194">
        <v>41278.520150462966</v>
      </c>
      <c r="B1897" s="195">
        <v>2083</v>
      </c>
      <c r="C1897" s="194"/>
      <c r="D1897" s="194"/>
      <c r="E1897" s="196" t="s">
        <v>596</v>
      </c>
      <c r="F1897" s="195">
        <v>800</v>
      </c>
      <c r="G1897" s="197" t="s">
        <v>470</v>
      </c>
      <c r="H1897" s="197" t="s">
        <v>471</v>
      </c>
      <c r="J1897" s="195">
        <v>1</v>
      </c>
      <c r="K1897" s="204" t="s">
        <v>224</v>
      </c>
      <c r="L1897" s="199">
        <v>2</v>
      </c>
      <c r="M1897" s="200">
        <v>0.4</v>
      </c>
      <c r="N1897" s="201">
        <v>30</v>
      </c>
    </row>
    <row r="1898" spans="1:14">
      <c r="A1898" s="194">
        <v>41277.494386574072</v>
      </c>
      <c r="B1898" s="195">
        <v>2083</v>
      </c>
      <c r="C1898" s="194"/>
      <c r="D1898" s="194"/>
      <c r="E1898" s="196" t="s">
        <v>620</v>
      </c>
      <c r="F1898" s="195">
        <v>800</v>
      </c>
      <c r="G1898" s="197" t="s">
        <v>470</v>
      </c>
      <c r="H1898" s="197" t="s">
        <v>471</v>
      </c>
      <c r="J1898" s="195">
        <v>1</v>
      </c>
      <c r="K1898" s="204" t="s">
        <v>224</v>
      </c>
      <c r="L1898" s="199">
        <v>2</v>
      </c>
      <c r="M1898" s="200">
        <v>1.2</v>
      </c>
      <c r="N1898" s="201">
        <v>30</v>
      </c>
    </row>
    <row r="1899" spans="1:14">
      <c r="A1899" s="194">
        <v>41281.663090277776</v>
      </c>
      <c r="B1899" s="195">
        <v>2083</v>
      </c>
      <c r="C1899" s="194"/>
      <c r="D1899" s="194"/>
      <c r="E1899" s="196" t="s">
        <v>709</v>
      </c>
      <c r="F1899" s="195">
        <v>800</v>
      </c>
      <c r="G1899" s="197" t="s">
        <v>470</v>
      </c>
      <c r="H1899" s="197" t="s">
        <v>471</v>
      </c>
      <c r="J1899" s="195">
        <v>1</v>
      </c>
      <c r="K1899" s="204" t="s">
        <v>224</v>
      </c>
      <c r="L1899" s="199">
        <v>2</v>
      </c>
      <c r="M1899" s="200">
        <v>0.4</v>
      </c>
      <c r="N1899" s="201">
        <v>32</v>
      </c>
    </row>
    <row r="1900" spans="1:14">
      <c r="A1900" s="194">
        <v>41284.882615740738</v>
      </c>
      <c r="B1900" s="195">
        <v>2083</v>
      </c>
      <c r="C1900" s="194"/>
      <c r="D1900" s="194"/>
      <c r="E1900" s="196" t="s">
        <v>837</v>
      </c>
      <c r="F1900" s="195">
        <v>800</v>
      </c>
      <c r="G1900" s="197" t="s">
        <v>470</v>
      </c>
      <c r="H1900" s="197" t="s">
        <v>471</v>
      </c>
      <c r="J1900" s="195">
        <v>1</v>
      </c>
      <c r="K1900" s="204" t="s">
        <v>224</v>
      </c>
      <c r="L1900" s="199">
        <v>2</v>
      </c>
      <c r="M1900" s="200">
        <v>0.5</v>
      </c>
      <c r="N1900" s="201">
        <v>32</v>
      </c>
    </row>
    <row r="1901" spans="1:14">
      <c r="A1901" s="194">
        <v>41293.324953703705</v>
      </c>
      <c r="B1901" s="195">
        <v>2083</v>
      </c>
      <c r="C1901" s="194"/>
      <c r="D1901" s="194"/>
      <c r="E1901" s="196" t="s">
        <v>1197</v>
      </c>
      <c r="F1901" s="195">
        <v>800</v>
      </c>
      <c r="G1901" s="197" t="s">
        <v>470</v>
      </c>
      <c r="H1901" s="197" t="s">
        <v>471</v>
      </c>
      <c r="J1901" s="195">
        <v>1</v>
      </c>
      <c r="K1901" s="204" t="s">
        <v>224</v>
      </c>
      <c r="L1901" s="199">
        <v>2</v>
      </c>
      <c r="M1901" s="200">
        <v>0.5</v>
      </c>
      <c r="N1901" s="201">
        <v>35</v>
      </c>
    </row>
    <row r="1902" spans="1:14">
      <c r="A1902" s="194">
        <v>41290.168495370373</v>
      </c>
      <c r="B1902" s="195">
        <v>2083</v>
      </c>
      <c r="C1902" s="194"/>
      <c r="D1902" s="194"/>
      <c r="E1902" s="196" t="s">
        <v>1042</v>
      </c>
      <c r="F1902" s="195">
        <v>800</v>
      </c>
      <c r="G1902" s="197" t="s">
        <v>470</v>
      </c>
      <c r="H1902" s="197" t="s">
        <v>471</v>
      </c>
      <c r="J1902" s="195">
        <v>1</v>
      </c>
      <c r="K1902" s="204" t="s">
        <v>224</v>
      </c>
      <c r="L1902" s="199">
        <v>2</v>
      </c>
      <c r="M1902" s="200">
        <v>1</v>
      </c>
      <c r="N1902" s="201">
        <v>40</v>
      </c>
    </row>
    <row r="1903" spans="1:14">
      <c r="A1903" s="194">
        <v>41294.97828703704</v>
      </c>
      <c r="B1903" s="195">
        <v>2083</v>
      </c>
      <c r="C1903" s="194"/>
      <c r="D1903" s="194"/>
      <c r="E1903" s="196" t="s">
        <v>1152</v>
      </c>
      <c r="F1903" s="195">
        <v>800</v>
      </c>
      <c r="G1903" s="197" t="s">
        <v>470</v>
      </c>
      <c r="H1903" s="197" t="s">
        <v>471</v>
      </c>
      <c r="J1903" s="195">
        <v>1</v>
      </c>
      <c r="K1903" s="204" t="s">
        <v>224</v>
      </c>
      <c r="L1903" s="199">
        <v>2</v>
      </c>
      <c r="M1903" s="200">
        <v>0.5</v>
      </c>
      <c r="N1903" s="201">
        <v>48</v>
      </c>
    </row>
    <row r="1904" spans="1:14">
      <c r="A1904" s="194">
        <v>41291.35659722222</v>
      </c>
      <c r="B1904" s="195">
        <v>2083</v>
      </c>
      <c r="C1904" s="194"/>
      <c r="D1904" s="194"/>
      <c r="E1904" s="198"/>
      <c r="G1904" s="202"/>
      <c r="J1904" s="195">
        <v>2</v>
      </c>
      <c r="K1904" s="204" t="s">
        <v>32</v>
      </c>
      <c r="L1904" s="199">
        <v>2</v>
      </c>
      <c r="M1904" s="200">
        <v>0.5</v>
      </c>
      <c r="N1904" s="201">
        <v>17</v>
      </c>
    </row>
    <row r="1905" spans="1:14">
      <c r="A1905" s="194">
        <v>41286.592974537038</v>
      </c>
      <c r="B1905" s="195">
        <v>2083</v>
      </c>
      <c r="C1905" s="194"/>
      <c r="D1905" s="194"/>
      <c r="E1905" s="198"/>
      <c r="G1905" s="202"/>
      <c r="J1905" s="195">
        <v>2</v>
      </c>
      <c r="K1905" s="204" t="s">
        <v>32</v>
      </c>
      <c r="L1905" s="199">
        <v>2</v>
      </c>
      <c r="M1905" s="200">
        <v>0.5</v>
      </c>
      <c r="N1905" s="201">
        <v>17</v>
      </c>
    </row>
    <row r="1906" spans="1:14">
      <c r="A1906" s="194">
        <v>41283.540902777779</v>
      </c>
      <c r="B1906" s="195">
        <v>2083</v>
      </c>
      <c r="C1906" s="194"/>
      <c r="D1906" s="194"/>
      <c r="E1906" s="198"/>
      <c r="G1906" s="202"/>
      <c r="J1906" s="195">
        <v>2</v>
      </c>
      <c r="K1906" s="204" t="s">
        <v>32</v>
      </c>
      <c r="L1906" s="199">
        <v>1</v>
      </c>
      <c r="M1906" s="200">
        <v>0.3</v>
      </c>
      <c r="N1906" s="201">
        <v>20</v>
      </c>
    </row>
    <row r="1907" spans="1:14">
      <c r="A1907" s="194">
        <v>41277.547835648147</v>
      </c>
      <c r="B1907" s="195">
        <v>2083</v>
      </c>
      <c r="C1907" s="194"/>
      <c r="D1907" s="194"/>
      <c r="E1907" s="198"/>
      <c r="G1907" s="202"/>
      <c r="J1907" s="195">
        <v>2</v>
      </c>
      <c r="K1907" s="204" t="s">
        <v>32</v>
      </c>
      <c r="L1907" s="199">
        <v>1</v>
      </c>
      <c r="M1907" s="200">
        <v>0.3</v>
      </c>
      <c r="N1907" s="201">
        <v>21</v>
      </c>
    </row>
    <row r="1908" spans="1:14">
      <c r="A1908" s="194">
        <v>41292.694687499999</v>
      </c>
      <c r="B1908" s="195">
        <v>2083</v>
      </c>
      <c r="C1908" s="194"/>
      <c r="D1908" s="194"/>
      <c r="E1908" s="198"/>
      <c r="G1908" s="202"/>
      <c r="J1908" s="195">
        <v>10</v>
      </c>
      <c r="K1908" s="204" t="s">
        <v>31</v>
      </c>
      <c r="L1908" s="199">
        <v>2</v>
      </c>
      <c r="M1908" s="200">
        <v>0.3</v>
      </c>
      <c r="N1908" s="201">
        <v>20</v>
      </c>
    </row>
    <row r="1909" spans="1:14">
      <c r="A1909" s="194">
        <v>41301.045439814814</v>
      </c>
      <c r="B1909" s="195">
        <v>2083</v>
      </c>
      <c r="C1909" s="194"/>
      <c r="D1909" s="194"/>
      <c r="E1909" s="196" t="s">
        <v>1894</v>
      </c>
      <c r="G1909" s="202"/>
      <c r="J1909" s="195">
        <v>11</v>
      </c>
      <c r="K1909" s="204" t="s">
        <v>1</v>
      </c>
      <c r="L1909" s="199">
        <v>1</v>
      </c>
      <c r="M1909" s="200">
        <v>36.5</v>
      </c>
      <c r="N1909" s="201">
        <v>16</v>
      </c>
    </row>
    <row r="1910" spans="1:14">
      <c r="A1910" s="194">
        <v>41293.597187500003</v>
      </c>
      <c r="B1910" s="195">
        <v>2083</v>
      </c>
      <c r="C1910" s="194"/>
      <c r="D1910" s="194"/>
      <c r="E1910" s="198"/>
      <c r="G1910" s="202"/>
      <c r="J1910" s="195">
        <v>11</v>
      </c>
      <c r="K1910" s="204" t="s">
        <v>1</v>
      </c>
      <c r="L1910" s="199">
        <v>1</v>
      </c>
      <c r="M1910" s="200">
        <v>0.9</v>
      </c>
      <c r="N1910" s="201">
        <v>20</v>
      </c>
    </row>
    <row r="1911" spans="1:14">
      <c r="A1911" s="194">
        <v>41302.646354166667</v>
      </c>
      <c r="B1911" s="195">
        <v>2083</v>
      </c>
      <c r="C1911" s="194"/>
      <c r="D1911" s="194"/>
      <c r="E1911" s="198"/>
      <c r="G1911" s="202"/>
      <c r="J1911" s="195">
        <v>11</v>
      </c>
      <c r="K1911" s="204" t="s">
        <v>1</v>
      </c>
      <c r="L1911" s="199">
        <v>1</v>
      </c>
      <c r="M1911" s="200">
        <v>0.6</v>
      </c>
      <c r="N1911" s="201">
        <v>21</v>
      </c>
    </row>
    <row r="1912" spans="1:14">
      <c r="A1912" s="194">
        <v>41298.643645833334</v>
      </c>
      <c r="B1912" s="195">
        <v>2083</v>
      </c>
      <c r="C1912" s="194"/>
      <c r="D1912" s="194"/>
      <c r="E1912" s="198"/>
      <c r="G1912" s="202"/>
      <c r="J1912" s="195">
        <v>15</v>
      </c>
      <c r="K1912" s="204" t="s">
        <v>4</v>
      </c>
      <c r="L1912" s="199">
        <v>2</v>
      </c>
      <c r="M1912" s="200">
        <v>1</v>
      </c>
      <c r="N1912" s="201">
        <v>18</v>
      </c>
    </row>
    <row r="1913" spans="1:14">
      <c r="A1913" s="194">
        <v>41275.706678240742</v>
      </c>
      <c r="B1913" s="195">
        <v>2083</v>
      </c>
      <c r="C1913" s="194"/>
      <c r="D1913" s="194"/>
      <c r="E1913" s="198"/>
      <c r="G1913" s="202"/>
      <c r="J1913" s="195">
        <v>17</v>
      </c>
      <c r="K1913" s="204" t="s">
        <v>11</v>
      </c>
      <c r="L1913" s="199">
        <v>1</v>
      </c>
      <c r="M1913" s="200">
        <v>8.6999999999999993</v>
      </c>
      <c r="N1913" s="201">
        <v>0</v>
      </c>
    </row>
    <row r="1914" spans="1:14">
      <c r="A1914" s="194">
        <v>41292.6091087963</v>
      </c>
      <c r="B1914" s="195">
        <v>2083</v>
      </c>
      <c r="C1914" s="194"/>
      <c r="D1914" s="194"/>
      <c r="E1914" s="198"/>
      <c r="G1914" s="202"/>
      <c r="J1914" s="195">
        <v>17</v>
      </c>
      <c r="K1914" s="204" t="s">
        <v>11</v>
      </c>
      <c r="L1914" s="199">
        <v>1</v>
      </c>
      <c r="M1914" s="200">
        <v>15.9</v>
      </c>
      <c r="N1914" s="201">
        <v>0</v>
      </c>
    </row>
    <row r="1915" spans="1:14">
      <c r="A1915" s="194">
        <v>41275.663900462961</v>
      </c>
      <c r="B1915" s="195">
        <v>2083</v>
      </c>
      <c r="C1915" s="194"/>
      <c r="D1915" s="194"/>
      <c r="E1915" s="198"/>
      <c r="G1915" s="202"/>
      <c r="J1915" s="195">
        <v>17</v>
      </c>
      <c r="K1915" s="204" t="s">
        <v>11</v>
      </c>
      <c r="L1915" s="199">
        <v>2</v>
      </c>
      <c r="M1915" s="200">
        <v>3.4</v>
      </c>
      <c r="N1915" s="201">
        <v>14</v>
      </c>
    </row>
    <row r="1916" spans="1:14">
      <c r="A1916" s="194">
        <v>41277.58326388889</v>
      </c>
      <c r="B1916" s="195">
        <v>2083</v>
      </c>
      <c r="C1916" s="194"/>
      <c r="D1916" s="194"/>
      <c r="E1916" s="198"/>
      <c r="G1916" s="202"/>
      <c r="J1916" s="195">
        <v>17</v>
      </c>
      <c r="K1916" s="204" t="s">
        <v>11</v>
      </c>
      <c r="L1916" s="199">
        <v>2</v>
      </c>
      <c r="M1916" s="200">
        <v>0.6</v>
      </c>
      <c r="N1916" s="201">
        <v>16</v>
      </c>
    </row>
    <row r="1917" spans="1:14">
      <c r="A1917" s="194">
        <v>41298.349641203706</v>
      </c>
      <c r="B1917" s="195">
        <v>2083</v>
      </c>
      <c r="C1917" s="194"/>
      <c r="D1917" s="194"/>
      <c r="E1917" s="198"/>
      <c r="G1917" s="202"/>
      <c r="J1917" s="195">
        <v>17</v>
      </c>
      <c r="K1917" s="204" t="s">
        <v>11</v>
      </c>
      <c r="L1917" s="199">
        <v>2</v>
      </c>
      <c r="M1917" s="200">
        <v>1.3</v>
      </c>
      <c r="N1917" s="201">
        <v>19</v>
      </c>
    </row>
    <row r="1918" spans="1:14">
      <c r="A1918" s="194">
        <v>41294.380011574074</v>
      </c>
      <c r="B1918" s="195">
        <v>2083</v>
      </c>
      <c r="C1918" s="194"/>
      <c r="D1918" s="194"/>
      <c r="E1918" s="198"/>
      <c r="G1918" s="202"/>
      <c r="J1918" s="195">
        <v>17</v>
      </c>
      <c r="K1918" s="204" t="s">
        <v>11</v>
      </c>
      <c r="L1918" s="199">
        <v>2</v>
      </c>
      <c r="M1918" s="200">
        <v>20.8</v>
      </c>
      <c r="N1918" s="201">
        <v>20</v>
      </c>
    </row>
    <row r="1919" spans="1:14">
      <c r="A1919" s="194">
        <v>41288.925046296295</v>
      </c>
      <c r="B1919" s="195">
        <v>2083</v>
      </c>
      <c r="C1919" s="194"/>
      <c r="D1919" s="194"/>
      <c r="E1919" s="198"/>
      <c r="G1919" s="202"/>
      <c r="J1919" s="195">
        <v>17</v>
      </c>
      <c r="K1919" s="204" t="s">
        <v>11</v>
      </c>
      <c r="L1919" s="199">
        <v>1</v>
      </c>
      <c r="M1919" s="200">
        <v>9.3000000000000007</v>
      </c>
      <c r="N1919" s="201">
        <v>25</v>
      </c>
    </row>
    <row r="1920" spans="1:14">
      <c r="A1920" s="194">
        <v>41278.527939814812</v>
      </c>
      <c r="B1920" s="195">
        <v>2083</v>
      </c>
      <c r="C1920" s="194"/>
      <c r="D1920" s="194"/>
      <c r="E1920" s="198"/>
      <c r="G1920" s="202"/>
      <c r="J1920" s="195">
        <v>17</v>
      </c>
      <c r="K1920" s="204" t="s">
        <v>11</v>
      </c>
      <c r="L1920" s="199">
        <v>1</v>
      </c>
      <c r="M1920" s="200">
        <v>13.8</v>
      </c>
      <c r="N1920" s="201">
        <v>32</v>
      </c>
    </row>
    <row r="1921" spans="1:14">
      <c r="A1921" s="194">
        <v>41296.63616898148</v>
      </c>
      <c r="B1921" s="195">
        <v>2083</v>
      </c>
      <c r="C1921" s="194"/>
      <c r="D1921" s="194"/>
      <c r="E1921" s="198"/>
      <c r="G1921" s="202"/>
      <c r="J1921" s="195">
        <v>17</v>
      </c>
      <c r="K1921" s="204" t="s">
        <v>11</v>
      </c>
      <c r="L1921" s="199">
        <v>2</v>
      </c>
      <c r="M1921" s="200">
        <v>13.2</v>
      </c>
      <c r="N1921" s="201">
        <v>40</v>
      </c>
    </row>
    <row r="1922" spans="1:14">
      <c r="A1922" s="194">
        <v>41277.866805555554</v>
      </c>
      <c r="B1922" s="195">
        <v>2083</v>
      </c>
      <c r="C1922" s="194"/>
      <c r="D1922" s="194"/>
      <c r="E1922" s="198"/>
      <c r="G1922" s="202"/>
      <c r="J1922" s="195">
        <v>17</v>
      </c>
      <c r="K1922" s="204" t="s">
        <v>11</v>
      </c>
      <c r="L1922" s="199">
        <v>1</v>
      </c>
      <c r="M1922" s="200">
        <v>13.2</v>
      </c>
      <c r="N1922" s="201">
        <v>42</v>
      </c>
    </row>
    <row r="1923" spans="1:14">
      <c r="A1923" s="194">
        <v>41305.481469907405</v>
      </c>
      <c r="B1923" s="195">
        <v>2083</v>
      </c>
      <c r="C1923" s="194"/>
      <c r="D1923" s="194"/>
      <c r="E1923" s="198"/>
      <c r="G1923" s="202"/>
      <c r="J1923" s="195">
        <v>18</v>
      </c>
      <c r="K1923" s="204" t="s">
        <v>5</v>
      </c>
      <c r="L1923" s="199">
        <v>2</v>
      </c>
      <c r="M1923" s="200">
        <v>27.9</v>
      </c>
      <c r="N1923" s="201">
        <v>16</v>
      </c>
    </row>
    <row r="1924" spans="1:14">
      <c r="A1924" s="194">
        <v>41302.459791666668</v>
      </c>
      <c r="B1924" s="195">
        <v>2083</v>
      </c>
      <c r="C1924" s="194"/>
      <c r="D1924" s="194"/>
      <c r="E1924" s="198"/>
      <c r="G1924" s="202"/>
      <c r="J1924" s="195">
        <v>18</v>
      </c>
      <c r="K1924" s="204" t="s">
        <v>5</v>
      </c>
      <c r="L1924" s="199">
        <v>2</v>
      </c>
      <c r="M1924" s="200">
        <v>19.100000000000001</v>
      </c>
      <c r="N1924" s="201">
        <v>17</v>
      </c>
    </row>
    <row r="1925" spans="1:14">
      <c r="A1925" s="194">
        <v>41301.781909722224</v>
      </c>
      <c r="B1925" s="195">
        <v>2083</v>
      </c>
      <c r="C1925" s="194"/>
      <c r="D1925" s="194"/>
      <c r="E1925" s="196" t="s">
        <v>1821</v>
      </c>
      <c r="G1925" s="202"/>
      <c r="J1925" s="195">
        <v>24</v>
      </c>
      <c r="K1925" s="204" t="s">
        <v>25</v>
      </c>
      <c r="L1925" s="199">
        <v>2</v>
      </c>
      <c r="M1925" s="200">
        <v>0.3</v>
      </c>
      <c r="N1925" s="201">
        <v>32</v>
      </c>
    </row>
    <row r="1926" spans="1:14">
      <c r="A1926" s="194">
        <v>41294.694976851853</v>
      </c>
      <c r="B1926" s="195">
        <v>2083</v>
      </c>
      <c r="C1926" s="194"/>
      <c r="D1926" s="194"/>
      <c r="E1926" s="196" t="s">
        <v>1717</v>
      </c>
      <c r="G1926" s="202"/>
      <c r="J1926" s="195">
        <v>29</v>
      </c>
      <c r="K1926" s="204" t="s">
        <v>39</v>
      </c>
      <c r="L1926" s="199">
        <v>2</v>
      </c>
      <c r="M1926" s="200">
        <v>0.4</v>
      </c>
      <c r="N1926" s="201">
        <v>32</v>
      </c>
    </row>
    <row r="1927" spans="1:14">
      <c r="A1927" s="194">
        <v>41289.310104166667</v>
      </c>
      <c r="B1927" s="195">
        <v>2083</v>
      </c>
      <c r="C1927" s="194"/>
      <c r="D1927" s="194"/>
      <c r="E1927" s="198"/>
      <c r="G1927" s="202"/>
      <c r="J1927" s="195">
        <v>43</v>
      </c>
      <c r="K1927" s="204" t="s">
        <v>1596</v>
      </c>
      <c r="L1927" s="199">
        <v>2</v>
      </c>
      <c r="M1927" s="200">
        <v>0.4</v>
      </c>
      <c r="N1927" s="201">
        <v>15</v>
      </c>
    </row>
    <row r="1928" spans="1:14">
      <c r="A1928" s="194">
        <v>41291.781875000001</v>
      </c>
      <c r="B1928" s="195">
        <v>2083</v>
      </c>
      <c r="C1928" s="194"/>
      <c r="D1928" s="194"/>
      <c r="E1928" s="198"/>
      <c r="G1928" s="202"/>
      <c r="J1928" s="195">
        <v>43</v>
      </c>
      <c r="K1928" s="204" t="s">
        <v>1596</v>
      </c>
      <c r="L1928" s="199">
        <v>2</v>
      </c>
      <c r="M1928" s="200">
        <v>0.4</v>
      </c>
      <c r="N1928" s="201">
        <v>16</v>
      </c>
    </row>
    <row r="1929" spans="1:14">
      <c r="A1929" s="194">
        <v>41277.531168981484</v>
      </c>
      <c r="B1929" s="195">
        <v>2083</v>
      </c>
      <c r="C1929" s="194"/>
      <c r="D1929" s="194"/>
      <c r="E1929" s="198"/>
      <c r="G1929" s="202"/>
      <c r="J1929" s="195">
        <v>43</v>
      </c>
      <c r="K1929" s="204" t="s">
        <v>1596</v>
      </c>
      <c r="L1929" s="199">
        <v>2</v>
      </c>
      <c r="M1929" s="200">
        <v>0.4</v>
      </c>
      <c r="N1929" s="201">
        <v>16</v>
      </c>
    </row>
    <row r="1930" spans="1:14">
      <c r="A1930" s="194">
        <v>41288.538159722222</v>
      </c>
      <c r="B1930" s="195">
        <v>2083</v>
      </c>
      <c r="C1930" s="194"/>
      <c r="D1930" s="194"/>
      <c r="E1930" s="198"/>
      <c r="G1930" s="202"/>
      <c r="J1930" s="195">
        <v>43</v>
      </c>
      <c r="K1930" s="204" t="s">
        <v>1596</v>
      </c>
      <c r="L1930" s="199">
        <v>2</v>
      </c>
      <c r="M1930" s="200">
        <v>1.6</v>
      </c>
      <c r="N1930" s="201">
        <v>16</v>
      </c>
    </row>
    <row r="1931" spans="1:14">
      <c r="A1931" s="194">
        <v>41290.355196759258</v>
      </c>
      <c r="B1931" s="195">
        <v>2083</v>
      </c>
      <c r="C1931" s="194"/>
      <c r="D1931" s="194"/>
      <c r="E1931" s="198"/>
      <c r="G1931" s="202"/>
      <c r="J1931" s="195">
        <v>43</v>
      </c>
      <c r="K1931" s="204" t="s">
        <v>1596</v>
      </c>
      <c r="L1931" s="199">
        <v>2</v>
      </c>
      <c r="M1931" s="200">
        <v>0.3</v>
      </c>
      <c r="N1931" s="201">
        <v>17</v>
      </c>
    </row>
    <row r="1932" spans="1:14">
      <c r="A1932" s="194">
        <v>41277.531875000001</v>
      </c>
      <c r="B1932" s="195">
        <v>2083</v>
      </c>
      <c r="C1932" s="194"/>
      <c r="D1932" s="194"/>
      <c r="E1932" s="198"/>
      <c r="G1932" s="202"/>
      <c r="J1932" s="195">
        <v>43</v>
      </c>
      <c r="K1932" s="204" t="s">
        <v>1596</v>
      </c>
      <c r="L1932" s="199">
        <v>1</v>
      </c>
      <c r="M1932" s="200">
        <v>0.8</v>
      </c>
      <c r="N1932" s="201">
        <v>17</v>
      </c>
    </row>
    <row r="1933" spans="1:14">
      <c r="A1933" s="194">
        <v>41299.531168981484</v>
      </c>
      <c r="B1933" s="195">
        <v>2083</v>
      </c>
      <c r="C1933" s="194"/>
      <c r="D1933" s="194"/>
      <c r="E1933" s="198"/>
      <c r="G1933" s="202"/>
      <c r="J1933" s="195">
        <v>43</v>
      </c>
      <c r="K1933" s="204" t="s">
        <v>1596</v>
      </c>
      <c r="L1933" s="199">
        <v>2</v>
      </c>
      <c r="M1933" s="200">
        <v>0.8</v>
      </c>
      <c r="N1933" s="201">
        <v>18</v>
      </c>
    </row>
    <row r="1934" spans="1:14">
      <c r="A1934" s="194">
        <v>41296.124918981484</v>
      </c>
      <c r="B1934" s="195">
        <v>2083</v>
      </c>
      <c r="C1934" s="194"/>
      <c r="D1934" s="194"/>
      <c r="E1934" s="198"/>
      <c r="G1934" s="202"/>
      <c r="J1934" s="195">
        <v>43</v>
      </c>
      <c r="K1934" s="204" t="s">
        <v>1596</v>
      </c>
      <c r="L1934" s="199">
        <v>2</v>
      </c>
      <c r="M1934" s="200">
        <v>1</v>
      </c>
      <c r="N1934" s="201">
        <v>20</v>
      </c>
    </row>
    <row r="1935" spans="1:14">
      <c r="A1935" s="194">
        <v>41282.879861111112</v>
      </c>
      <c r="B1935" s="195">
        <v>2091</v>
      </c>
      <c r="C1935" s="194"/>
      <c r="D1935" s="194"/>
      <c r="E1935" s="196" t="s">
        <v>288</v>
      </c>
      <c r="F1935" s="195">
        <v>456</v>
      </c>
      <c r="G1935" s="197" t="s">
        <v>141</v>
      </c>
      <c r="H1935" s="197" t="s">
        <v>223</v>
      </c>
      <c r="I1935" s="196" t="s">
        <v>226</v>
      </c>
      <c r="J1935" s="195">
        <v>1</v>
      </c>
      <c r="K1935" s="204" t="s">
        <v>224</v>
      </c>
      <c r="L1935" s="199">
        <v>1</v>
      </c>
      <c r="M1935" s="200">
        <v>0.9</v>
      </c>
      <c r="N1935" s="201">
        <v>15</v>
      </c>
    </row>
    <row r="1936" spans="1:14">
      <c r="A1936" s="194">
        <v>41293.33452546296</v>
      </c>
      <c r="B1936" s="195">
        <v>2091</v>
      </c>
      <c r="C1936" s="194"/>
      <c r="D1936" s="194"/>
      <c r="E1936" s="196" t="s">
        <v>335</v>
      </c>
      <c r="F1936" s="195">
        <v>456</v>
      </c>
      <c r="G1936" s="197" t="s">
        <v>141</v>
      </c>
      <c r="H1936" s="197" t="s">
        <v>223</v>
      </c>
      <c r="I1936" s="196" t="s">
        <v>226</v>
      </c>
      <c r="J1936" s="195">
        <v>1</v>
      </c>
      <c r="K1936" s="204" t="s">
        <v>224</v>
      </c>
      <c r="L1936" s="199">
        <v>1</v>
      </c>
      <c r="M1936" s="200">
        <v>0.4</v>
      </c>
      <c r="N1936" s="201">
        <v>16</v>
      </c>
    </row>
    <row r="1937" spans="1:14">
      <c r="A1937" s="194">
        <v>41275.448831018519</v>
      </c>
      <c r="B1937" s="195">
        <v>2091</v>
      </c>
      <c r="C1937" s="194"/>
      <c r="D1937" s="194"/>
      <c r="E1937" s="196" t="s">
        <v>228</v>
      </c>
      <c r="F1937" s="195">
        <v>456</v>
      </c>
      <c r="G1937" s="197" t="s">
        <v>141</v>
      </c>
      <c r="H1937" s="197" t="s">
        <v>223</v>
      </c>
      <c r="I1937" s="196" t="s">
        <v>226</v>
      </c>
      <c r="J1937" s="195">
        <v>1</v>
      </c>
      <c r="K1937" s="204" t="s">
        <v>224</v>
      </c>
      <c r="L1937" s="199">
        <v>1</v>
      </c>
      <c r="M1937" s="200">
        <v>0.3</v>
      </c>
      <c r="N1937" s="201">
        <v>17</v>
      </c>
    </row>
    <row r="1938" spans="1:14">
      <c r="A1938" s="194">
        <v>41293.888391203705</v>
      </c>
      <c r="B1938" s="195">
        <v>2091</v>
      </c>
      <c r="C1938" s="194"/>
      <c r="D1938" s="194"/>
      <c r="E1938" s="196" t="s">
        <v>338</v>
      </c>
      <c r="F1938" s="195">
        <v>456</v>
      </c>
      <c r="G1938" s="197" t="s">
        <v>141</v>
      </c>
      <c r="H1938" s="197" t="s">
        <v>223</v>
      </c>
      <c r="I1938" s="196" t="s">
        <v>226</v>
      </c>
      <c r="J1938" s="195">
        <v>1</v>
      </c>
      <c r="K1938" s="204" t="s">
        <v>224</v>
      </c>
      <c r="L1938" s="199">
        <v>1</v>
      </c>
      <c r="M1938" s="200">
        <v>0.5</v>
      </c>
      <c r="N1938" s="201">
        <v>18</v>
      </c>
    </row>
    <row r="1939" spans="1:14">
      <c r="A1939" s="194">
        <v>41304.510023148148</v>
      </c>
      <c r="B1939" s="195">
        <v>2091</v>
      </c>
      <c r="C1939" s="194"/>
      <c r="D1939" s="194"/>
      <c r="E1939" s="196" t="s">
        <v>399</v>
      </c>
      <c r="F1939" s="195">
        <v>456</v>
      </c>
      <c r="G1939" s="197" t="s">
        <v>141</v>
      </c>
      <c r="H1939" s="197" t="s">
        <v>223</v>
      </c>
      <c r="I1939" s="196" t="s">
        <v>226</v>
      </c>
      <c r="J1939" s="195">
        <v>1</v>
      </c>
      <c r="K1939" s="204" t="s">
        <v>224</v>
      </c>
      <c r="L1939" s="199">
        <v>1</v>
      </c>
      <c r="M1939" s="200">
        <v>0.9</v>
      </c>
      <c r="N1939" s="201">
        <v>18</v>
      </c>
    </row>
    <row r="1940" spans="1:14">
      <c r="A1940" s="194">
        <v>41284.525381944448</v>
      </c>
      <c r="B1940" s="195">
        <v>2091</v>
      </c>
      <c r="C1940" s="194"/>
      <c r="D1940" s="194"/>
      <c r="E1940" s="196" t="s">
        <v>295</v>
      </c>
      <c r="F1940" s="195">
        <v>456</v>
      </c>
      <c r="G1940" s="197" t="s">
        <v>141</v>
      </c>
      <c r="H1940" s="197" t="s">
        <v>223</v>
      </c>
      <c r="I1940" s="196" t="s">
        <v>226</v>
      </c>
      <c r="J1940" s="195">
        <v>1</v>
      </c>
      <c r="K1940" s="204" t="s">
        <v>224</v>
      </c>
      <c r="L1940" s="199">
        <v>1</v>
      </c>
      <c r="M1940" s="200">
        <v>1.3</v>
      </c>
      <c r="N1940" s="201">
        <v>18</v>
      </c>
    </row>
    <row r="1941" spans="1:14">
      <c r="A1941" s="194">
        <v>41302.582812499997</v>
      </c>
      <c r="B1941" s="195">
        <v>2091</v>
      </c>
      <c r="C1941" s="194"/>
      <c r="D1941" s="194"/>
      <c r="E1941" s="196" t="s">
        <v>379</v>
      </c>
      <c r="F1941" s="195">
        <v>456</v>
      </c>
      <c r="G1941" s="197" t="s">
        <v>141</v>
      </c>
      <c r="H1941" s="197" t="s">
        <v>223</v>
      </c>
      <c r="I1941" s="196" t="s">
        <v>226</v>
      </c>
      <c r="J1941" s="195">
        <v>1</v>
      </c>
      <c r="K1941" s="204" t="s">
        <v>224</v>
      </c>
      <c r="L1941" s="199">
        <v>2</v>
      </c>
      <c r="M1941" s="200">
        <v>0.3</v>
      </c>
      <c r="N1941" s="201">
        <v>24</v>
      </c>
    </row>
    <row r="1942" spans="1:14">
      <c r="A1942" s="194">
        <v>41302.591504629629</v>
      </c>
      <c r="B1942" s="195">
        <v>2091</v>
      </c>
      <c r="C1942" s="194"/>
      <c r="D1942" s="194"/>
      <c r="E1942" s="196" t="s">
        <v>380</v>
      </c>
      <c r="F1942" s="195">
        <v>456</v>
      </c>
      <c r="G1942" s="197" t="s">
        <v>141</v>
      </c>
      <c r="H1942" s="197" t="s">
        <v>223</v>
      </c>
      <c r="I1942" s="196" t="s">
        <v>226</v>
      </c>
      <c r="J1942" s="195">
        <v>1</v>
      </c>
      <c r="K1942" s="204" t="s">
        <v>224</v>
      </c>
      <c r="L1942" s="199">
        <v>2</v>
      </c>
      <c r="M1942" s="200">
        <v>0.5</v>
      </c>
      <c r="N1942" s="201">
        <v>24</v>
      </c>
    </row>
    <row r="1943" spans="1:14">
      <c r="A1943" s="194">
        <v>41300.530821759261</v>
      </c>
      <c r="B1943" s="195">
        <v>2091</v>
      </c>
      <c r="C1943" s="194"/>
      <c r="D1943" s="194"/>
      <c r="E1943" s="196" t="s">
        <v>373</v>
      </c>
      <c r="F1943" s="195">
        <v>456</v>
      </c>
      <c r="G1943" s="197" t="s">
        <v>141</v>
      </c>
      <c r="H1943" s="197" t="s">
        <v>223</v>
      </c>
      <c r="I1943" s="196" t="s">
        <v>226</v>
      </c>
      <c r="J1943" s="195">
        <v>1</v>
      </c>
      <c r="K1943" s="204" t="s">
        <v>224</v>
      </c>
      <c r="L1943" s="199">
        <v>1</v>
      </c>
      <c r="M1943" s="200">
        <v>1.1000000000000001</v>
      </c>
      <c r="N1943" s="201">
        <v>26</v>
      </c>
    </row>
    <row r="1944" spans="1:14">
      <c r="A1944" s="194">
        <v>41284.496724537035</v>
      </c>
      <c r="B1944" s="195">
        <v>2091</v>
      </c>
      <c r="C1944" s="194"/>
      <c r="D1944" s="194"/>
      <c r="E1944" s="196" t="s">
        <v>293</v>
      </c>
      <c r="F1944" s="195">
        <v>456</v>
      </c>
      <c r="G1944" s="197" t="s">
        <v>141</v>
      </c>
      <c r="H1944" s="197" t="s">
        <v>223</v>
      </c>
      <c r="I1944" s="196" t="s">
        <v>226</v>
      </c>
      <c r="J1944" s="195">
        <v>1</v>
      </c>
      <c r="K1944" s="204" t="s">
        <v>224</v>
      </c>
      <c r="L1944" s="199">
        <v>1</v>
      </c>
      <c r="M1944" s="200">
        <v>0.6</v>
      </c>
      <c r="N1944" s="201">
        <v>27</v>
      </c>
    </row>
    <row r="1945" spans="1:14">
      <c r="A1945" s="194">
        <v>41286.64166666667</v>
      </c>
      <c r="B1945" s="195">
        <v>2091</v>
      </c>
      <c r="C1945" s="194"/>
      <c r="D1945" s="194"/>
      <c r="E1945" s="196" t="s">
        <v>305</v>
      </c>
      <c r="F1945" s="195">
        <v>456</v>
      </c>
      <c r="G1945" s="197" t="s">
        <v>141</v>
      </c>
      <c r="H1945" s="197" t="s">
        <v>223</v>
      </c>
      <c r="I1945" s="196" t="s">
        <v>226</v>
      </c>
      <c r="J1945" s="195">
        <v>1</v>
      </c>
      <c r="K1945" s="204" t="s">
        <v>224</v>
      </c>
      <c r="L1945" s="199">
        <v>1</v>
      </c>
      <c r="M1945" s="200">
        <v>0.4</v>
      </c>
      <c r="N1945" s="201">
        <v>28</v>
      </c>
    </row>
    <row r="1946" spans="1:14">
      <c r="A1946" s="194">
        <v>41299.596736111111</v>
      </c>
      <c r="B1946" s="195">
        <v>2091</v>
      </c>
      <c r="C1946" s="194"/>
      <c r="D1946" s="194"/>
      <c r="E1946" s="196" t="s">
        <v>361</v>
      </c>
      <c r="F1946" s="195">
        <v>456</v>
      </c>
      <c r="G1946" s="197" t="s">
        <v>141</v>
      </c>
      <c r="H1946" s="197" t="s">
        <v>223</v>
      </c>
      <c r="I1946" s="196" t="s">
        <v>226</v>
      </c>
      <c r="J1946" s="195">
        <v>1</v>
      </c>
      <c r="K1946" s="204" t="s">
        <v>224</v>
      </c>
      <c r="L1946" s="199">
        <v>1</v>
      </c>
      <c r="M1946" s="200">
        <v>0.6</v>
      </c>
      <c r="N1946" s="201">
        <v>30</v>
      </c>
    </row>
    <row r="1947" spans="1:14">
      <c r="A1947" s="194">
        <v>41280.728425925925</v>
      </c>
      <c r="B1947" s="195">
        <v>2091</v>
      </c>
      <c r="C1947" s="194"/>
      <c r="D1947" s="194"/>
      <c r="E1947" s="196" t="s">
        <v>252</v>
      </c>
      <c r="F1947" s="195">
        <v>456</v>
      </c>
      <c r="G1947" s="197" t="s">
        <v>141</v>
      </c>
      <c r="H1947" s="197" t="s">
        <v>223</v>
      </c>
      <c r="I1947" s="196" t="s">
        <v>226</v>
      </c>
      <c r="J1947" s="195">
        <v>1</v>
      </c>
      <c r="K1947" s="204" t="s">
        <v>224</v>
      </c>
      <c r="L1947" s="199">
        <v>2</v>
      </c>
      <c r="M1947" s="200">
        <v>0.7</v>
      </c>
      <c r="N1947" s="201">
        <v>30</v>
      </c>
    </row>
    <row r="1948" spans="1:14">
      <c r="A1948" s="194">
        <v>41293.618402777778</v>
      </c>
      <c r="B1948" s="195">
        <v>2091</v>
      </c>
      <c r="C1948" s="194"/>
      <c r="D1948" s="194"/>
      <c r="E1948" s="196" t="s">
        <v>336</v>
      </c>
      <c r="F1948" s="195">
        <v>456</v>
      </c>
      <c r="G1948" s="197" t="s">
        <v>141</v>
      </c>
      <c r="H1948" s="197" t="s">
        <v>223</v>
      </c>
      <c r="I1948" s="196" t="s">
        <v>226</v>
      </c>
      <c r="J1948" s="195">
        <v>1</v>
      </c>
      <c r="K1948" s="204" t="s">
        <v>224</v>
      </c>
      <c r="L1948" s="199">
        <v>2</v>
      </c>
      <c r="M1948" s="200">
        <v>0.9</v>
      </c>
      <c r="N1948" s="201">
        <v>31</v>
      </c>
    </row>
    <row r="1949" spans="1:14">
      <c r="A1949" s="194">
        <v>41300.516921296294</v>
      </c>
      <c r="B1949" s="195">
        <v>2091</v>
      </c>
      <c r="C1949" s="194"/>
      <c r="D1949" s="194"/>
      <c r="E1949" s="196" t="s">
        <v>372</v>
      </c>
      <c r="F1949" s="195">
        <v>456</v>
      </c>
      <c r="G1949" s="197" t="s">
        <v>141</v>
      </c>
      <c r="H1949" s="197" t="s">
        <v>223</v>
      </c>
      <c r="I1949" s="196" t="s">
        <v>226</v>
      </c>
      <c r="J1949" s="195">
        <v>1</v>
      </c>
      <c r="K1949" s="204" t="s">
        <v>224</v>
      </c>
      <c r="L1949" s="199">
        <v>2</v>
      </c>
      <c r="M1949" s="200">
        <v>0.3</v>
      </c>
      <c r="N1949" s="201">
        <v>32</v>
      </c>
    </row>
    <row r="1950" spans="1:14">
      <c r="A1950" s="194">
        <v>41293.622743055559</v>
      </c>
      <c r="B1950" s="195">
        <v>2091</v>
      </c>
      <c r="C1950" s="194"/>
      <c r="D1950" s="194"/>
      <c r="E1950" s="196" t="s">
        <v>337</v>
      </c>
      <c r="F1950" s="195">
        <v>456</v>
      </c>
      <c r="G1950" s="197" t="s">
        <v>141</v>
      </c>
      <c r="H1950" s="197" t="s">
        <v>223</v>
      </c>
      <c r="I1950" s="196" t="s">
        <v>226</v>
      </c>
      <c r="J1950" s="195">
        <v>1</v>
      </c>
      <c r="K1950" s="204" t="s">
        <v>224</v>
      </c>
      <c r="L1950" s="199">
        <v>1</v>
      </c>
      <c r="M1950" s="200">
        <v>0.6</v>
      </c>
      <c r="N1950" s="201">
        <v>32</v>
      </c>
    </row>
    <row r="1951" spans="1:14">
      <c r="A1951" s="194">
        <v>41300.008194444446</v>
      </c>
      <c r="B1951" s="195">
        <v>2091</v>
      </c>
      <c r="C1951" s="194"/>
      <c r="D1951" s="194"/>
      <c r="E1951" s="196" t="s">
        <v>371</v>
      </c>
      <c r="F1951" s="195">
        <v>456</v>
      </c>
      <c r="G1951" s="197" t="s">
        <v>141</v>
      </c>
      <c r="H1951" s="197" t="s">
        <v>223</v>
      </c>
      <c r="I1951" s="196" t="s">
        <v>226</v>
      </c>
      <c r="J1951" s="195">
        <v>1</v>
      </c>
      <c r="K1951" s="204" t="s">
        <v>224</v>
      </c>
      <c r="L1951" s="199">
        <v>2</v>
      </c>
      <c r="M1951" s="200">
        <v>0.3</v>
      </c>
      <c r="N1951" s="201">
        <v>37</v>
      </c>
    </row>
    <row r="1952" spans="1:14">
      <c r="A1952" s="194">
        <v>41287.537499999999</v>
      </c>
      <c r="B1952" s="195">
        <v>2091</v>
      </c>
      <c r="C1952" s="194"/>
      <c r="D1952" s="194"/>
      <c r="E1952" s="196" t="s">
        <v>297</v>
      </c>
      <c r="F1952" s="195">
        <v>456</v>
      </c>
      <c r="G1952" s="197" t="s">
        <v>141</v>
      </c>
      <c r="H1952" s="197" t="s">
        <v>223</v>
      </c>
      <c r="I1952" s="196" t="s">
        <v>226</v>
      </c>
      <c r="J1952" s="195">
        <v>1</v>
      </c>
      <c r="K1952" s="204" t="s">
        <v>224</v>
      </c>
      <c r="L1952" s="199">
        <v>2</v>
      </c>
      <c r="M1952" s="200">
        <v>0.4</v>
      </c>
      <c r="N1952" s="201">
        <v>40</v>
      </c>
    </row>
    <row r="1953" spans="1:14">
      <c r="A1953" s="194">
        <v>41287.57916666667</v>
      </c>
      <c r="B1953" s="195">
        <v>2091</v>
      </c>
      <c r="C1953" s="194"/>
      <c r="D1953" s="194"/>
      <c r="E1953" s="196" t="s">
        <v>846</v>
      </c>
      <c r="F1953" s="195">
        <v>800</v>
      </c>
      <c r="G1953" s="197" t="s">
        <v>470</v>
      </c>
      <c r="H1953" s="197" t="s">
        <v>471</v>
      </c>
      <c r="J1953" s="195">
        <v>1</v>
      </c>
      <c r="K1953" s="204" t="s">
        <v>224</v>
      </c>
      <c r="L1953" s="199">
        <v>1</v>
      </c>
      <c r="M1953" s="200">
        <v>0.3</v>
      </c>
      <c r="N1953" s="201">
        <v>16</v>
      </c>
    </row>
    <row r="1954" spans="1:14">
      <c r="A1954" s="194">
        <v>41286.415972222225</v>
      </c>
      <c r="B1954" s="195">
        <v>2091</v>
      </c>
      <c r="C1954" s="194"/>
      <c r="D1954" s="194"/>
      <c r="E1954" s="196" t="s">
        <v>906</v>
      </c>
      <c r="F1954" s="195">
        <v>800</v>
      </c>
      <c r="G1954" s="197" t="s">
        <v>470</v>
      </c>
      <c r="H1954" s="197" t="s">
        <v>471</v>
      </c>
      <c r="J1954" s="195">
        <v>1</v>
      </c>
      <c r="K1954" s="204" t="s">
        <v>224</v>
      </c>
      <c r="L1954" s="199">
        <v>1</v>
      </c>
      <c r="M1954" s="200">
        <v>0.5</v>
      </c>
      <c r="N1954" s="201">
        <v>18</v>
      </c>
    </row>
    <row r="1955" spans="1:14">
      <c r="A1955" s="194">
        <v>41302.844976851855</v>
      </c>
      <c r="B1955" s="195">
        <v>2091</v>
      </c>
      <c r="C1955" s="194"/>
      <c r="D1955" s="194"/>
      <c r="E1955" s="196" t="s">
        <v>1471</v>
      </c>
      <c r="F1955" s="195">
        <v>800</v>
      </c>
      <c r="G1955" s="197" t="s">
        <v>470</v>
      </c>
      <c r="H1955" s="197" t="s">
        <v>471</v>
      </c>
      <c r="J1955" s="195">
        <v>1</v>
      </c>
      <c r="K1955" s="204" t="s">
        <v>224</v>
      </c>
      <c r="L1955" s="199">
        <v>1</v>
      </c>
      <c r="M1955" s="200">
        <v>1</v>
      </c>
      <c r="N1955" s="201">
        <v>18</v>
      </c>
    </row>
    <row r="1956" spans="1:14">
      <c r="A1956" s="194">
        <v>41289.817766203705</v>
      </c>
      <c r="B1956" s="195">
        <v>2091</v>
      </c>
      <c r="C1956" s="194"/>
      <c r="D1956" s="194"/>
      <c r="E1956" s="196" t="s">
        <v>1005</v>
      </c>
      <c r="F1956" s="195">
        <v>800</v>
      </c>
      <c r="G1956" s="197" t="s">
        <v>470</v>
      </c>
      <c r="H1956" s="197" t="s">
        <v>471</v>
      </c>
      <c r="J1956" s="195">
        <v>1</v>
      </c>
      <c r="K1956" s="204" t="s">
        <v>224</v>
      </c>
      <c r="L1956" s="199">
        <v>1</v>
      </c>
      <c r="M1956" s="200">
        <v>1.1000000000000001</v>
      </c>
      <c r="N1956" s="201">
        <v>18</v>
      </c>
    </row>
    <row r="1957" spans="1:14">
      <c r="A1957" s="194">
        <v>41293.82068287037</v>
      </c>
      <c r="B1957" s="195">
        <v>2091</v>
      </c>
      <c r="C1957" s="194"/>
      <c r="D1957" s="194"/>
      <c r="E1957" s="196" t="s">
        <v>1201</v>
      </c>
      <c r="F1957" s="195">
        <v>800</v>
      </c>
      <c r="G1957" s="197" t="s">
        <v>470</v>
      </c>
      <c r="H1957" s="197" t="s">
        <v>471</v>
      </c>
      <c r="J1957" s="195">
        <v>1</v>
      </c>
      <c r="K1957" s="204" t="s">
        <v>224</v>
      </c>
      <c r="L1957" s="199">
        <v>1</v>
      </c>
      <c r="M1957" s="200">
        <v>0.5</v>
      </c>
      <c r="N1957" s="201">
        <v>19</v>
      </c>
    </row>
    <row r="1958" spans="1:14">
      <c r="A1958" s="194">
        <v>41298.881423611114</v>
      </c>
      <c r="B1958" s="195">
        <v>2091</v>
      </c>
      <c r="C1958" s="194"/>
      <c r="D1958" s="194"/>
      <c r="E1958" s="196" t="s">
        <v>1324</v>
      </c>
      <c r="F1958" s="195">
        <v>800</v>
      </c>
      <c r="G1958" s="197" t="s">
        <v>470</v>
      </c>
      <c r="H1958" s="197" t="s">
        <v>471</v>
      </c>
      <c r="J1958" s="195">
        <v>1</v>
      </c>
      <c r="K1958" s="204" t="s">
        <v>224</v>
      </c>
      <c r="L1958" s="199">
        <v>2</v>
      </c>
      <c r="M1958" s="200">
        <v>0.8</v>
      </c>
      <c r="N1958" s="201">
        <v>19</v>
      </c>
    </row>
    <row r="1959" spans="1:14">
      <c r="A1959" s="194">
        <v>41286.673807870371</v>
      </c>
      <c r="B1959" s="195">
        <v>2091</v>
      </c>
      <c r="C1959" s="194"/>
      <c r="D1959" s="194"/>
      <c r="E1959" s="196" t="s">
        <v>907</v>
      </c>
      <c r="F1959" s="195">
        <v>800</v>
      </c>
      <c r="G1959" s="197" t="s">
        <v>470</v>
      </c>
      <c r="H1959" s="197" t="s">
        <v>471</v>
      </c>
      <c r="J1959" s="195">
        <v>1</v>
      </c>
      <c r="K1959" s="204" t="s">
        <v>224</v>
      </c>
      <c r="L1959" s="199">
        <v>1</v>
      </c>
      <c r="M1959" s="200">
        <v>1.2</v>
      </c>
      <c r="N1959" s="201">
        <v>21</v>
      </c>
    </row>
    <row r="1960" spans="1:14">
      <c r="A1960" s="194">
        <v>41300.668819444443</v>
      </c>
      <c r="B1960" s="195">
        <v>2091</v>
      </c>
      <c r="C1960" s="194"/>
      <c r="D1960" s="194"/>
      <c r="E1960" s="196" t="s">
        <v>1441</v>
      </c>
      <c r="F1960" s="195">
        <v>800</v>
      </c>
      <c r="G1960" s="197" t="s">
        <v>470</v>
      </c>
      <c r="H1960" s="197" t="s">
        <v>471</v>
      </c>
      <c r="J1960" s="195">
        <v>1</v>
      </c>
      <c r="K1960" s="204" t="s">
        <v>224</v>
      </c>
      <c r="L1960" s="199">
        <v>1</v>
      </c>
      <c r="M1960" s="200">
        <v>0.4</v>
      </c>
      <c r="N1960" s="201">
        <v>23</v>
      </c>
    </row>
    <row r="1961" spans="1:14">
      <c r="A1961" s="194">
        <v>41291.455138888887</v>
      </c>
      <c r="B1961" s="195">
        <v>2091</v>
      </c>
      <c r="C1961" s="194"/>
      <c r="D1961" s="194"/>
      <c r="E1961" s="196" t="s">
        <v>1104</v>
      </c>
      <c r="F1961" s="195">
        <v>800</v>
      </c>
      <c r="G1961" s="197" t="s">
        <v>470</v>
      </c>
      <c r="H1961" s="197" t="s">
        <v>471</v>
      </c>
      <c r="J1961" s="195">
        <v>1</v>
      </c>
      <c r="K1961" s="204" t="s">
        <v>224</v>
      </c>
      <c r="L1961" s="199">
        <v>2</v>
      </c>
      <c r="M1961" s="200">
        <v>0.6</v>
      </c>
      <c r="N1961" s="201">
        <v>23</v>
      </c>
    </row>
    <row r="1962" spans="1:14">
      <c r="A1962" s="194">
        <v>41294.502870370372</v>
      </c>
      <c r="B1962" s="195">
        <v>2091</v>
      </c>
      <c r="C1962" s="194"/>
      <c r="D1962" s="194"/>
      <c r="E1962" s="196" t="s">
        <v>1156</v>
      </c>
      <c r="F1962" s="195">
        <v>800</v>
      </c>
      <c r="G1962" s="197" t="s">
        <v>470</v>
      </c>
      <c r="H1962" s="197" t="s">
        <v>471</v>
      </c>
      <c r="J1962" s="195">
        <v>1</v>
      </c>
      <c r="K1962" s="204" t="s">
        <v>224</v>
      </c>
      <c r="L1962" s="199">
        <v>1</v>
      </c>
      <c r="M1962" s="200">
        <v>1.9</v>
      </c>
      <c r="N1962" s="201">
        <v>23</v>
      </c>
    </row>
    <row r="1963" spans="1:14">
      <c r="A1963" s="194">
        <v>41286.411631944444</v>
      </c>
      <c r="B1963" s="195">
        <v>2091</v>
      </c>
      <c r="C1963" s="194"/>
      <c r="D1963" s="194"/>
      <c r="E1963" s="196" t="s">
        <v>905</v>
      </c>
      <c r="F1963" s="195">
        <v>800</v>
      </c>
      <c r="G1963" s="197" t="s">
        <v>470</v>
      </c>
      <c r="H1963" s="197" t="s">
        <v>471</v>
      </c>
      <c r="J1963" s="195">
        <v>1</v>
      </c>
      <c r="K1963" s="204" t="s">
        <v>224</v>
      </c>
      <c r="L1963" s="199">
        <v>1</v>
      </c>
      <c r="M1963" s="200">
        <v>0.3</v>
      </c>
      <c r="N1963" s="201">
        <v>25</v>
      </c>
    </row>
    <row r="1964" spans="1:14">
      <c r="A1964" s="194">
        <v>41301.753958333335</v>
      </c>
      <c r="B1964" s="195">
        <v>2091</v>
      </c>
      <c r="C1964" s="194"/>
      <c r="D1964" s="194"/>
      <c r="E1964" s="196" t="s">
        <v>1411</v>
      </c>
      <c r="F1964" s="195">
        <v>800</v>
      </c>
      <c r="G1964" s="197" t="s">
        <v>470</v>
      </c>
      <c r="H1964" s="197" t="s">
        <v>471</v>
      </c>
      <c r="J1964" s="195">
        <v>1</v>
      </c>
      <c r="K1964" s="204" t="s">
        <v>224</v>
      </c>
      <c r="L1964" s="199">
        <v>2</v>
      </c>
      <c r="M1964" s="200">
        <v>0.4</v>
      </c>
      <c r="N1964" s="201">
        <v>25</v>
      </c>
    </row>
    <row r="1965" spans="1:14">
      <c r="A1965" s="194">
        <v>41291.60733796296</v>
      </c>
      <c r="B1965" s="195">
        <v>2091</v>
      </c>
      <c r="C1965" s="194"/>
      <c r="D1965" s="194"/>
      <c r="E1965" s="196" t="s">
        <v>1106</v>
      </c>
      <c r="F1965" s="195">
        <v>800</v>
      </c>
      <c r="G1965" s="197" t="s">
        <v>470</v>
      </c>
      <c r="H1965" s="197" t="s">
        <v>471</v>
      </c>
      <c r="J1965" s="195">
        <v>1</v>
      </c>
      <c r="K1965" s="204" t="s">
        <v>224</v>
      </c>
      <c r="L1965" s="199">
        <v>2</v>
      </c>
      <c r="M1965" s="200">
        <v>0.5</v>
      </c>
      <c r="N1965" s="201">
        <v>25</v>
      </c>
    </row>
    <row r="1966" spans="1:14">
      <c r="A1966" s="194">
        <v>41292.520243055558</v>
      </c>
      <c r="B1966" s="195">
        <v>2091</v>
      </c>
      <c r="C1966" s="194"/>
      <c r="D1966" s="194"/>
      <c r="E1966" s="196" t="s">
        <v>1154</v>
      </c>
      <c r="F1966" s="195">
        <v>800</v>
      </c>
      <c r="G1966" s="197" t="s">
        <v>470</v>
      </c>
      <c r="H1966" s="197" t="s">
        <v>471</v>
      </c>
      <c r="J1966" s="195">
        <v>1</v>
      </c>
      <c r="K1966" s="204" t="s">
        <v>224</v>
      </c>
      <c r="L1966" s="199">
        <v>2</v>
      </c>
      <c r="M1966" s="200">
        <v>0.6</v>
      </c>
      <c r="N1966" s="201">
        <v>25</v>
      </c>
    </row>
    <row r="1967" spans="1:14">
      <c r="A1967" s="194">
        <v>41299.573310185187</v>
      </c>
      <c r="B1967" s="195">
        <v>2091</v>
      </c>
      <c r="C1967" s="194"/>
      <c r="D1967" s="194"/>
      <c r="E1967" s="196" t="s">
        <v>1387</v>
      </c>
      <c r="F1967" s="195">
        <v>800</v>
      </c>
      <c r="G1967" s="197" t="s">
        <v>470</v>
      </c>
      <c r="H1967" s="197" t="s">
        <v>471</v>
      </c>
      <c r="J1967" s="195">
        <v>1</v>
      </c>
      <c r="K1967" s="204" t="s">
        <v>224</v>
      </c>
      <c r="L1967" s="199">
        <v>2</v>
      </c>
      <c r="M1967" s="200">
        <v>1.1000000000000001</v>
      </c>
      <c r="N1967" s="201">
        <v>25</v>
      </c>
    </row>
    <row r="1968" spans="1:14">
      <c r="A1968" s="194">
        <v>41302.433564814812</v>
      </c>
      <c r="B1968" s="195">
        <v>2091</v>
      </c>
      <c r="C1968" s="194"/>
      <c r="D1968" s="194"/>
      <c r="E1968" s="196" t="s">
        <v>1469</v>
      </c>
      <c r="F1968" s="195">
        <v>800</v>
      </c>
      <c r="G1968" s="197" t="s">
        <v>470</v>
      </c>
      <c r="H1968" s="197" t="s">
        <v>471</v>
      </c>
      <c r="J1968" s="195">
        <v>1</v>
      </c>
      <c r="K1968" s="204" t="s">
        <v>224</v>
      </c>
      <c r="L1968" s="199">
        <v>1</v>
      </c>
      <c r="M1968" s="200">
        <v>0.4</v>
      </c>
      <c r="N1968" s="201">
        <v>27</v>
      </c>
    </row>
    <row r="1969" spans="1:14">
      <c r="A1969" s="194">
        <v>41298.871863425928</v>
      </c>
      <c r="B1969" s="195">
        <v>2091</v>
      </c>
      <c r="C1969" s="194"/>
      <c r="D1969" s="194"/>
      <c r="E1969" s="196" t="s">
        <v>1323</v>
      </c>
      <c r="F1969" s="195">
        <v>800</v>
      </c>
      <c r="G1969" s="197" t="s">
        <v>470</v>
      </c>
      <c r="H1969" s="197" t="s">
        <v>471</v>
      </c>
      <c r="J1969" s="195">
        <v>1</v>
      </c>
      <c r="K1969" s="204" t="s">
        <v>224</v>
      </c>
      <c r="L1969" s="199">
        <v>1</v>
      </c>
      <c r="M1969" s="200">
        <v>0.7</v>
      </c>
      <c r="N1969" s="201">
        <v>27</v>
      </c>
    </row>
    <row r="1970" spans="1:14">
      <c r="A1970" s="194">
        <v>41278.600787037038</v>
      </c>
      <c r="B1970" s="195">
        <v>2091</v>
      </c>
      <c r="C1970" s="194"/>
      <c r="D1970" s="194"/>
      <c r="E1970" s="196" t="s">
        <v>597</v>
      </c>
      <c r="F1970" s="195">
        <v>800</v>
      </c>
      <c r="G1970" s="197" t="s">
        <v>470</v>
      </c>
      <c r="H1970" s="197" t="s">
        <v>471</v>
      </c>
      <c r="J1970" s="195">
        <v>1</v>
      </c>
      <c r="K1970" s="204" t="s">
        <v>224</v>
      </c>
      <c r="L1970" s="199">
        <v>1</v>
      </c>
      <c r="M1970" s="200">
        <v>0.4</v>
      </c>
      <c r="N1970" s="201">
        <v>28</v>
      </c>
    </row>
    <row r="1971" spans="1:14">
      <c r="A1971" s="194">
        <v>41302.580208333333</v>
      </c>
      <c r="B1971" s="195">
        <v>2091</v>
      </c>
      <c r="C1971" s="194"/>
      <c r="D1971" s="194"/>
      <c r="E1971" s="196" t="s">
        <v>1470</v>
      </c>
      <c r="F1971" s="195">
        <v>800</v>
      </c>
      <c r="G1971" s="197" t="s">
        <v>470</v>
      </c>
      <c r="H1971" s="197" t="s">
        <v>471</v>
      </c>
      <c r="J1971" s="195">
        <v>1</v>
      </c>
      <c r="K1971" s="204" t="s">
        <v>224</v>
      </c>
      <c r="L1971" s="199">
        <v>2</v>
      </c>
      <c r="M1971" s="200">
        <v>0.4</v>
      </c>
      <c r="N1971" s="201">
        <v>28</v>
      </c>
    </row>
    <row r="1972" spans="1:14">
      <c r="A1972" s="194">
        <v>41304.423229166663</v>
      </c>
      <c r="B1972" s="195">
        <v>2091</v>
      </c>
      <c r="C1972" s="194"/>
      <c r="D1972" s="194"/>
      <c r="E1972" s="196" t="s">
        <v>1546</v>
      </c>
      <c r="F1972" s="195">
        <v>800</v>
      </c>
      <c r="G1972" s="197" t="s">
        <v>470</v>
      </c>
      <c r="H1972" s="197" t="s">
        <v>471</v>
      </c>
      <c r="J1972" s="195">
        <v>1</v>
      </c>
      <c r="K1972" s="204" t="s">
        <v>224</v>
      </c>
      <c r="L1972" s="199">
        <v>1</v>
      </c>
      <c r="M1972" s="200">
        <v>0.4</v>
      </c>
      <c r="N1972" s="201">
        <v>28</v>
      </c>
    </row>
    <row r="1973" spans="1:14">
      <c r="A1973" s="194">
        <v>41287.692037037035</v>
      </c>
      <c r="B1973" s="195">
        <v>2091</v>
      </c>
      <c r="C1973" s="194"/>
      <c r="D1973" s="194"/>
      <c r="E1973" s="196" t="s">
        <v>847</v>
      </c>
      <c r="F1973" s="195">
        <v>800</v>
      </c>
      <c r="G1973" s="197" t="s">
        <v>470</v>
      </c>
      <c r="H1973" s="197" t="s">
        <v>471</v>
      </c>
      <c r="J1973" s="195">
        <v>1</v>
      </c>
      <c r="K1973" s="204" t="s">
        <v>224</v>
      </c>
      <c r="L1973" s="199">
        <v>1</v>
      </c>
      <c r="M1973" s="200">
        <v>0.8</v>
      </c>
      <c r="N1973" s="201">
        <v>28</v>
      </c>
    </row>
    <row r="1974" spans="1:14">
      <c r="A1974" s="194">
        <v>41298.361620370371</v>
      </c>
      <c r="B1974" s="195">
        <v>2091</v>
      </c>
      <c r="C1974" s="194"/>
      <c r="D1974" s="194"/>
      <c r="E1974" s="196" t="s">
        <v>1318</v>
      </c>
      <c r="F1974" s="195">
        <v>800</v>
      </c>
      <c r="G1974" s="197" t="s">
        <v>470</v>
      </c>
      <c r="H1974" s="197" t="s">
        <v>471</v>
      </c>
      <c r="J1974" s="195">
        <v>1</v>
      </c>
      <c r="K1974" s="204" t="s">
        <v>224</v>
      </c>
      <c r="L1974" s="199">
        <v>2</v>
      </c>
      <c r="M1974" s="200">
        <v>0.4</v>
      </c>
      <c r="N1974" s="201">
        <v>29</v>
      </c>
    </row>
    <row r="1975" spans="1:14">
      <c r="A1975" s="194">
        <v>41299.450914351852</v>
      </c>
      <c r="B1975" s="195">
        <v>2091</v>
      </c>
      <c r="C1975" s="194"/>
      <c r="D1975" s="194"/>
      <c r="E1975" s="196" t="s">
        <v>1385</v>
      </c>
      <c r="F1975" s="195">
        <v>800</v>
      </c>
      <c r="G1975" s="197" t="s">
        <v>470</v>
      </c>
      <c r="H1975" s="197" t="s">
        <v>471</v>
      </c>
      <c r="J1975" s="195">
        <v>1</v>
      </c>
      <c r="K1975" s="204" t="s">
        <v>224</v>
      </c>
      <c r="L1975" s="199">
        <v>2</v>
      </c>
      <c r="M1975" s="200">
        <v>0.7</v>
      </c>
      <c r="N1975" s="201">
        <v>29</v>
      </c>
    </row>
    <row r="1976" spans="1:14">
      <c r="A1976" s="194">
        <v>41290.704201388886</v>
      </c>
      <c r="B1976" s="195">
        <v>2091</v>
      </c>
      <c r="C1976" s="194"/>
      <c r="D1976" s="194"/>
      <c r="E1976" s="196" t="s">
        <v>1044</v>
      </c>
      <c r="F1976" s="195">
        <v>800</v>
      </c>
      <c r="G1976" s="197" t="s">
        <v>470</v>
      </c>
      <c r="H1976" s="197" t="s">
        <v>471</v>
      </c>
      <c r="J1976" s="195">
        <v>1</v>
      </c>
      <c r="K1976" s="204" t="s">
        <v>224</v>
      </c>
      <c r="L1976" s="199">
        <v>2</v>
      </c>
      <c r="M1976" s="200">
        <v>0.8</v>
      </c>
      <c r="N1976" s="201">
        <v>29</v>
      </c>
    </row>
    <row r="1977" spans="1:14">
      <c r="A1977" s="194">
        <v>41305.891967592594</v>
      </c>
      <c r="B1977" s="195">
        <v>2091</v>
      </c>
      <c r="C1977" s="194"/>
      <c r="D1977" s="194"/>
      <c r="E1977" s="196" t="s">
        <v>1582</v>
      </c>
      <c r="F1977" s="195">
        <v>800</v>
      </c>
      <c r="G1977" s="197" t="s">
        <v>470</v>
      </c>
      <c r="H1977" s="197" t="s">
        <v>471</v>
      </c>
      <c r="J1977" s="195">
        <v>1</v>
      </c>
      <c r="K1977" s="204" t="s">
        <v>224</v>
      </c>
      <c r="L1977" s="199">
        <v>2</v>
      </c>
      <c r="M1977" s="200">
        <v>0.8</v>
      </c>
      <c r="N1977" s="201">
        <v>29</v>
      </c>
    </row>
    <row r="1978" spans="1:14">
      <c r="A1978" s="194">
        <v>41294.442129629628</v>
      </c>
      <c r="B1978" s="195">
        <v>2091</v>
      </c>
      <c r="C1978" s="194"/>
      <c r="D1978" s="194"/>
      <c r="E1978" s="196" t="s">
        <v>1153</v>
      </c>
      <c r="F1978" s="195">
        <v>800</v>
      </c>
      <c r="G1978" s="197" t="s">
        <v>470</v>
      </c>
      <c r="H1978" s="197" t="s">
        <v>471</v>
      </c>
      <c r="J1978" s="195">
        <v>1</v>
      </c>
      <c r="K1978" s="204" t="s">
        <v>224</v>
      </c>
      <c r="L1978" s="199">
        <v>2</v>
      </c>
      <c r="M1978" s="200">
        <v>1.6</v>
      </c>
      <c r="N1978" s="201">
        <v>29</v>
      </c>
    </row>
    <row r="1979" spans="1:14">
      <c r="A1979" s="194">
        <v>41289.675034722219</v>
      </c>
      <c r="B1979" s="195">
        <v>2091</v>
      </c>
      <c r="C1979" s="194"/>
      <c r="D1979" s="194"/>
      <c r="E1979" s="196" t="s">
        <v>1004</v>
      </c>
      <c r="F1979" s="195">
        <v>800</v>
      </c>
      <c r="G1979" s="197" t="s">
        <v>470</v>
      </c>
      <c r="H1979" s="197" t="s">
        <v>471</v>
      </c>
      <c r="J1979" s="195">
        <v>1</v>
      </c>
      <c r="K1979" s="204" t="s">
        <v>224</v>
      </c>
      <c r="L1979" s="199">
        <v>1</v>
      </c>
      <c r="M1979" s="200">
        <v>0.4</v>
      </c>
      <c r="N1979" s="201">
        <v>30</v>
      </c>
    </row>
    <row r="1980" spans="1:14">
      <c r="A1980" s="194">
        <v>41287.863912037035</v>
      </c>
      <c r="B1980" s="195">
        <v>2091</v>
      </c>
      <c r="C1980" s="194"/>
      <c r="D1980" s="194"/>
      <c r="E1980" s="196" t="s">
        <v>849</v>
      </c>
      <c r="F1980" s="195">
        <v>800</v>
      </c>
      <c r="G1980" s="197" t="s">
        <v>470</v>
      </c>
      <c r="H1980" s="197" t="s">
        <v>471</v>
      </c>
      <c r="J1980" s="195">
        <v>1</v>
      </c>
      <c r="K1980" s="204" t="s">
        <v>224</v>
      </c>
      <c r="L1980" s="199">
        <v>1</v>
      </c>
      <c r="M1980" s="200">
        <v>0.5</v>
      </c>
      <c r="N1980" s="201">
        <v>30</v>
      </c>
    </row>
    <row r="1981" spans="1:14">
      <c r="A1981" s="194">
        <v>41293.79550925926</v>
      </c>
      <c r="B1981" s="195">
        <v>2091</v>
      </c>
      <c r="C1981" s="194"/>
      <c r="D1981" s="194"/>
      <c r="E1981" s="196" t="s">
        <v>1200</v>
      </c>
      <c r="F1981" s="195">
        <v>800</v>
      </c>
      <c r="G1981" s="197" t="s">
        <v>470</v>
      </c>
      <c r="H1981" s="197" t="s">
        <v>471</v>
      </c>
      <c r="J1981" s="195">
        <v>1</v>
      </c>
      <c r="K1981" s="204" t="s">
        <v>224</v>
      </c>
      <c r="L1981" s="199">
        <v>2</v>
      </c>
      <c r="M1981" s="200">
        <v>0.5</v>
      </c>
      <c r="N1981" s="201">
        <v>30</v>
      </c>
    </row>
    <row r="1982" spans="1:14">
      <c r="A1982" s="194">
        <v>41299.939629629633</v>
      </c>
      <c r="B1982" s="195">
        <v>2091</v>
      </c>
      <c r="C1982" s="194"/>
      <c r="D1982" s="194"/>
      <c r="E1982" s="196" t="s">
        <v>1393</v>
      </c>
      <c r="F1982" s="195">
        <v>800</v>
      </c>
      <c r="G1982" s="197" t="s">
        <v>470</v>
      </c>
      <c r="H1982" s="197" t="s">
        <v>471</v>
      </c>
      <c r="J1982" s="195">
        <v>1</v>
      </c>
      <c r="K1982" s="204" t="s">
        <v>224</v>
      </c>
      <c r="L1982" s="199">
        <v>1</v>
      </c>
      <c r="M1982" s="200">
        <v>0.9</v>
      </c>
      <c r="N1982" s="201">
        <v>30</v>
      </c>
    </row>
    <row r="1983" spans="1:14">
      <c r="A1983" s="194">
        <v>41283.900694444441</v>
      </c>
      <c r="B1983" s="195">
        <v>2091</v>
      </c>
      <c r="C1983" s="194"/>
      <c r="D1983" s="194"/>
      <c r="E1983" s="196" t="s">
        <v>783</v>
      </c>
      <c r="F1983" s="195">
        <v>800</v>
      </c>
      <c r="G1983" s="197" t="s">
        <v>470</v>
      </c>
      <c r="H1983" s="197" t="s">
        <v>471</v>
      </c>
      <c r="J1983" s="195">
        <v>1</v>
      </c>
      <c r="K1983" s="204" t="s">
        <v>224</v>
      </c>
      <c r="L1983" s="199">
        <v>2</v>
      </c>
      <c r="M1983" s="200">
        <v>0.3</v>
      </c>
      <c r="N1983" s="201">
        <v>31</v>
      </c>
    </row>
    <row r="1984" spans="1:14">
      <c r="A1984" s="194">
        <v>41276.866331018522</v>
      </c>
      <c r="B1984" s="195">
        <v>2091</v>
      </c>
      <c r="C1984" s="194"/>
      <c r="D1984" s="194"/>
      <c r="E1984" s="196" t="s">
        <v>519</v>
      </c>
      <c r="F1984" s="195">
        <v>800</v>
      </c>
      <c r="G1984" s="197" t="s">
        <v>470</v>
      </c>
      <c r="H1984" s="197" t="s">
        <v>471</v>
      </c>
      <c r="J1984" s="195">
        <v>1</v>
      </c>
      <c r="K1984" s="204" t="s">
        <v>224</v>
      </c>
      <c r="L1984" s="199">
        <v>1</v>
      </c>
      <c r="M1984" s="200">
        <v>0.5</v>
      </c>
      <c r="N1984" s="201">
        <v>31</v>
      </c>
    </row>
    <row r="1985" spans="1:14">
      <c r="A1985" s="194">
        <v>41300.805983796294</v>
      </c>
      <c r="B1985" s="195">
        <v>2091</v>
      </c>
      <c r="C1985" s="194"/>
      <c r="D1985" s="194"/>
      <c r="E1985" s="196" t="s">
        <v>1442</v>
      </c>
      <c r="F1985" s="195">
        <v>800</v>
      </c>
      <c r="G1985" s="197" t="s">
        <v>470</v>
      </c>
      <c r="H1985" s="197" t="s">
        <v>471</v>
      </c>
      <c r="J1985" s="195">
        <v>1</v>
      </c>
      <c r="K1985" s="204" t="s">
        <v>224</v>
      </c>
      <c r="L1985" s="199">
        <v>2</v>
      </c>
      <c r="M1985" s="200">
        <v>1</v>
      </c>
      <c r="N1985" s="201">
        <v>31</v>
      </c>
    </row>
    <row r="1986" spans="1:14">
      <c r="A1986" s="194">
        <v>41299.589803240742</v>
      </c>
      <c r="B1986" s="195">
        <v>2091</v>
      </c>
      <c r="C1986" s="194"/>
      <c r="D1986" s="194"/>
      <c r="E1986" s="196" t="s">
        <v>1390</v>
      </c>
      <c r="F1986" s="195">
        <v>800</v>
      </c>
      <c r="G1986" s="197" t="s">
        <v>470</v>
      </c>
      <c r="H1986" s="197" t="s">
        <v>471</v>
      </c>
      <c r="J1986" s="195">
        <v>1</v>
      </c>
      <c r="K1986" s="204" t="s">
        <v>224</v>
      </c>
      <c r="L1986" s="199">
        <v>1</v>
      </c>
      <c r="M1986" s="200">
        <v>1.6</v>
      </c>
      <c r="N1986" s="201">
        <v>31</v>
      </c>
    </row>
    <row r="1987" spans="1:14">
      <c r="A1987" s="194">
        <v>41279.850810185184</v>
      </c>
      <c r="B1987" s="195">
        <v>2091</v>
      </c>
      <c r="C1987" s="194"/>
      <c r="D1987" s="194"/>
      <c r="E1987" s="196" t="s">
        <v>644</v>
      </c>
      <c r="F1987" s="195">
        <v>800</v>
      </c>
      <c r="G1987" s="197" t="s">
        <v>470</v>
      </c>
      <c r="H1987" s="197" t="s">
        <v>471</v>
      </c>
      <c r="J1987" s="195">
        <v>1</v>
      </c>
      <c r="K1987" s="204" t="s">
        <v>224</v>
      </c>
      <c r="L1987" s="199">
        <v>2</v>
      </c>
      <c r="M1987" s="200">
        <v>0.9</v>
      </c>
      <c r="N1987" s="201">
        <v>32</v>
      </c>
    </row>
    <row r="1988" spans="1:14">
      <c r="A1988" s="194">
        <v>41284.509745370371</v>
      </c>
      <c r="B1988" s="195">
        <v>2091</v>
      </c>
      <c r="C1988" s="194"/>
      <c r="D1988" s="194"/>
      <c r="E1988" s="196" t="s">
        <v>838</v>
      </c>
      <c r="F1988" s="195">
        <v>800</v>
      </c>
      <c r="G1988" s="197" t="s">
        <v>470</v>
      </c>
      <c r="H1988" s="197" t="s">
        <v>471</v>
      </c>
      <c r="J1988" s="195">
        <v>1</v>
      </c>
      <c r="K1988" s="204" t="s">
        <v>224</v>
      </c>
      <c r="L1988" s="199">
        <v>2</v>
      </c>
      <c r="M1988" s="200">
        <v>0.4</v>
      </c>
      <c r="N1988" s="201">
        <v>33</v>
      </c>
    </row>
    <row r="1989" spans="1:14">
      <c r="A1989" s="194">
        <v>41288.013194444444</v>
      </c>
      <c r="B1989" s="195">
        <v>2091</v>
      </c>
      <c r="C1989" s="194"/>
      <c r="D1989" s="194"/>
      <c r="E1989" s="196" t="s">
        <v>852</v>
      </c>
      <c r="F1989" s="195">
        <v>800</v>
      </c>
      <c r="G1989" s="197" t="s">
        <v>470</v>
      </c>
      <c r="H1989" s="197" t="s">
        <v>471</v>
      </c>
      <c r="J1989" s="195">
        <v>1</v>
      </c>
      <c r="K1989" s="204" t="s">
        <v>224</v>
      </c>
      <c r="L1989" s="199">
        <v>2</v>
      </c>
      <c r="M1989" s="200">
        <v>0.5</v>
      </c>
      <c r="N1989" s="201">
        <v>33</v>
      </c>
    </row>
    <row r="1990" spans="1:14">
      <c r="A1990" s="194">
        <v>41287.488900462966</v>
      </c>
      <c r="B1990" s="195">
        <v>2091</v>
      </c>
      <c r="C1990" s="194"/>
      <c r="D1990" s="194"/>
      <c r="E1990" s="196" t="s">
        <v>845</v>
      </c>
      <c r="F1990" s="195">
        <v>800</v>
      </c>
      <c r="G1990" s="197" t="s">
        <v>470</v>
      </c>
      <c r="H1990" s="197" t="s">
        <v>471</v>
      </c>
      <c r="J1990" s="195">
        <v>1</v>
      </c>
      <c r="K1990" s="204" t="s">
        <v>224</v>
      </c>
      <c r="L1990" s="199">
        <v>1</v>
      </c>
      <c r="M1990" s="200">
        <v>1.3</v>
      </c>
      <c r="N1990" s="201">
        <v>33</v>
      </c>
    </row>
    <row r="1991" spans="1:14">
      <c r="A1991" s="194">
        <v>41300.819872685184</v>
      </c>
      <c r="B1991" s="195">
        <v>2091</v>
      </c>
      <c r="C1991" s="194"/>
      <c r="D1991" s="194"/>
      <c r="E1991" s="196" t="s">
        <v>1444</v>
      </c>
      <c r="F1991" s="195">
        <v>800</v>
      </c>
      <c r="G1991" s="197" t="s">
        <v>470</v>
      </c>
      <c r="H1991" s="197" t="s">
        <v>471</v>
      </c>
      <c r="J1991" s="195">
        <v>1</v>
      </c>
      <c r="K1991" s="204" t="s">
        <v>224</v>
      </c>
      <c r="L1991" s="199">
        <v>1</v>
      </c>
      <c r="M1991" s="200">
        <v>1.3</v>
      </c>
      <c r="N1991" s="201">
        <v>33</v>
      </c>
    </row>
    <row r="1992" spans="1:14">
      <c r="A1992" s="194">
        <v>41293.563703703701</v>
      </c>
      <c r="B1992" s="195">
        <v>2091</v>
      </c>
      <c r="C1992" s="194"/>
      <c r="D1992" s="194"/>
      <c r="E1992" s="196" t="s">
        <v>1198</v>
      </c>
      <c r="F1992" s="195">
        <v>800</v>
      </c>
      <c r="G1992" s="197" t="s">
        <v>470</v>
      </c>
      <c r="H1992" s="197" t="s">
        <v>471</v>
      </c>
      <c r="J1992" s="195">
        <v>1</v>
      </c>
      <c r="K1992" s="204" t="s">
        <v>224</v>
      </c>
      <c r="L1992" s="199">
        <v>2</v>
      </c>
      <c r="M1992" s="200">
        <v>0.7</v>
      </c>
      <c r="N1992" s="201">
        <v>34</v>
      </c>
    </row>
    <row r="1993" spans="1:14">
      <c r="A1993" s="194">
        <v>41297.581967592596</v>
      </c>
      <c r="B1993" s="195">
        <v>2091</v>
      </c>
      <c r="C1993" s="194"/>
      <c r="D1993" s="194"/>
      <c r="E1993" s="196" t="s">
        <v>1341</v>
      </c>
      <c r="F1993" s="195">
        <v>800</v>
      </c>
      <c r="G1993" s="197" t="s">
        <v>470</v>
      </c>
      <c r="H1993" s="197" t="s">
        <v>471</v>
      </c>
      <c r="J1993" s="195">
        <v>1</v>
      </c>
      <c r="K1993" s="204" t="s">
        <v>224</v>
      </c>
      <c r="L1993" s="199">
        <v>1</v>
      </c>
      <c r="M1993" s="200">
        <v>1</v>
      </c>
      <c r="N1993" s="201">
        <v>34</v>
      </c>
    </row>
    <row r="1994" spans="1:14">
      <c r="A1994" s="194">
        <v>41293.615798611114</v>
      </c>
      <c r="B1994" s="195">
        <v>2091</v>
      </c>
      <c r="C1994" s="194"/>
      <c r="D1994" s="194"/>
      <c r="E1994" s="196" t="s">
        <v>1199</v>
      </c>
      <c r="F1994" s="195">
        <v>800</v>
      </c>
      <c r="G1994" s="197" t="s">
        <v>470</v>
      </c>
      <c r="H1994" s="197" t="s">
        <v>471</v>
      </c>
      <c r="J1994" s="195">
        <v>1</v>
      </c>
      <c r="K1994" s="204" t="s">
        <v>224</v>
      </c>
      <c r="L1994" s="199">
        <v>1</v>
      </c>
      <c r="M1994" s="200">
        <v>0.4</v>
      </c>
      <c r="N1994" s="201">
        <v>35</v>
      </c>
    </row>
    <row r="1995" spans="1:14">
      <c r="A1995" s="194">
        <v>41294.639108796298</v>
      </c>
      <c r="B1995" s="195">
        <v>2091</v>
      </c>
      <c r="C1995" s="194"/>
      <c r="D1995" s="194"/>
      <c r="E1995" s="196" t="s">
        <v>1158</v>
      </c>
      <c r="F1995" s="195">
        <v>800</v>
      </c>
      <c r="G1995" s="197" t="s">
        <v>470</v>
      </c>
      <c r="H1995" s="197" t="s">
        <v>471</v>
      </c>
      <c r="J1995" s="195">
        <v>1</v>
      </c>
      <c r="K1995" s="204" t="s">
        <v>224</v>
      </c>
      <c r="L1995" s="199">
        <v>2</v>
      </c>
      <c r="M1995" s="200">
        <v>0.3</v>
      </c>
      <c r="N1995" s="201">
        <v>36</v>
      </c>
    </row>
    <row r="1996" spans="1:14">
      <c r="A1996" s="194">
        <v>41296.817824074074</v>
      </c>
      <c r="B1996" s="195">
        <v>2091</v>
      </c>
      <c r="C1996" s="194"/>
      <c r="D1996" s="194"/>
      <c r="E1996" s="196" t="s">
        <v>1321</v>
      </c>
      <c r="F1996" s="195">
        <v>800</v>
      </c>
      <c r="G1996" s="197" t="s">
        <v>470</v>
      </c>
      <c r="H1996" s="197" t="s">
        <v>471</v>
      </c>
      <c r="J1996" s="195">
        <v>1</v>
      </c>
      <c r="K1996" s="204" t="s">
        <v>224</v>
      </c>
      <c r="L1996" s="199">
        <v>2</v>
      </c>
      <c r="M1996" s="200">
        <v>0.4</v>
      </c>
      <c r="N1996" s="201">
        <v>36</v>
      </c>
    </row>
    <row r="1997" spans="1:14">
      <c r="A1997" s="194">
        <v>41288.553194444445</v>
      </c>
      <c r="B1997" s="195">
        <v>2091</v>
      </c>
      <c r="C1997" s="194"/>
      <c r="D1997" s="194"/>
      <c r="E1997" s="196" t="s">
        <v>977</v>
      </c>
      <c r="F1997" s="195">
        <v>800</v>
      </c>
      <c r="G1997" s="197" t="s">
        <v>470</v>
      </c>
      <c r="H1997" s="197" t="s">
        <v>471</v>
      </c>
      <c r="J1997" s="195">
        <v>1</v>
      </c>
      <c r="K1997" s="204" t="s">
        <v>224</v>
      </c>
      <c r="L1997" s="199">
        <v>2</v>
      </c>
      <c r="M1997" s="200">
        <v>1.1000000000000001</v>
      </c>
      <c r="N1997" s="201">
        <v>36</v>
      </c>
    </row>
    <row r="1998" spans="1:14">
      <c r="A1998" s="194">
        <v>41305.956180555557</v>
      </c>
      <c r="B1998" s="195">
        <v>2091</v>
      </c>
      <c r="C1998" s="194"/>
      <c r="D1998" s="194"/>
      <c r="E1998" s="196" t="s">
        <v>1584</v>
      </c>
      <c r="F1998" s="195">
        <v>800</v>
      </c>
      <c r="G1998" s="197" t="s">
        <v>470</v>
      </c>
      <c r="H1998" s="197" t="s">
        <v>471</v>
      </c>
      <c r="J1998" s="195">
        <v>1</v>
      </c>
      <c r="K1998" s="204" t="s">
        <v>224</v>
      </c>
      <c r="L1998" s="199">
        <v>1</v>
      </c>
      <c r="M1998" s="200">
        <v>0.3</v>
      </c>
      <c r="N1998" s="201">
        <v>37</v>
      </c>
    </row>
    <row r="1999" spans="1:14">
      <c r="A1999" s="194">
        <v>41305.934490740743</v>
      </c>
      <c r="B1999" s="195">
        <v>2091</v>
      </c>
      <c r="C1999" s="194"/>
      <c r="D1999" s="194"/>
      <c r="E1999" s="196" t="s">
        <v>1583</v>
      </c>
      <c r="F1999" s="195">
        <v>800</v>
      </c>
      <c r="G1999" s="197" t="s">
        <v>470</v>
      </c>
      <c r="H1999" s="197" t="s">
        <v>471</v>
      </c>
      <c r="J1999" s="195">
        <v>1</v>
      </c>
      <c r="K1999" s="204" t="s">
        <v>224</v>
      </c>
      <c r="L1999" s="199">
        <v>2</v>
      </c>
      <c r="M1999" s="200">
        <v>0.7</v>
      </c>
      <c r="N1999" s="201">
        <v>39</v>
      </c>
    </row>
    <row r="2000" spans="1:14">
      <c r="A2000" s="194">
        <v>41296.460416666669</v>
      </c>
      <c r="B2000" s="195">
        <v>2091</v>
      </c>
      <c r="C2000" s="194"/>
      <c r="D2000" s="194"/>
      <c r="E2000" s="196" t="s">
        <v>1320</v>
      </c>
      <c r="F2000" s="195">
        <v>800</v>
      </c>
      <c r="G2000" s="197" t="s">
        <v>470</v>
      </c>
      <c r="H2000" s="197" t="s">
        <v>471</v>
      </c>
      <c r="J2000" s="195">
        <v>1</v>
      </c>
      <c r="K2000" s="204" t="s">
        <v>224</v>
      </c>
      <c r="L2000" s="199">
        <v>2</v>
      </c>
      <c r="M2000" s="200">
        <v>2.1</v>
      </c>
      <c r="N2000" s="201">
        <v>39</v>
      </c>
    </row>
    <row r="2001" spans="1:14">
      <c r="A2001" s="194">
        <v>41299.860636574071</v>
      </c>
      <c r="B2001" s="195">
        <v>2091</v>
      </c>
      <c r="C2001" s="194"/>
      <c r="D2001" s="194"/>
      <c r="E2001" s="196" t="s">
        <v>1391</v>
      </c>
      <c r="F2001" s="195">
        <v>800</v>
      </c>
      <c r="G2001" s="197" t="s">
        <v>470</v>
      </c>
      <c r="H2001" s="197" t="s">
        <v>471</v>
      </c>
      <c r="J2001" s="195">
        <v>1</v>
      </c>
      <c r="K2001" s="204" t="s">
        <v>224</v>
      </c>
      <c r="L2001" s="199">
        <v>2</v>
      </c>
      <c r="M2001" s="200">
        <v>0.9</v>
      </c>
      <c r="N2001" s="201">
        <v>40</v>
      </c>
    </row>
    <row r="2002" spans="1:14">
      <c r="A2002" s="194">
        <v>41287.722430555557</v>
      </c>
      <c r="B2002" s="195">
        <v>2091</v>
      </c>
      <c r="C2002" s="194"/>
      <c r="D2002" s="194"/>
      <c r="E2002" s="196" t="s">
        <v>848</v>
      </c>
      <c r="F2002" s="195">
        <v>800</v>
      </c>
      <c r="G2002" s="197" t="s">
        <v>470</v>
      </c>
      <c r="H2002" s="197" t="s">
        <v>471</v>
      </c>
      <c r="J2002" s="195">
        <v>1</v>
      </c>
      <c r="K2002" s="204" t="s">
        <v>224</v>
      </c>
      <c r="L2002" s="199">
        <v>2</v>
      </c>
      <c r="M2002" s="200">
        <v>0.3</v>
      </c>
      <c r="N2002" s="201">
        <v>44</v>
      </c>
    </row>
    <row r="2003" spans="1:14">
      <c r="A2003" s="194">
        <v>41290.380243055559</v>
      </c>
      <c r="B2003" s="195">
        <v>2091</v>
      </c>
      <c r="C2003" s="194"/>
      <c r="D2003" s="194"/>
      <c r="E2003" s="196" t="s">
        <v>1043</v>
      </c>
      <c r="F2003" s="195">
        <v>800</v>
      </c>
      <c r="G2003" s="197" t="s">
        <v>470</v>
      </c>
      <c r="H2003" s="197" t="s">
        <v>471</v>
      </c>
      <c r="J2003" s="195">
        <v>1</v>
      </c>
      <c r="K2003" s="204" t="s">
        <v>224</v>
      </c>
      <c r="L2003" s="199">
        <v>2</v>
      </c>
      <c r="M2003" s="200">
        <v>0.6</v>
      </c>
      <c r="N2003" s="201">
        <v>44</v>
      </c>
    </row>
    <row r="2004" spans="1:14">
      <c r="A2004" s="194">
        <v>41286.745879629627</v>
      </c>
      <c r="B2004" s="195">
        <v>2091</v>
      </c>
      <c r="C2004" s="194"/>
      <c r="D2004" s="194"/>
      <c r="E2004" s="198"/>
      <c r="G2004" s="202"/>
      <c r="J2004" s="195">
        <v>2</v>
      </c>
      <c r="K2004" s="204" t="s">
        <v>32</v>
      </c>
      <c r="L2004" s="199">
        <v>1</v>
      </c>
      <c r="M2004" s="200">
        <v>0.4</v>
      </c>
      <c r="N2004" s="201">
        <v>17</v>
      </c>
    </row>
    <row r="2005" spans="1:14">
      <c r="A2005" s="194">
        <v>41278.592974537038</v>
      </c>
      <c r="B2005" s="195">
        <v>2091</v>
      </c>
      <c r="C2005" s="194"/>
      <c r="D2005" s="194"/>
      <c r="E2005" s="198"/>
      <c r="G2005" s="202"/>
      <c r="J2005" s="195">
        <v>2</v>
      </c>
      <c r="K2005" s="204" t="s">
        <v>32</v>
      </c>
      <c r="L2005" s="199">
        <v>2</v>
      </c>
      <c r="M2005" s="200">
        <v>0.5</v>
      </c>
      <c r="N2005" s="201">
        <v>18</v>
      </c>
    </row>
    <row r="2006" spans="1:14">
      <c r="A2006" s="194">
        <v>41292.428229166668</v>
      </c>
      <c r="B2006" s="195">
        <v>2091</v>
      </c>
      <c r="C2006" s="194"/>
      <c r="D2006" s="194"/>
      <c r="E2006" s="198"/>
      <c r="G2006" s="202"/>
      <c r="J2006" s="195">
        <v>2</v>
      </c>
      <c r="K2006" s="204" t="s">
        <v>32</v>
      </c>
      <c r="L2006" s="199">
        <v>1</v>
      </c>
      <c r="M2006" s="200">
        <v>0.3</v>
      </c>
      <c r="N2006" s="201">
        <v>19</v>
      </c>
    </row>
    <row r="2007" spans="1:14">
      <c r="A2007" s="194">
        <v>41280.733622685184</v>
      </c>
      <c r="B2007" s="195">
        <v>2091</v>
      </c>
      <c r="C2007" s="194"/>
      <c r="D2007" s="194"/>
      <c r="E2007" s="198"/>
      <c r="G2007" s="202"/>
      <c r="J2007" s="195">
        <v>2</v>
      </c>
      <c r="K2007" s="204" t="s">
        <v>32</v>
      </c>
      <c r="L2007" s="199">
        <v>1</v>
      </c>
      <c r="M2007" s="200">
        <v>0.3</v>
      </c>
      <c r="N2007" s="201">
        <v>20</v>
      </c>
    </row>
    <row r="2008" spans="1:14">
      <c r="A2008" s="194">
        <v>41294.716365740744</v>
      </c>
      <c r="B2008" s="195">
        <v>2091</v>
      </c>
      <c r="C2008" s="194"/>
      <c r="D2008" s="194"/>
      <c r="E2008" s="198"/>
      <c r="G2008" s="202"/>
      <c r="J2008" s="195">
        <v>2</v>
      </c>
      <c r="K2008" s="204" t="s">
        <v>32</v>
      </c>
      <c r="L2008" s="199">
        <v>1</v>
      </c>
      <c r="M2008" s="200">
        <v>0.3</v>
      </c>
      <c r="N2008" s="201">
        <v>26</v>
      </c>
    </row>
    <row r="2009" spans="1:14">
      <c r="A2009" s="194">
        <v>41287.582638888889</v>
      </c>
      <c r="B2009" s="195">
        <v>2091</v>
      </c>
      <c r="C2009" s="194"/>
      <c r="D2009" s="194"/>
      <c r="E2009" s="198"/>
      <c r="G2009" s="202"/>
      <c r="J2009" s="195">
        <v>2</v>
      </c>
      <c r="K2009" s="204" t="s">
        <v>32</v>
      </c>
      <c r="L2009" s="199">
        <v>1</v>
      </c>
      <c r="M2009" s="200">
        <v>0.8</v>
      </c>
      <c r="N2009" s="201">
        <v>27</v>
      </c>
    </row>
    <row r="2010" spans="1:14">
      <c r="A2010" s="194">
        <v>41285.954097222224</v>
      </c>
      <c r="B2010" s="195">
        <v>2091</v>
      </c>
      <c r="C2010" s="194"/>
      <c r="D2010" s="194"/>
      <c r="E2010" s="198"/>
      <c r="G2010" s="202"/>
      <c r="J2010" s="195">
        <v>2</v>
      </c>
      <c r="K2010" s="204" t="s">
        <v>32</v>
      </c>
      <c r="L2010" s="199">
        <v>2</v>
      </c>
      <c r="M2010" s="200">
        <v>0.3</v>
      </c>
      <c r="N2010" s="201">
        <v>29</v>
      </c>
    </row>
    <row r="2011" spans="1:14">
      <c r="A2011" s="194">
        <v>41286.450682870367</v>
      </c>
      <c r="B2011" s="195">
        <v>2091</v>
      </c>
      <c r="C2011" s="194"/>
      <c r="D2011" s="194"/>
      <c r="E2011" s="198"/>
      <c r="G2011" s="202"/>
      <c r="J2011" s="195">
        <v>2</v>
      </c>
      <c r="K2011" s="204" t="s">
        <v>32</v>
      </c>
      <c r="L2011" s="199">
        <v>1</v>
      </c>
      <c r="M2011" s="200">
        <v>0.8</v>
      </c>
      <c r="N2011" s="201">
        <v>29</v>
      </c>
    </row>
    <row r="2012" spans="1:14">
      <c r="A2012" s="194">
        <v>41278.515787037039</v>
      </c>
      <c r="B2012" s="195">
        <v>2091</v>
      </c>
      <c r="C2012" s="194"/>
      <c r="D2012" s="194"/>
      <c r="E2012" s="198"/>
      <c r="G2012" s="202"/>
      <c r="J2012" s="195">
        <v>2</v>
      </c>
      <c r="K2012" s="204" t="s">
        <v>32</v>
      </c>
      <c r="L2012" s="199">
        <v>1</v>
      </c>
      <c r="M2012" s="200">
        <v>5.3</v>
      </c>
      <c r="N2012" s="201">
        <v>30</v>
      </c>
    </row>
    <row r="2013" spans="1:14">
      <c r="A2013" s="194">
        <v>41293.663541666669</v>
      </c>
      <c r="B2013" s="195">
        <v>2091</v>
      </c>
      <c r="C2013" s="194"/>
      <c r="D2013" s="194"/>
      <c r="E2013" s="198"/>
      <c r="G2013" s="202"/>
      <c r="J2013" s="195">
        <v>2</v>
      </c>
      <c r="K2013" s="204" t="s">
        <v>32</v>
      </c>
      <c r="L2013" s="199">
        <v>1</v>
      </c>
      <c r="M2013" s="200">
        <v>0.4</v>
      </c>
      <c r="N2013" s="201">
        <v>31</v>
      </c>
    </row>
    <row r="2014" spans="1:14">
      <c r="A2014" s="194">
        <v>41278.457569444443</v>
      </c>
      <c r="B2014" s="195">
        <v>2091</v>
      </c>
      <c r="C2014" s="194"/>
      <c r="D2014" s="194"/>
      <c r="E2014" s="198"/>
      <c r="G2014" s="202"/>
      <c r="J2014" s="195">
        <v>2</v>
      </c>
      <c r="K2014" s="204" t="s">
        <v>32</v>
      </c>
      <c r="L2014" s="199">
        <v>2</v>
      </c>
      <c r="M2014" s="200">
        <v>0.4</v>
      </c>
      <c r="N2014" s="201">
        <v>31</v>
      </c>
    </row>
    <row r="2015" spans="1:14">
      <c r="A2015" s="194">
        <v>41290.252465277779</v>
      </c>
      <c r="B2015" s="195">
        <v>2091</v>
      </c>
      <c r="C2015" s="194"/>
      <c r="D2015" s="194"/>
      <c r="E2015" s="198"/>
      <c r="G2015" s="202"/>
      <c r="J2015" s="195">
        <v>2</v>
      </c>
      <c r="K2015" s="204" t="s">
        <v>32</v>
      </c>
      <c r="L2015" s="199">
        <v>2</v>
      </c>
      <c r="M2015" s="200">
        <v>0.3</v>
      </c>
      <c r="N2015" s="201">
        <v>33</v>
      </c>
    </row>
    <row r="2016" spans="1:14">
      <c r="A2016" s="194">
        <v>41286.558321759258</v>
      </c>
      <c r="B2016" s="195">
        <v>2091</v>
      </c>
      <c r="C2016" s="194"/>
      <c r="D2016" s="194"/>
      <c r="E2016" s="198"/>
      <c r="G2016" s="202"/>
      <c r="J2016" s="195">
        <v>2</v>
      </c>
      <c r="K2016" s="204" t="s">
        <v>32</v>
      </c>
      <c r="L2016" s="199">
        <v>1</v>
      </c>
      <c r="M2016" s="200">
        <v>1.2</v>
      </c>
      <c r="N2016" s="201">
        <v>33</v>
      </c>
    </row>
    <row r="2017" spans="1:14">
      <c r="A2017" s="194">
        <v>41284.945810185185</v>
      </c>
      <c r="B2017" s="195">
        <v>2091</v>
      </c>
      <c r="C2017" s="194"/>
      <c r="D2017" s="194"/>
      <c r="E2017" s="198"/>
      <c r="G2017" s="202"/>
      <c r="J2017" s="195">
        <v>2</v>
      </c>
      <c r="K2017" s="204" t="s">
        <v>32</v>
      </c>
      <c r="L2017" s="199">
        <v>1</v>
      </c>
      <c r="M2017" s="200">
        <v>28.5</v>
      </c>
      <c r="N2017" s="201">
        <v>33</v>
      </c>
    </row>
    <row r="2018" spans="1:14">
      <c r="A2018" s="194">
        <v>41304.537800925929</v>
      </c>
      <c r="B2018" s="195">
        <v>2091</v>
      </c>
      <c r="C2018" s="194"/>
      <c r="D2018" s="194"/>
      <c r="E2018" s="198"/>
      <c r="G2018" s="202"/>
      <c r="J2018" s="195">
        <v>2</v>
      </c>
      <c r="K2018" s="204" t="s">
        <v>32</v>
      </c>
      <c r="L2018" s="199">
        <v>2</v>
      </c>
      <c r="M2018" s="200">
        <v>0.6</v>
      </c>
      <c r="N2018" s="201">
        <v>34</v>
      </c>
    </row>
    <row r="2019" spans="1:14">
      <c r="A2019" s="194">
        <v>41286.922986111109</v>
      </c>
      <c r="B2019" s="195">
        <v>2091</v>
      </c>
      <c r="C2019" s="194"/>
      <c r="D2019" s="194"/>
      <c r="E2019" s="198"/>
      <c r="G2019" s="202"/>
      <c r="J2019" s="195">
        <v>2</v>
      </c>
      <c r="K2019" s="204" t="s">
        <v>32</v>
      </c>
      <c r="L2019" s="199">
        <v>1</v>
      </c>
      <c r="M2019" s="200">
        <v>1.1000000000000001</v>
      </c>
      <c r="N2019" s="201">
        <v>34</v>
      </c>
    </row>
    <row r="2020" spans="1:14">
      <c r="A2020" s="194">
        <v>41300.687048611115</v>
      </c>
      <c r="B2020" s="195">
        <v>2091</v>
      </c>
      <c r="C2020" s="194"/>
      <c r="D2020" s="194"/>
      <c r="E2020" s="198"/>
      <c r="G2020" s="202"/>
      <c r="J2020" s="195">
        <v>2</v>
      </c>
      <c r="K2020" s="204" t="s">
        <v>32</v>
      </c>
      <c r="L2020" s="199">
        <v>2</v>
      </c>
      <c r="M2020" s="200">
        <v>0.3</v>
      </c>
      <c r="N2020" s="201">
        <v>35</v>
      </c>
    </row>
    <row r="2021" spans="1:14">
      <c r="A2021" s="194">
        <v>41305.566458333335</v>
      </c>
      <c r="B2021" s="195">
        <v>2091</v>
      </c>
      <c r="C2021" s="194"/>
      <c r="D2021" s="194"/>
      <c r="E2021" s="198"/>
      <c r="G2021" s="202"/>
      <c r="J2021" s="195">
        <v>2</v>
      </c>
      <c r="K2021" s="204" t="s">
        <v>32</v>
      </c>
      <c r="L2021" s="199">
        <v>1</v>
      </c>
      <c r="M2021" s="200">
        <v>0.6</v>
      </c>
      <c r="N2021" s="201">
        <v>35</v>
      </c>
    </row>
    <row r="2022" spans="1:14">
      <c r="A2022" s="194">
        <v>41302.49255787037</v>
      </c>
      <c r="B2022" s="195">
        <v>2091</v>
      </c>
      <c r="C2022" s="194"/>
      <c r="D2022" s="194"/>
      <c r="E2022" s="198"/>
      <c r="G2022" s="202"/>
      <c r="J2022" s="195">
        <v>2</v>
      </c>
      <c r="K2022" s="204" t="s">
        <v>32</v>
      </c>
      <c r="L2022" s="199">
        <v>1</v>
      </c>
      <c r="M2022" s="200">
        <v>0.4</v>
      </c>
      <c r="N2022" s="201">
        <v>38</v>
      </c>
    </row>
    <row r="2023" spans="1:14">
      <c r="A2023" s="194">
        <v>41275.59207175926</v>
      </c>
      <c r="B2023" s="195">
        <v>2091</v>
      </c>
      <c r="C2023" s="194"/>
      <c r="D2023" s="194"/>
      <c r="E2023" s="198"/>
      <c r="G2023" s="202"/>
      <c r="J2023" s="195">
        <v>3</v>
      </c>
      <c r="K2023" s="204" t="s">
        <v>1595</v>
      </c>
      <c r="L2023" s="199">
        <v>1</v>
      </c>
      <c r="M2023" s="200">
        <v>2.7</v>
      </c>
      <c r="N2023" s="201">
        <v>22</v>
      </c>
    </row>
    <row r="2024" spans="1:14">
      <c r="A2024" s="194">
        <v>41292.524571759262</v>
      </c>
      <c r="B2024" s="195">
        <v>2091</v>
      </c>
      <c r="C2024" s="194"/>
      <c r="D2024" s="194"/>
      <c r="E2024" s="198"/>
      <c r="G2024" s="202"/>
      <c r="J2024" s="195">
        <v>3</v>
      </c>
      <c r="K2024" s="204" t="s">
        <v>1595</v>
      </c>
      <c r="L2024" s="199">
        <v>2</v>
      </c>
      <c r="M2024" s="200">
        <v>0.5</v>
      </c>
      <c r="N2024" s="201">
        <v>24</v>
      </c>
    </row>
    <row r="2025" spans="1:14">
      <c r="A2025" s="194">
        <v>41275.106736111113</v>
      </c>
      <c r="B2025" s="195">
        <v>2091</v>
      </c>
      <c r="C2025" s="194"/>
      <c r="D2025" s="194"/>
      <c r="E2025" s="198"/>
      <c r="G2025" s="202"/>
      <c r="J2025" s="195">
        <v>3</v>
      </c>
      <c r="K2025" s="204" t="s">
        <v>1595</v>
      </c>
      <c r="L2025" s="199">
        <v>2</v>
      </c>
      <c r="M2025" s="200">
        <v>0.9</v>
      </c>
      <c r="N2025" s="201">
        <v>24</v>
      </c>
    </row>
    <row r="2026" spans="1:14">
      <c r="A2026" s="194">
        <v>41292.529780092591</v>
      </c>
      <c r="B2026" s="195">
        <v>2091</v>
      </c>
      <c r="C2026" s="194"/>
      <c r="D2026" s="194"/>
      <c r="E2026" s="198"/>
      <c r="G2026" s="202"/>
      <c r="J2026" s="195">
        <v>3</v>
      </c>
      <c r="K2026" s="204" t="s">
        <v>1595</v>
      </c>
      <c r="L2026" s="199">
        <v>2</v>
      </c>
      <c r="M2026" s="200">
        <v>0.9</v>
      </c>
      <c r="N2026" s="201">
        <v>33</v>
      </c>
    </row>
    <row r="2027" spans="1:14">
      <c r="A2027" s="194">
        <v>41283.022916666669</v>
      </c>
      <c r="B2027" s="195">
        <v>2091</v>
      </c>
      <c r="C2027" s="194"/>
      <c r="D2027" s="194"/>
      <c r="E2027" s="198"/>
      <c r="G2027" s="202"/>
      <c r="J2027" s="195">
        <v>6</v>
      </c>
      <c r="K2027" s="204" t="s">
        <v>9</v>
      </c>
      <c r="L2027" s="199">
        <v>1</v>
      </c>
      <c r="M2027" s="200">
        <v>0.3</v>
      </c>
      <c r="N2027" s="201">
        <v>17</v>
      </c>
    </row>
    <row r="2028" spans="1:14">
      <c r="A2028" s="194">
        <v>41289.838807870372</v>
      </c>
      <c r="B2028" s="195">
        <v>2091</v>
      </c>
      <c r="C2028" s="194"/>
      <c r="D2028" s="194"/>
      <c r="E2028" s="196" t="s">
        <v>1727</v>
      </c>
      <c r="G2028" s="202"/>
      <c r="J2028" s="195">
        <v>7</v>
      </c>
      <c r="K2028" s="204" t="s">
        <v>30</v>
      </c>
      <c r="L2028" s="199">
        <v>1</v>
      </c>
      <c r="M2028" s="200">
        <v>0.4</v>
      </c>
      <c r="N2028" s="201">
        <v>17</v>
      </c>
    </row>
    <row r="2029" spans="1:14">
      <c r="A2029" s="194">
        <v>41284.54446759259</v>
      </c>
      <c r="B2029" s="195">
        <v>2091</v>
      </c>
      <c r="C2029" s="194"/>
      <c r="D2029" s="194"/>
      <c r="E2029" s="198"/>
      <c r="G2029" s="202"/>
      <c r="J2029" s="195">
        <v>7</v>
      </c>
      <c r="K2029" s="204" t="s">
        <v>30</v>
      </c>
      <c r="L2029" s="199">
        <v>1</v>
      </c>
      <c r="M2029" s="200">
        <v>0.7</v>
      </c>
      <c r="N2029" s="201">
        <v>18</v>
      </c>
    </row>
    <row r="2030" spans="1:14">
      <c r="A2030" s="194">
        <v>41292.469027777777</v>
      </c>
      <c r="B2030" s="195">
        <v>2091</v>
      </c>
      <c r="C2030" s="194"/>
      <c r="D2030" s="194"/>
      <c r="E2030" s="196" t="s">
        <v>1731</v>
      </c>
      <c r="G2030" s="202"/>
      <c r="J2030" s="195">
        <v>7</v>
      </c>
      <c r="K2030" s="204" t="s">
        <v>30</v>
      </c>
      <c r="L2030" s="199">
        <v>1</v>
      </c>
      <c r="M2030" s="200">
        <v>0.7</v>
      </c>
      <c r="N2030" s="201">
        <v>18</v>
      </c>
    </row>
    <row r="2031" spans="1:14">
      <c r="A2031" s="194">
        <v>41288.530624999999</v>
      </c>
      <c r="B2031" s="195">
        <v>2091</v>
      </c>
      <c r="C2031" s="194"/>
      <c r="D2031" s="194"/>
      <c r="E2031" s="198"/>
      <c r="G2031" s="202"/>
      <c r="J2031" s="195">
        <v>7</v>
      </c>
      <c r="K2031" s="204" t="s">
        <v>30</v>
      </c>
      <c r="L2031" s="199">
        <v>1</v>
      </c>
      <c r="M2031" s="200">
        <v>1.4</v>
      </c>
      <c r="N2031" s="201">
        <v>18</v>
      </c>
    </row>
    <row r="2032" spans="1:14">
      <c r="A2032" s="194">
        <v>41279.638113425928</v>
      </c>
      <c r="B2032" s="195">
        <v>2091</v>
      </c>
      <c r="C2032" s="194"/>
      <c r="D2032" s="194"/>
      <c r="E2032" s="198"/>
      <c r="G2032" s="202"/>
      <c r="J2032" s="195">
        <v>7</v>
      </c>
      <c r="K2032" s="204" t="s">
        <v>30</v>
      </c>
      <c r="L2032" s="199">
        <v>1</v>
      </c>
      <c r="M2032" s="200">
        <v>0.7</v>
      </c>
      <c r="N2032" s="201">
        <v>20</v>
      </c>
    </row>
    <row r="2033" spans="1:14">
      <c r="A2033" s="194">
        <v>41305.497870370367</v>
      </c>
      <c r="B2033" s="195">
        <v>2091</v>
      </c>
      <c r="C2033" s="194"/>
      <c r="D2033" s="194"/>
      <c r="E2033" s="198"/>
      <c r="G2033" s="202"/>
      <c r="J2033" s="195">
        <v>7</v>
      </c>
      <c r="K2033" s="204" t="s">
        <v>30</v>
      </c>
      <c r="L2033" s="199">
        <v>1</v>
      </c>
      <c r="M2033" s="200">
        <v>0.6</v>
      </c>
      <c r="N2033" s="201">
        <v>23</v>
      </c>
    </row>
    <row r="2034" spans="1:14">
      <c r="A2034" s="194">
        <v>41305.516979166663</v>
      </c>
      <c r="B2034" s="195">
        <v>2091</v>
      </c>
      <c r="C2034" s="194"/>
      <c r="D2034" s="194"/>
      <c r="E2034" s="196" t="s">
        <v>1826</v>
      </c>
      <c r="G2034" s="202"/>
      <c r="J2034" s="195">
        <v>7</v>
      </c>
      <c r="K2034" s="204" t="s">
        <v>30</v>
      </c>
      <c r="L2034" s="199">
        <v>2</v>
      </c>
      <c r="M2034" s="200">
        <v>0.6</v>
      </c>
      <c r="N2034" s="201">
        <v>30</v>
      </c>
    </row>
    <row r="2035" spans="1:14">
      <c r="A2035" s="194">
        <v>41305.532604166663</v>
      </c>
      <c r="B2035" s="195">
        <v>2091</v>
      </c>
      <c r="C2035" s="194"/>
      <c r="D2035" s="194"/>
      <c r="E2035" s="198"/>
      <c r="G2035" s="202"/>
      <c r="J2035" s="195">
        <v>10</v>
      </c>
      <c r="K2035" s="204" t="s">
        <v>31</v>
      </c>
      <c r="L2035" s="199">
        <v>1</v>
      </c>
      <c r="M2035" s="200">
        <v>1</v>
      </c>
      <c r="N2035" s="201">
        <v>16</v>
      </c>
    </row>
    <row r="2036" spans="1:14">
      <c r="A2036" s="194">
        <v>41305.546493055554</v>
      </c>
      <c r="B2036" s="195">
        <v>2091</v>
      </c>
      <c r="C2036" s="194"/>
      <c r="D2036" s="194"/>
      <c r="E2036" s="198"/>
      <c r="G2036" s="202"/>
      <c r="J2036" s="195">
        <v>10</v>
      </c>
      <c r="K2036" s="204" t="s">
        <v>31</v>
      </c>
      <c r="L2036" s="199">
        <v>1</v>
      </c>
      <c r="M2036" s="200">
        <v>1.1000000000000001</v>
      </c>
      <c r="N2036" s="201">
        <v>16</v>
      </c>
    </row>
    <row r="2037" spans="1:14">
      <c r="A2037" s="194">
        <v>41289.59747685185</v>
      </c>
      <c r="B2037" s="195">
        <v>2091</v>
      </c>
      <c r="C2037" s="194"/>
      <c r="D2037" s="194"/>
      <c r="E2037" s="198"/>
      <c r="G2037" s="202"/>
      <c r="J2037" s="195">
        <v>10</v>
      </c>
      <c r="K2037" s="204" t="s">
        <v>31</v>
      </c>
      <c r="L2037" s="199">
        <v>1</v>
      </c>
      <c r="M2037" s="200">
        <v>0.8</v>
      </c>
      <c r="N2037" s="201">
        <v>17</v>
      </c>
    </row>
    <row r="2038" spans="1:14">
      <c r="A2038" s="194">
        <v>41305.570798611108</v>
      </c>
      <c r="B2038" s="195">
        <v>2091</v>
      </c>
      <c r="C2038" s="194"/>
      <c r="D2038" s="194"/>
      <c r="E2038" s="198"/>
      <c r="G2038" s="202"/>
      <c r="J2038" s="195">
        <v>10</v>
      </c>
      <c r="K2038" s="204" t="s">
        <v>31</v>
      </c>
      <c r="L2038" s="199">
        <v>1</v>
      </c>
      <c r="M2038" s="200">
        <v>1</v>
      </c>
      <c r="N2038" s="201">
        <v>17</v>
      </c>
    </row>
    <row r="2039" spans="1:14">
      <c r="A2039" s="194">
        <v>41301.575092592589</v>
      </c>
      <c r="B2039" s="195">
        <v>2091</v>
      </c>
      <c r="C2039" s="194"/>
      <c r="D2039" s="194"/>
      <c r="E2039" s="198"/>
      <c r="G2039" s="202"/>
      <c r="J2039" s="195">
        <v>10</v>
      </c>
      <c r="K2039" s="204" t="s">
        <v>31</v>
      </c>
      <c r="L2039" s="199">
        <v>1</v>
      </c>
      <c r="M2039" s="200">
        <v>0.4</v>
      </c>
      <c r="N2039" s="201">
        <v>18</v>
      </c>
    </row>
    <row r="2040" spans="1:14">
      <c r="A2040" s="194">
        <v>41289.563622685186</v>
      </c>
      <c r="B2040" s="195">
        <v>2091</v>
      </c>
      <c r="C2040" s="194"/>
      <c r="D2040" s="194"/>
      <c r="E2040" s="198"/>
      <c r="G2040" s="202"/>
      <c r="J2040" s="195">
        <v>10</v>
      </c>
      <c r="K2040" s="204" t="s">
        <v>31</v>
      </c>
      <c r="L2040" s="199">
        <v>1</v>
      </c>
      <c r="M2040" s="200">
        <v>0.7</v>
      </c>
      <c r="N2040" s="201">
        <v>18</v>
      </c>
    </row>
    <row r="2041" spans="1:14">
      <c r="A2041" s="194">
        <v>41288.589629629627</v>
      </c>
      <c r="B2041" s="195">
        <v>2091</v>
      </c>
      <c r="C2041" s="194"/>
      <c r="D2041" s="194"/>
      <c r="E2041" s="198"/>
      <c r="G2041" s="202"/>
      <c r="J2041" s="195">
        <v>10</v>
      </c>
      <c r="K2041" s="204" t="s">
        <v>31</v>
      </c>
      <c r="L2041" s="199">
        <v>1</v>
      </c>
      <c r="M2041" s="200">
        <v>0.3</v>
      </c>
      <c r="N2041" s="201">
        <v>19</v>
      </c>
    </row>
    <row r="2042" spans="1:14">
      <c r="A2042" s="194">
        <v>41286.467175925929</v>
      </c>
      <c r="B2042" s="195">
        <v>2091</v>
      </c>
      <c r="C2042" s="194"/>
      <c r="D2042" s="194"/>
      <c r="E2042" s="198"/>
      <c r="G2042" s="202"/>
      <c r="J2042" s="195">
        <v>10</v>
      </c>
      <c r="K2042" s="204" t="s">
        <v>31</v>
      </c>
      <c r="L2042" s="199">
        <v>1</v>
      </c>
      <c r="M2042" s="200">
        <v>0.5</v>
      </c>
      <c r="N2042" s="201">
        <v>19</v>
      </c>
    </row>
    <row r="2043" spans="1:14">
      <c r="A2043" s="194">
        <v>41289.535856481481</v>
      </c>
      <c r="B2043" s="195">
        <v>2091</v>
      </c>
      <c r="C2043" s="194"/>
      <c r="D2043" s="194"/>
      <c r="E2043" s="198"/>
      <c r="G2043" s="202"/>
      <c r="J2043" s="195">
        <v>10</v>
      </c>
      <c r="K2043" s="204" t="s">
        <v>31</v>
      </c>
      <c r="L2043" s="199">
        <v>1</v>
      </c>
      <c r="M2043" s="200">
        <v>1</v>
      </c>
      <c r="N2043" s="201">
        <v>19</v>
      </c>
    </row>
    <row r="2044" spans="1:14">
      <c r="A2044" s="194">
        <v>41299.466550925928</v>
      </c>
      <c r="B2044" s="195">
        <v>2091</v>
      </c>
      <c r="C2044" s="194"/>
      <c r="D2044" s="194"/>
      <c r="E2044" s="196" t="s">
        <v>1719</v>
      </c>
      <c r="G2044" s="202"/>
      <c r="J2044" s="195">
        <v>10</v>
      </c>
      <c r="K2044" s="204" t="s">
        <v>31</v>
      </c>
      <c r="L2044" s="199">
        <v>1</v>
      </c>
      <c r="M2044" s="200">
        <v>2.1</v>
      </c>
      <c r="N2044" s="201">
        <v>19</v>
      </c>
    </row>
    <row r="2045" spans="1:14">
      <c r="A2045" s="194">
        <v>41293.589745370373</v>
      </c>
      <c r="B2045" s="195">
        <v>2091</v>
      </c>
      <c r="C2045" s="194"/>
      <c r="D2045" s="194"/>
      <c r="E2045" s="198"/>
      <c r="G2045" s="202"/>
      <c r="J2045" s="195">
        <v>10</v>
      </c>
      <c r="K2045" s="204" t="s">
        <v>31</v>
      </c>
      <c r="L2045" s="199">
        <v>1</v>
      </c>
      <c r="M2045" s="200">
        <v>0.4</v>
      </c>
      <c r="N2045" s="201">
        <v>20</v>
      </c>
    </row>
    <row r="2046" spans="1:14">
      <c r="A2046" s="194">
        <v>41301.615902777776</v>
      </c>
      <c r="B2046" s="195">
        <v>2091</v>
      </c>
      <c r="C2046" s="194"/>
      <c r="D2046" s="194"/>
      <c r="E2046" s="198"/>
      <c r="G2046" s="202"/>
      <c r="J2046" s="195">
        <v>10</v>
      </c>
      <c r="K2046" s="204" t="s">
        <v>31</v>
      </c>
      <c r="L2046" s="199">
        <v>1</v>
      </c>
      <c r="M2046" s="200">
        <v>0.9</v>
      </c>
      <c r="N2046" s="201">
        <v>20</v>
      </c>
    </row>
    <row r="2047" spans="1:14">
      <c r="A2047" s="194">
        <v>41298.501238425924</v>
      </c>
      <c r="B2047" s="195">
        <v>2091</v>
      </c>
      <c r="C2047" s="194"/>
      <c r="D2047" s="194"/>
      <c r="E2047" s="198"/>
      <c r="G2047" s="202"/>
      <c r="J2047" s="195">
        <v>10</v>
      </c>
      <c r="K2047" s="204" t="s">
        <v>31</v>
      </c>
      <c r="L2047" s="199">
        <v>1</v>
      </c>
      <c r="M2047" s="200">
        <v>0.9</v>
      </c>
      <c r="N2047" s="201">
        <v>25</v>
      </c>
    </row>
    <row r="2048" spans="1:14">
      <c r="A2048" s="194">
        <v>41298.512511574074</v>
      </c>
      <c r="B2048" s="195">
        <v>2091</v>
      </c>
      <c r="C2048" s="194"/>
      <c r="D2048" s="194"/>
      <c r="E2048" s="198"/>
      <c r="G2048" s="202"/>
      <c r="J2048" s="195">
        <v>10</v>
      </c>
      <c r="K2048" s="204" t="s">
        <v>31</v>
      </c>
      <c r="L2048" s="199">
        <v>2</v>
      </c>
      <c r="M2048" s="200">
        <v>0.3</v>
      </c>
      <c r="N2048" s="201">
        <v>27</v>
      </c>
    </row>
    <row r="2049" spans="1:14">
      <c r="A2049" s="194">
        <v>41296.546342592592</v>
      </c>
      <c r="B2049" s="195">
        <v>2091</v>
      </c>
      <c r="C2049" s="194"/>
      <c r="D2049" s="194"/>
      <c r="E2049" s="198"/>
      <c r="G2049" s="202"/>
      <c r="J2049" s="195">
        <v>10</v>
      </c>
      <c r="K2049" s="204" t="s">
        <v>31</v>
      </c>
      <c r="L2049" s="199">
        <v>1</v>
      </c>
      <c r="M2049" s="200">
        <v>1.2</v>
      </c>
      <c r="N2049" s="201">
        <v>28</v>
      </c>
    </row>
    <row r="2050" spans="1:14">
      <c r="A2050" s="194">
        <v>41296.638645833336</v>
      </c>
      <c r="B2050" s="195">
        <v>2091</v>
      </c>
      <c r="C2050" s="194"/>
      <c r="D2050" s="194"/>
      <c r="E2050" s="198"/>
      <c r="G2050" s="202"/>
      <c r="J2050" s="195">
        <v>10</v>
      </c>
      <c r="K2050" s="204" t="s">
        <v>31</v>
      </c>
      <c r="L2050" s="199">
        <v>2</v>
      </c>
      <c r="M2050" s="200">
        <v>0.3</v>
      </c>
      <c r="N2050" s="201">
        <v>29</v>
      </c>
    </row>
    <row r="2051" spans="1:14">
      <c r="A2051" s="194">
        <v>41285.435046296298</v>
      </c>
      <c r="B2051" s="195">
        <v>2091</v>
      </c>
      <c r="C2051" s="194"/>
      <c r="D2051" s="194"/>
      <c r="E2051" s="198"/>
      <c r="G2051" s="202"/>
      <c r="J2051" s="195">
        <v>10</v>
      </c>
      <c r="K2051" s="204" t="s">
        <v>31</v>
      </c>
      <c r="L2051" s="199">
        <v>2</v>
      </c>
      <c r="M2051" s="200">
        <v>0.5</v>
      </c>
      <c r="N2051" s="201">
        <v>30</v>
      </c>
    </row>
    <row r="2052" spans="1:14">
      <c r="A2052" s="194">
        <v>41287.540972222225</v>
      </c>
      <c r="B2052" s="195">
        <v>2091</v>
      </c>
      <c r="C2052" s="194"/>
      <c r="D2052" s="194"/>
      <c r="E2052" s="198"/>
      <c r="G2052" s="202"/>
      <c r="J2052" s="195">
        <v>10</v>
      </c>
      <c r="K2052" s="204" t="s">
        <v>31</v>
      </c>
      <c r="L2052" s="199">
        <v>2</v>
      </c>
      <c r="M2052" s="200">
        <v>0.3</v>
      </c>
      <c r="N2052" s="201">
        <v>44</v>
      </c>
    </row>
    <row r="2053" spans="1:14">
      <c r="A2053" s="194">
        <v>41295.53162037037</v>
      </c>
      <c r="B2053" s="195">
        <v>2091</v>
      </c>
      <c r="C2053" s="194"/>
      <c r="D2053" s="194"/>
      <c r="E2053" s="198"/>
      <c r="G2053" s="202"/>
      <c r="J2053" s="195">
        <v>12</v>
      </c>
      <c r="K2053" s="204" t="s">
        <v>7</v>
      </c>
      <c r="L2053" s="199">
        <v>1</v>
      </c>
      <c r="M2053" s="200">
        <v>1.4</v>
      </c>
      <c r="N2053" s="201">
        <v>16</v>
      </c>
    </row>
    <row r="2054" spans="1:14">
      <c r="A2054" s="194">
        <v>41287.53229166667</v>
      </c>
      <c r="B2054" s="195">
        <v>2091</v>
      </c>
      <c r="C2054" s="194"/>
      <c r="D2054" s="194"/>
      <c r="E2054" s="198"/>
      <c r="G2054" s="202"/>
      <c r="J2054" s="195">
        <v>12</v>
      </c>
      <c r="K2054" s="204" t="s">
        <v>7</v>
      </c>
      <c r="L2054" s="199">
        <v>1</v>
      </c>
      <c r="M2054" s="200">
        <v>0.4</v>
      </c>
      <c r="N2054" s="201">
        <v>17</v>
      </c>
    </row>
    <row r="2055" spans="1:14">
      <c r="A2055" s="194">
        <v>41291.737557870372</v>
      </c>
      <c r="B2055" s="195">
        <v>2091</v>
      </c>
      <c r="C2055" s="194"/>
      <c r="D2055" s="194"/>
      <c r="E2055" s="198"/>
      <c r="G2055" s="202"/>
      <c r="J2055" s="195">
        <v>12</v>
      </c>
      <c r="K2055" s="204" t="s">
        <v>7</v>
      </c>
      <c r="L2055" s="199">
        <v>1</v>
      </c>
      <c r="M2055" s="200">
        <v>0.6</v>
      </c>
      <c r="N2055" s="201">
        <v>17</v>
      </c>
    </row>
    <row r="2056" spans="1:14">
      <c r="A2056" s="194">
        <v>41287.49931712963</v>
      </c>
      <c r="B2056" s="195">
        <v>2091</v>
      </c>
      <c r="C2056" s="194"/>
      <c r="D2056" s="194"/>
      <c r="E2056" s="196" t="s">
        <v>1600</v>
      </c>
      <c r="G2056" s="202"/>
      <c r="J2056" s="195">
        <v>12</v>
      </c>
      <c r="K2056" s="204" t="s">
        <v>7</v>
      </c>
      <c r="L2056" s="199">
        <v>2</v>
      </c>
      <c r="M2056" s="200">
        <v>0.9</v>
      </c>
      <c r="N2056" s="201">
        <v>29</v>
      </c>
    </row>
    <row r="2057" spans="1:14">
      <c r="A2057" s="194">
        <v>41278.487951388888</v>
      </c>
      <c r="B2057" s="195">
        <v>2091</v>
      </c>
      <c r="C2057" s="194"/>
      <c r="D2057" s="194"/>
      <c r="E2057" s="196" t="s">
        <v>1743</v>
      </c>
      <c r="G2057" s="202"/>
      <c r="J2057" s="195">
        <v>12</v>
      </c>
      <c r="K2057" s="204" t="s">
        <v>7</v>
      </c>
      <c r="L2057" s="199">
        <v>1</v>
      </c>
      <c r="M2057" s="200">
        <v>0.3</v>
      </c>
      <c r="N2057" s="201">
        <v>31</v>
      </c>
    </row>
    <row r="2058" spans="1:14">
      <c r="A2058" s="194">
        <v>41290.493298611109</v>
      </c>
      <c r="B2058" s="195">
        <v>2091</v>
      </c>
      <c r="C2058" s="194"/>
      <c r="D2058" s="194"/>
      <c r="E2058" s="198"/>
      <c r="G2058" s="202"/>
      <c r="J2058" s="195">
        <v>12</v>
      </c>
      <c r="K2058" s="204" t="s">
        <v>7</v>
      </c>
      <c r="L2058" s="199">
        <v>1</v>
      </c>
      <c r="M2058" s="200">
        <v>0.6</v>
      </c>
      <c r="N2058" s="201">
        <v>31</v>
      </c>
    </row>
    <row r="2059" spans="1:14">
      <c r="A2059" s="194">
        <v>41291.507233796299</v>
      </c>
      <c r="B2059" s="195">
        <v>2091</v>
      </c>
      <c r="C2059" s="194"/>
      <c r="D2059" s="194"/>
      <c r="E2059" s="198"/>
      <c r="G2059" s="202"/>
      <c r="J2059" s="195">
        <v>13</v>
      </c>
      <c r="K2059" s="204" t="s">
        <v>3</v>
      </c>
      <c r="L2059" s="199">
        <v>1</v>
      </c>
      <c r="M2059" s="200">
        <v>1.6</v>
      </c>
      <c r="N2059" s="201">
        <v>21</v>
      </c>
    </row>
    <row r="2060" spans="1:14">
      <c r="A2060" s="194">
        <v>41292.475972222222</v>
      </c>
      <c r="B2060" s="195">
        <v>2091</v>
      </c>
      <c r="C2060" s="194"/>
      <c r="D2060" s="194"/>
      <c r="E2060" s="198"/>
      <c r="G2060" s="202"/>
      <c r="J2060" s="195">
        <v>13</v>
      </c>
      <c r="K2060" s="204" t="s">
        <v>3</v>
      </c>
      <c r="L2060" s="199">
        <v>1</v>
      </c>
      <c r="M2060" s="200">
        <v>0.8</v>
      </c>
      <c r="N2060" s="201">
        <v>39</v>
      </c>
    </row>
    <row r="2061" spans="1:14">
      <c r="A2061" s="194">
        <v>41278.601655092592</v>
      </c>
      <c r="B2061" s="195">
        <v>2091</v>
      </c>
      <c r="C2061" s="194"/>
      <c r="D2061" s="194"/>
      <c r="E2061" s="198"/>
      <c r="G2061" s="202"/>
      <c r="J2061" s="195">
        <v>14</v>
      </c>
      <c r="K2061" s="204" t="s">
        <v>2</v>
      </c>
      <c r="L2061" s="199">
        <v>1</v>
      </c>
      <c r="M2061" s="200">
        <v>0.4</v>
      </c>
      <c r="N2061" s="201">
        <v>27</v>
      </c>
    </row>
    <row r="2062" spans="1:14">
      <c r="A2062" s="194">
        <v>41278.537418981483</v>
      </c>
      <c r="B2062" s="195">
        <v>2091</v>
      </c>
      <c r="C2062" s="194"/>
      <c r="D2062" s="194"/>
      <c r="E2062" s="198"/>
      <c r="G2062" s="202"/>
      <c r="J2062" s="195">
        <v>14</v>
      </c>
      <c r="K2062" s="204" t="s">
        <v>2</v>
      </c>
      <c r="L2062" s="199">
        <v>1</v>
      </c>
      <c r="M2062" s="200">
        <v>0.4</v>
      </c>
      <c r="N2062" s="201">
        <v>46</v>
      </c>
    </row>
    <row r="2063" spans="1:14">
      <c r="A2063" s="194">
        <v>41305.862453703703</v>
      </c>
      <c r="B2063" s="195">
        <v>2091</v>
      </c>
      <c r="C2063" s="194"/>
      <c r="D2063" s="194"/>
      <c r="E2063" s="198"/>
      <c r="G2063" s="202"/>
      <c r="J2063" s="195">
        <v>15</v>
      </c>
      <c r="K2063" s="204" t="s">
        <v>4</v>
      </c>
      <c r="L2063" s="199">
        <v>1</v>
      </c>
      <c r="M2063" s="200">
        <v>0.5</v>
      </c>
      <c r="N2063" s="201">
        <v>16</v>
      </c>
    </row>
    <row r="2064" spans="1:14">
      <c r="A2064" s="194">
        <v>41277.533865740741</v>
      </c>
      <c r="B2064" s="195">
        <v>2091</v>
      </c>
      <c r="C2064" s="194"/>
      <c r="D2064" s="194"/>
      <c r="E2064" s="198"/>
      <c r="G2064" s="202"/>
      <c r="J2064" s="195">
        <v>15</v>
      </c>
      <c r="K2064" s="204" t="s">
        <v>4</v>
      </c>
      <c r="L2064" s="199">
        <v>1</v>
      </c>
      <c r="M2064" s="200">
        <v>0.3</v>
      </c>
      <c r="N2064" s="201">
        <v>18</v>
      </c>
    </row>
    <row r="2065" spans="1:14">
      <c r="A2065" s="194">
        <v>41300.734803240739</v>
      </c>
      <c r="B2065" s="195">
        <v>2091</v>
      </c>
      <c r="C2065" s="194"/>
      <c r="D2065" s="194"/>
      <c r="E2065" s="198"/>
      <c r="G2065" s="202"/>
      <c r="J2065" s="195">
        <v>15</v>
      </c>
      <c r="K2065" s="204" t="s">
        <v>4</v>
      </c>
      <c r="L2065" s="199">
        <v>1</v>
      </c>
      <c r="M2065" s="200">
        <v>0.6</v>
      </c>
      <c r="N2065" s="201">
        <v>20</v>
      </c>
    </row>
    <row r="2066" spans="1:14">
      <c r="A2066" s="194">
        <v>41300.744351851848</v>
      </c>
      <c r="B2066" s="195">
        <v>2091</v>
      </c>
      <c r="C2066" s="194"/>
      <c r="D2066" s="194"/>
      <c r="E2066" s="198"/>
      <c r="G2066" s="202"/>
      <c r="J2066" s="195">
        <v>15</v>
      </c>
      <c r="K2066" s="204" t="s">
        <v>4</v>
      </c>
      <c r="L2066" s="199">
        <v>2</v>
      </c>
      <c r="M2066" s="200">
        <v>0.6</v>
      </c>
      <c r="N2066" s="201">
        <v>24</v>
      </c>
    </row>
    <row r="2067" spans="1:14">
      <c r="A2067" s="194">
        <v>41293.532453703701</v>
      </c>
      <c r="B2067" s="195">
        <v>2091</v>
      </c>
      <c r="C2067" s="194"/>
      <c r="D2067" s="194"/>
      <c r="E2067" s="198"/>
      <c r="G2067" s="202"/>
      <c r="J2067" s="195">
        <v>15</v>
      </c>
      <c r="K2067" s="204" t="s">
        <v>4</v>
      </c>
      <c r="L2067" s="199">
        <v>2</v>
      </c>
      <c r="M2067" s="200">
        <v>0.5</v>
      </c>
      <c r="N2067" s="201">
        <v>32</v>
      </c>
    </row>
    <row r="2068" spans="1:14">
      <c r="A2068" s="194">
        <v>41286.650393518517</v>
      </c>
      <c r="B2068" s="195">
        <v>2091</v>
      </c>
      <c r="C2068" s="194"/>
      <c r="D2068" s="194"/>
      <c r="E2068" s="198"/>
      <c r="G2068" s="202"/>
      <c r="J2068" s="195">
        <v>17</v>
      </c>
      <c r="K2068" s="204" t="s">
        <v>11</v>
      </c>
      <c r="L2068" s="199">
        <v>1</v>
      </c>
      <c r="M2068" s="200">
        <v>4.0999999999999996</v>
      </c>
      <c r="N2068" s="201">
        <v>0</v>
      </c>
    </row>
    <row r="2069" spans="1:14">
      <c r="A2069" s="194">
        <v>41298.442384259259</v>
      </c>
      <c r="B2069" s="195">
        <v>2091</v>
      </c>
      <c r="C2069" s="194"/>
      <c r="D2069" s="194"/>
      <c r="E2069" s="198"/>
      <c r="G2069" s="202"/>
      <c r="J2069" s="195">
        <v>17</v>
      </c>
      <c r="K2069" s="204" t="s">
        <v>11</v>
      </c>
      <c r="L2069" s="199">
        <v>1</v>
      </c>
      <c r="M2069" s="200">
        <v>14.5</v>
      </c>
      <c r="N2069" s="201">
        <v>0</v>
      </c>
    </row>
    <row r="2070" spans="1:14">
      <c r="A2070" s="194">
        <v>41284.714583333334</v>
      </c>
      <c r="B2070" s="195">
        <v>2091</v>
      </c>
      <c r="C2070" s="194"/>
      <c r="D2070" s="194"/>
      <c r="E2070" s="198"/>
      <c r="G2070" s="202"/>
      <c r="J2070" s="195">
        <v>17</v>
      </c>
      <c r="K2070" s="204" t="s">
        <v>11</v>
      </c>
      <c r="L2070" s="199">
        <v>1</v>
      </c>
      <c r="M2070" s="200">
        <v>0.5</v>
      </c>
      <c r="N2070" s="201">
        <v>13</v>
      </c>
    </row>
    <row r="2071" spans="1:14">
      <c r="A2071" s="194">
        <v>41296.735937500001</v>
      </c>
      <c r="B2071" s="195">
        <v>2091</v>
      </c>
      <c r="C2071" s="194"/>
      <c r="D2071" s="194"/>
      <c r="E2071" s="198"/>
      <c r="G2071" s="202"/>
      <c r="J2071" s="195">
        <v>17</v>
      </c>
      <c r="K2071" s="204" t="s">
        <v>11</v>
      </c>
      <c r="L2071" s="199">
        <v>1</v>
      </c>
      <c r="M2071" s="200">
        <v>34.700000000000003</v>
      </c>
      <c r="N2071" s="201">
        <v>14</v>
      </c>
    </row>
    <row r="2072" spans="1:14">
      <c r="A2072" s="194">
        <v>41280.764884259261</v>
      </c>
      <c r="B2072" s="195">
        <v>2091</v>
      </c>
      <c r="C2072" s="194"/>
      <c r="D2072" s="194"/>
      <c r="E2072" s="198"/>
      <c r="G2072" s="202"/>
      <c r="J2072" s="195">
        <v>17</v>
      </c>
      <c r="K2072" s="204" t="s">
        <v>11</v>
      </c>
      <c r="L2072" s="199">
        <v>1</v>
      </c>
      <c r="M2072" s="200">
        <v>0.6</v>
      </c>
      <c r="N2072" s="201">
        <v>16</v>
      </c>
    </row>
    <row r="2073" spans="1:14">
      <c r="A2073" s="194">
        <v>41297.489942129629</v>
      </c>
      <c r="B2073" s="195">
        <v>2091</v>
      </c>
      <c r="C2073" s="194"/>
      <c r="D2073" s="194"/>
      <c r="E2073" s="198"/>
      <c r="G2073" s="202"/>
      <c r="J2073" s="195">
        <v>17</v>
      </c>
      <c r="K2073" s="204" t="s">
        <v>11</v>
      </c>
      <c r="L2073" s="199">
        <v>1</v>
      </c>
      <c r="M2073" s="200">
        <v>0.7</v>
      </c>
      <c r="N2073" s="201">
        <v>16</v>
      </c>
    </row>
    <row r="2074" spans="1:14">
      <c r="A2074" s="194">
        <v>41286.908229166664</v>
      </c>
      <c r="B2074" s="195">
        <v>2091</v>
      </c>
      <c r="C2074" s="194"/>
      <c r="D2074" s="194"/>
      <c r="E2074" s="198"/>
      <c r="G2074" s="202"/>
      <c r="J2074" s="195">
        <v>17</v>
      </c>
      <c r="K2074" s="204" t="s">
        <v>11</v>
      </c>
      <c r="L2074" s="199">
        <v>1</v>
      </c>
      <c r="M2074" s="200">
        <v>0.8</v>
      </c>
      <c r="N2074" s="201">
        <v>16</v>
      </c>
    </row>
    <row r="2075" spans="1:14">
      <c r="A2075" s="194">
        <v>41304.538680555554</v>
      </c>
      <c r="B2075" s="195">
        <v>2091</v>
      </c>
      <c r="C2075" s="194"/>
      <c r="D2075" s="194"/>
      <c r="E2075" s="198"/>
      <c r="G2075" s="202"/>
      <c r="J2075" s="195">
        <v>17</v>
      </c>
      <c r="K2075" s="204" t="s">
        <v>11</v>
      </c>
      <c r="L2075" s="199">
        <v>1</v>
      </c>
      <c r="M2075" s="200">
        <v>0.9</v>
      </c>
      <c r="N2075" s="201">
        <v>16</v>
      </c>
    </row>
    <row r="2076" spans="1:14">
      <c r="A2076" s="194">
        <v>41292.538483796299</v>
      </c>
      <c r="B2076" s="195">
        <v>2091</v>
      </c>
      <c r="C2076" s="194"/>
      <c r="D2076" s="194"/>
      <c r="E2076" s="198"/>
      <c r="G2076" s="202"/>
      <c r="J2076" s="195">
        <v>17</v>
      </c>
      <c r="K2076" s="204" t="s">
        <v>11</v>
      </c>
      <c r="L2076" s="199">
        <v>1</v>
      </c>
      <c r="M2076" s="200">
        <v>2.5</v>
      </c>
      <c r="N2076" s="201">
        <v>16</v>
      </c>
    </row>
    <row r="2077" spans="1:14">
      <c r="A2077" s="194">
        <v>41279.073287037034</v>
      </c>
      <c r="B2077" s="195">
        <v>2091</v>
      </c>
      <c r="C2077" s="194"/>
      <c r="D2077" s="194"/>
      <c r="E2077" s="198"/>
      <c r="G2077" s="202"/>
      <c r="J2077" s="195">
        <v>17</v>
      </c>
      <c r="K2077" s="204" t="s">
        <v>11</v>
      </c>
      <c r="L2077" s="199">
        <v>1</v>
      </c>
      <c r="M2077" s="200">
        <v>27</v>
      </c>
      <c r="N2077" s="201">
        <v>16</v>
      </c>
    </row>
    <row r="2078" spans="1:14">
      <c r="A2078" s="194">
        <v>41294.171643518515</v>
      </c>
      <c r="B2078" s="195">
        <v>2091</v>
      </c>
      <c r="C2078" s="194"/>
      <c r="D2078" s="194"/>
      <c r="E2078" s="198"/>
      <c r="G2078" s="202"/>
      <c r="J2078" s="195">
        <v>17</v>
      </c>
      <c r="K2078" s="204" t="s">
        <v>11</v>
      </c>
      <c r="L2078" s="199">
        <v>2</v>
      </c>
      <c r="M2078" s="200">
        <v>30.5</v>
      </c>
      <c r="N2078" s="201">
        <v>16</v>
      </c>
    </row>
    <row r="2079" spans="1:14">
      <c r="A2079" s="194">
        <v>41291.806689814817</v>
      </c>
      <c r="B2079" s="195">
        <v>2091</v>
      </c>
      <c r="C2079" s="194"/>
      <c r="D2079" s="194"/>
      <c r="E2079" s="198"/>
      <c r="G2079" s="202"/>
      <c r="J2079" s="195">
        <v>17</v>
      </c>
      <c r="K2079" s="204" t="s">
        <v>11</v>
      </c>
      <c r="L2079" s="199">
        <v>1</v>
      </c>
      <c r="M2079" s="200">
        <v>34.9</v>
      </c>
      <c r="N2079" s="201">
        <v>16</v>
      </c>
    </row>
    <row r="2080" spans="1:14">
      <c r="A2080" s="194">
        <v>41276.27003472222</v>
      </c>
      <c r="B2080" s="195">
        <v>2091</v>
      </c>
      <c r="C2080" s="194"/>
      <c r="D2080" s="194"/>
      <c r="E2080" s="198"/>
      <c r="G2080" s="202"/>
      <c r="J2080" s="195">
        <v>17</v>
      </c>
      <c r="K2080" s="204" t="s">
        <v>11</v>
      </c>
      <c r="L2080" s="199">
        <v>1</v>
      </c>
      <c r="M2080" s="200">
        <v>35.5</v>
      </c>
      <c r="N2080" s="201">
        <v>16</v>
      </c>
    </row>
    <row r="2081" spans="1:14">
      <c r="A2081" s="194">
        <v>41275.70753472222</v>
      </c>
      <c r="B2081" s="195">
        <v>2091</v>
      </c>
      <c r="C2081" s="194"/>
      <c r="D2081" s="194"/>
      <c r="E2081" s="198"/>
      <c r="G2081" s="202"/>
      <c r="J2081" s="195">
        <v>17</v>
      </c>
      <c r="K2081" s="204" t="s">
        <v>11</v>
      </c>
      <c r="L2081" s="199">
        <v>1</v>
      </c>
      <c r="M2081" s="200">
        <v>35.799999999999997</v>
      </c>
      <c r="N2081" s="201">
        <v>16</v>
      </c>
    </row>
    <row r="2082" spans="1:14">
      <c r="A2082" s="194">
        <v>41275.717951388891</v>
      </c>
      <c r="B2082" s="195">
        <v>2091</v>
      </c>
      <c r="C2082" s="194"/>
      <c r="D2082" s="194"/>
      <c r="E2082" s="198"/>
      <c r="G2082" s="202"/>
      <c r="J2082" s="195">
        <v>17</v>
      </c>
      <c r="K2082" s="204" t="s">
        <v>11</v>
      </c>
      <c r="L2082" s="199">
        <v>1</v>
      </c>
      <c r="M2082" s="200">
        <v>35.799999999999997</v>
      </c>
      <c r="N2082" s="201">
        <v>16</v>
      </c>
    </row>
    <row r="2083" spans="1:14">
      <c r="A2083" s="194">
        <v>41280.915914351855</v>
      </c>
      <c r="B2083" s="195">
        <v>2091</v>
      </c>
      <c r="C2083" s="194"/>
      <c r="D2083" s="194"/>
      <c r="E2083" s="198"/>
      <c r="G2083" s="202"/>
      <c r="J2083" s="195">
        <v>17</v>
      </c>
      <c r="K2083" s="204" t="s">
        <v>11</v>
      </c>
      <c r="L2083" s="199">
        <v>1</v>
      </c>
      <c r="M2083" s="200">
        <v>1.1000000000000001</v>
      </c>
      <c r="N2083" s="201">
        <v>17</v>
      </c>
    </row>
    <row r="2084" spans="1:14">
      <c r="A2084" s="194">
        <v>41287.692916666667</v>
      </c>
      <c r="B2084" s="195">
        <v>2091</v>
      </c>
      <c r="C2084" s="194"/>
      <c r="D2084" s="194"/>
      <c r="E2084" s="198"/>
      <c r="G2084" s="202"/>
      <c r="J2084" s="195">
        <v>17</v>
      </c>
      <c r="K2084" s="204" t="s">
        <v>11</v>
      </c>
      <c r="L2084" s="199">
        <v>1</v>
      </c>
      <c r="M2084" s="200">
        <v>1.8</v>
      </c>
      <c r="N2084" s="201">
        <v>17</v>
      </c>
    </row>
    <row r="2085" spans="1:14">
      <c r="A2085" s="194">
        <v>41288.816053240742</v>
      </c>
      <c r="B2085" s="195">
        <v>2091</v>
      </c>
      <c r="C2085" s="194"/>
      <c r="D2085" s="194"/>
      <c r="E2085" s="198"/>
      <c r="G2085" s="202"/>
      <c r="J2085" s="195">
        <v>17</v>
      </c>
      <c r="K2085" s="204" t="s">
        <v>11</v>
      </c>
      <c r="L2085" s="199">
        <v>1</v>
      </c>
      <c r="M2085" s="200">
        <v>34.799999999999997</v>
      </c>
      <c r="N2085" s="201">
        <v>17</v>
      </c>
    </row>
    <row r="2086" spans="1:14">
      <c r="A2086" s="194">
        <v>41277.526076388887</v>
      </c>
      <c r="B2086" s="195">
        <v>2091</v>
      </c>
      <c r="C2086" s="194"/>
      <c r="D2086" s="194"/>
      <c r="E2086" s="198"/>
      <c r="G2086" s="202"/>
      <c r="J2086" s="195">
        <v>17</v>
      </c>
      <c r="K2086" s="204" t="s">
        <v>11</v>
      </c>
      <c r="L2086" s="199">
        <v>1</v>
      </c>
      <c r="M2086" s="200">
        <v>1.7</v>
      </c>
      <c r="N2086" s="201">
        <v>18</v>
      </c>
    </row>
    <row r="2087" spans="1:14">
      <c r="A2087" s="194">
        <v>41294.844861111109</v>
      </c>
      <c r="B2087" s="195">
        <v>2091</v>
      </c>
      <c r="C2087" s="194"/>
      <c r="D2087" s="194"/>
      <c r="E2087" s="198"/>
      <c r="G2087" s="202"/>
      <c r="J2087" s="195">
        <v>17</v>
      </c>
      <c r="K2087" s="204" t="s">
        <v>11</v>
      </c>
      <c r="L2087" s="199">
        <v>2</v>
      </c>
      <c r="M2087" s="200">
        <v>2.1</v>
      </c>
      <c r="N2087" s="201">
        <v>18</v>
      </c>
    </row>
    <row r="2088" spans="1:14">
      <c r="A2088" s="194">
        <v>41300.577696759261</v>
      </c>
      <c r="B2088" s="195">
        <v>2091</v>
      </c>
      <c r="C2088" s="194"/>
      <c r="D2088" s="194"/>
      <c r="E2088" s="198"/>
      <c r="G2088" s="202"/>
      <c r="J2088" s="195">
        <v>17</v>
      </c>
      <c r="K2088" s="204" t="s">
        <v>11</v>
      </c>
      <c r="L2088" s="199">
        <v>2</v>
      </c>
      <c r="M2088" s="200">
        <v>1.5</v>
      </c>
      <c r="N2088" s="201">
        <v>19</v>
      </c>
    </row>
    <row r="2089" spans="1:14">
      <c r="A2089" s="194">
        <v>41276.797083333331</v>
      </c>
      <c r="B2089" s="195">
        <v>2091</v>
      </c>
      <c r="C2089" s="194"/>
      <c r="D2089" s="194"/>
      <c r="E2089" s="198"/>
      <c r="G2089" s="202"/>
      <c r="J2089" s="195">
        <v>17</v>
      </c>
      <c r="K2089" s="204" t="s">
        <v>11</v>
      </c>
      <c r="L2089" s="199">
        <v>1</v>
      </c>
      <c r="M2089" s="200">
        <v>35.9</v>
      </c>
      <c r="N2089" s="201">
        <v>19</v>
      </c>
    </row>
    <row r="2090" spans="1:14">
      <c r="A2090" s="194">
        <v>41298.274525462963</v>
      </c>
      <c r="B2090" s="195">
        <v>2091</v>
      </c>
      <c r="C2090" s="194"/>
      <c r="D2090" s="194"/>
      <c r="E2090" s="198"/>
      <c r="G2090" s="202"/>
      <c r="J2090" s="195">
        <v>17</v>
      </c>
      <c r="K2090" s="204" t="s">
        <v>11</v>
      </c>
      <c r="L2090" s="199">
        <v>1</v>
      </c>
      <c r="M2090" s="200">
        <v>35.6</v>
      </c>
      <c r="N2090" s="201">
        <v>20</v>
      </c>
    </row>
    <row r="2091" spans="1:14">
      <c r="A2091" s="194">
        <v>41299.628321759257</v>
      </c>
      <c r="B2091" s="195">
        <v>2091</v>
      </c>
      <c r="C2091" s="194"/>
      <c r="D2091" s="194"/>
      <c r="E2091" s="198"/>
      <c r="G2091" s="202"/>
      <c r="J2091" s="195">
        <v>17</v>
      </c>
      <c r="K2091" s="204" t="s">
        <v>11</v>
      </c>
      <c r="L2091" s="199">
        <v>1</v>
      </c>
      <c r="M2091" s="200">
        <v>4.2</v>
      </c>
      <c r="N2091" s="201">
        <v>22</v>
      </c>
    </row>
    <row r="2092" spans="1:14">
      <c r="A2092" s="194">
        <v>41299.294317129628</v>
      </c>
      <c r="B2092" s="195">
        <v>2091</v>
      </c>
      <c r="C2092" s="194"/>
      <c r="D2092" s="194"/>
      <c r="E2092" s="198"/>
      <c r="G2092" s="202"/>
      <c r="J2092" s="195">
        <v>17</v>
      </c>
      <c r="K2092" s="204" t="s">
        <v>11</v>
      </c>
      <c r="L2092" s="199">
        <v>1</v>
      </c>
      <c r="M2092" s="200">
        <v>35.6</v>
      </c>
      <c r="N2092" s="201">
        <v>22</v>
      </c>
    </row>
    <row r="2093" spans="1:14">
      <c r="A2093" s="194">
        <v>41298.738043981481</v>
      </c>
      <c r="B2093" s="195">
        <v>2091</v>
      </c>
      <c r="C2093" s="194"/>
      <c r="D2093" s="194"/>
      <c r="E2093" s="198"/>
      <c r="G2093" s="202"/>
      <c r="J2093" s="195">
        <v>17</v>
      </c>
      <c r="K2093" s="204" t="s">
        <v>11</v>
      </c>
      <c r="L2093" s="199">
        <v>1</v>
      </c>
      <c r="M2093" s="200">
        <v>35.700000000000003</v>
      </c>
      <c r="N2093" s="201">
        <v>22</v>
      </c>
    </row>
    <row r="2094" spans="1:14">
      <c r="A2094" s="194">
        <v>41297.747430555559</v>
      </c>
      <c r="B2094" s="195">
        <v>2091</v>
      </c>
      <c r="C2094" s="194"/>
      <c r="D2094" s="194"/>
      <c r="E2094" s="198"/>
      <c r="G2094" s="202"/>
      <c r="J2094" s="195">
        <v>17</v>
      </c>
      <c r="K2094" s="204" t="s">
        <v>11</v>
      </c>
      <c r="L2094" s="199">
        <v>1</v>
      </c>
      <c r="M2094" s="200">
        <v>35.9</v>
      </c>
      <c r="N2094" s="201">
        <v>23</v>
      </c>
    </row>
    <row r="2095" spans="1:14">
      <c r="A2095" s="194">
        <v>41278.134988425925</v>
      </c>
      <c r="B2095" s="195">
        <v>2091</v>
      </c>
      <c r="C2095" s="194"/>
      <c r="D2095" s="194"/>
      <c r="E2095" s="198"/>
      <c r="G2095" s="202"/>
      <c r="J2095" s="195">
        <v>17</v>
      </c>
      <c r="K2095" s="204" t="s">
        <v>11</v>
      </c>
      <c r="L2095" s="199">
        <v>2</v>
      </c>
      <c r="M2095" s="200">
        <v>30.8</v>
      </c>
      <c r="N2095" s="201">
        <v>30</v>
      </c>
    </row>
    <row r="2096" spans="1:14">
      <c r="A2096" s="194">
        <v>41294.998819444445</v>
      </c>
      <c r="B2096" s="195">
        <v>2091</v>
      </c>
      <c r="C2096" s="194"/>
      <c r="D2096" s="194"/>
      <c r="E2096" s="196" t="s">
        <v>2111</v>
      </c>
      <c r="G2096" s="202"/>
      <c r="J2096" s="195">
        <v>17</v>
      </c>
      <c r="K2096" s="204" t="s">
        <v>11</v>
      </c>
      <c r="L2096" s="199">
        <v>1</v>
      </c>
      <c r="M2096" s="200">
        <v>31</v>
      </c>
      <c r="N2096" s="201">
        <v>31</v>
      </c>
    </row>
    <row r="2097" spans="1:14">
      <c r="A2097" s="194">
        <v>41300.192418981482</v>
      </c>
      <c r="B2097" s="195">
        <v>2091</v>
      </c>
      <c r="C2097" s="194"/>
      <c r="D2097" s="194"/>
      <c r="E2097" s="198"/>
      <c r="G2097" s="202"/>
      <c r="J2097" s="195">
        <v>18</v>
      </c>
      <c r="K2097" s="204" t="s">
        <v>5</v>
      </c>
      <c r="L2097" s="199">
        <v>2</v>
      </c>
      <c r="M2097" s="200">
        <v>17.899999999999999</v>
      </c>
      <c r="N2097" s="201">
        <v>17</v>
      </c>
    </row>
    <row r="2098" spans="1:14">
      <c r="A2098" s="194">
        <v>41293.186157407406</v>
      </c>
      <c r="B2098" s="195">
        <v>2091</v>
      </c>
      <c r="C2098" s="194"/>
      <c r="D2098" s="194"/>
      <c r="E2098" s="198"/>
      <c r="G2098" s="202"/>
      <c r="J2098" s="195">
        <v>18</v>
      </c>
      <c r="K2098" s="204" t="s">
        <v>5</v>
      </c>
      <c r="L2098" s="199">
        <v>2</v>
      </c>
      <c r="M2098" s="200">
        <v>8.8000000000000007</v>
      </c>
      <c r="N2098" s="201">
        <v>19</v>
      </c>
    </row>
    <row r="2099" spans="1:14">
      <c r="A2099" s="194">
        <v>41294.876087962963</v>
      </c>
      <c r="B2099" s="195">
        <v>2091</v>
      </c>
      <c r="C2099" s="194"/>
      <c r="D2099" s="194"/>
      <c r="E2099" s="198"/>
      <c r="G2099" s="202"/>
      <c r="J2099" s="195">
        <v>18</v>
      </c>
      <c r="K2099" s="204" t="s">
        <v>5</v>
      </c>
      <c r="L2099" s="199">
        <v>2</v>
      </c>
      <c r="M2099" s="200">
        <v>1</v>
      </c>
      <c r="N2099" s="201">
        <v>22</v>
      </c>
    </row>
    <row r="2100" spans="1:14">
      <c r="A2100" s="194">
        <v>41300.371967592589</v>
      </c>
      <c r="B2100" s="195">
        <v>2091</v>
      </c>
      <c r="C2100" s="194"/>
      <c r="D2100" s="194"/>
      <c r="E2100" s="198"/>
      <c r="G2100" s="202"/>
      <c r="J2100" s="195">
        <v>20</v>
      </c>
      <c r="K2100" s="204" t="s">
        <v>26</v>
      </c>
      <c r="L2100" s="199">
        <v>2</v>
      </c>
      <c r="M2100" s="200">
        <v>0.3</v>
      </c>
      <c r="N2100" s="201">
        <v>31</v>
      </c>
    </row>
    <row r="2101" spans="1:14">
      <c r="A2101" s="194">
        <v>41302.839768518519</v>
      </c>
      <c r="B2101" s="195">
        <v>2091</v>
      </c>
      <c r="C2101" s="194"/>
      <c r="D2101" s="194"/>
      <c r="E2101" s="196" t="s">
        <v>2002</v>
      </c>
      <c r="G2101" s="202"/>
      <c r="J2101" s="195">
        <v>24</v>
      </c>
      <c r="K2101" s="204" t="s">
        <v>25</v>
      </c>
      <c r="L2101" s="199">
        <v>1</v>
      </c>
      <c r="M2101" s="200">
        <v>0.5</v>
      </c>
      <c r="N2101" s="201">
        <v>15</v>
      </c>
    </row>
    <row r="2102" spans="1:14">
      <c r="A2102" s="194">
        <v>41278.56521990741</v>
      </c>
      <c r="B2102" s="195">
        <v>2091</v>
      </c>
      <c r="C2102" s="194"/>
      <c r="D2102" s="194"/>
      <c r="E2102" s="196" t="s">
        <v>1931</v>
      </c>
      <c r="G2102" s="202"/>
      <c r="J2102" s="195">
        <v>24</v>
      </c>
      <c r="K2102" s="204" t="s">
        <v>25</v>
      </c>
      <c r="L2102" s="199">
        <v>1</v>
      </c>
      <c r="M2102" s="200">
        <v>1.5</v>
      </c>
      <c r="N2102" s="201">
        <v>16</v>
      </c>
    </row>
    <row r="2103" spans="1:14">
      <c r="A2103" s="194">
        <v>41284.429884259262</v>
      </c>
      <c r="B2103" s="195">
        <v>2091</v>
      </c>
      <c r="C2103" s="194"/>
      <c r="D2103" s="194"/>
      <c r="E2103" s="196" t="s">
        <v>1959</v>
      </c>
      <c r="G2103" s="202"/>
      <c r="J2103" s="195">
        <v>24</v>
      </c>
      <c r="K2103" s="204" t="s">
        <v>25</v>
      </c>
      <c r="L2103" s="199">
        <v>1</v>
      </c>
      <c r="M2103" s="200">
        <v>0.3</v>
      </c>
      <c r="N2103" s="201">
        <v>17</v>
      </c>
    </row>
    <row r="2104" spans="1:14">
      <c r="A2104" s="194">
        <v>41286.704212962963</v>
      </c>
      <c r="B2104" s="195">
        <v>2091</v>
      </c>
      <c r="C2104" s="194"/>
      <c r="D2104" s="194"/>
      <c r="E2104" s="196" t="s">
        <v>2093</v>
      </c>
      <c r="G2104" s="202"/>
      <c r="J2104" s="195">
        <v>24</v>
      </c>
      <c r="K2104" s="204" t="s">
        <v>25</v>
      </c>
      <c r="L2104" s="199">
        <v>1</v>
      </c>
      <c r="M2104" s="200">
        <v>1.5</v>
      </c>
      <c r="N2104" s="201">
        <v>22</v>
      </c>
    </row>
    <row r="2105" spans="1:14">
      <c r="A2105" s="194">
        <v>41278.513124999998</v>
      </c>
      <c r="B2105" s="195">
        <v>2091</v>
      </c>
      <c r="C2105" s="194"/>
      <c r="D2105" s="194"/>
      <c r="E2105" s="196" t="s">
        <v>1608</v>
      </c>
      <c r="G2105" s="202"/>
      <c r="J2105" s="195">
        <v>24</v>
      </c>
      <c r="K2105" s="204" t="s">
        <v>25</v>
      </c>
      <c r="L2105" s="199">
        <v>1</v>
      </c>
      <c r="M2105" s="200">
        <v>0.4</v>
      </c>
      <c r="N2105" s="201">
        <v>27</v>
      </c>
    </row>
    <row r="2106" spans="1:14">
      <c r="A2106" s="194">
        <v>41278.518333333333</v>
      </c>
      <c r="B2106" s="195">
        <v>2091</v>
      </c>
      <c r="C2106" s="194"/>
      <c r="D2106" s="194"/>
      <c r="E2106" s="196" t="s">
        <v>1765</v>
      </c>
      <c r="G2106" s="202"/>
      <c r="J2106" s="195">
        <v>24</v>
      </c>
      <c r="K2106" s="204" t="s">
        <v>25</v>
      </c>
      <c r="L2106" s="199">
        <v>2</v>
      </c>
      <c r="M2106" s="200">
        <v>0.4</v>
      </c>
      <c r="N2106" s="201">
        <v>27</v>
      </c>
    </row>
    <row r="2107" spans="1:14">
      <c r="A2107" s="194">
        <v>41299.865844907406</v>
      </c>
      <c r="B2107" s="195">
        <v>2091</v>
      </c>
      <c r="C2107" s="194"/>
      <c r="D2107" s="194"/>
      <c r="E2107" s="196" t="s">
        <v>1705</v>
      </c>
      <c r="G2107" s="202"/>
      <c r="J2107" s="195">
        <v>24</v>
      </c>
      <c r="K2107" s="204" t="s">
        <v>25</v>
      </c>
      <c r="L2107" s="199">
        <v>1</v>
      </c>
      <c r="M2107" s="200">
        <v>1</v>
      </c>
      <c r="N2107" s="201">
        <v>28</v>
      </c>
    </row>
    <row r="2108" spans="1:14">
      <c r="A2108" s="194">
        <v>41291.860497685186</v>
      </c>
      <c r="B2108" s="195">
        <v>2091</v>
      </c>
      <c r="C2108" s="194"/>
      <c r="D2108" s="194"/>
      <c r="E2108" s="196" t="s">
        <v>1864</v>
      </c>
      <c r="G2108" s="202"/>
      <c r="J2108" s="195">
        <v>24</v>
      </c>
      <c r="K2108" s="204" t="s">
        <v>25</v>
      </c>
      <c r="L2108" s="199">
        <v>2</v>
      </c>
      <c r="M2108" s="200">
        <v>0.5</v>
      </c>
      <c r="N2108" s="201">
        <v>29</v>
      </c>
    </row>
    <row r="2109" spans="1:14">
      <c r="A2109" s="194">
        <v>41299.975208333337</v>
      </c>
      <c r="B2109" s="195">
        <v>2091</v>
      </c>
      <c r="C2109" s="194"/>
      <c r="D2109" s="194"/>
      <c r="E2109" s="196" t="s">
        <v>1598</v>
      </c>
      <c r="G2109" s="202"/>
      <c r="J2109" s="195">
        <v>24</v>
      </c>
      <c r="K2109" s="204" t="s">
        <v>25</v>
      </c>
      <c r="L2109" s="199">
        <v>2</v>
      </c>
      <c r="M2109" s="200">
        <v>0.4</v>
      </c>
      <c r="N2109" s="201">
        <v>30</v>
      </c>
    </row>
    <row r="2110" spans="1:14">
      <c r="A2110" s="194">
        <v>41305.431041666663</v>
      </c>
      <c r="B2110" s="195">
        <v>2091</v>
      </c>
      <c r="C2110" s="194"/>
      <c r="D2110" s="194"/>
      <c r="E2110" s="196" t="s">
        <v>1714</v>
      </c>
      <c r="G2110" s="202"/>
      <c r="J2110" s="195">
        <v>24</v>
      </c>
      <c r="K2110" s="204" t="s">
        <v>25</v>
      </c>
      <c r="L2110" s="199">
        <v>1</v>
      </c>
      <c r="M2110" s="200">
        <v>1.1000000000000001</v>
      </c>
      <c r="N2110" s="201">
        <v>30</v>
      </c>
    </row>
    <row r="2111" spans="1:14">
      <c r="A2111" s="194">
        <v>41297.408460648148</v>
      </c>
      <c r="B2111" s="195">
        <v>2091</v>
      </c>
      <c r="C2111" s="194"/>
      <c r="D2111" s="194"/>
      <c r="E2111" s="196" t="s">
        <v>1736</v>
      </c>
      <c r="G2111" s="202"/>
      <c r="J2111" s="195">
        <v>24</v>
      </c>
      <c r="K2111" s="204" t="s">
        <v>25</v>
      </c>
      <c r="L2111" s="199">
        <v>2</v>
      </c>
      <c r="M2111" s="200">
        <v>0.4</v>
      </c>
      <c r="N2111" s="201">
        <v>35</v>
      </c>
    </row>
    <row r="2112" spans="1:14">
      <c r="A2112" s="194">
        <v>41293.627083333333</v>
      </c>
      <c r="B2112" s="195">
        <v>2091</v>
      </c>
      <c r="C2112" s="194"/>
      <c r="D2112" s="194"/>
      <c r="E2112" s="196" t="s">
        <v>1845</v>
      </c>
      <c r="G2112" s="202"/>
      <c r="J2112" s="195">
        <v>24</v>
      </c>
      <c r="K2112" s="204" t="s">
        <v>25</v>
      </c>
      <c r="L2112" s="199">
        <v>2</v>
      </c>
      <c r="M2112" s="200">
        <v>0.4</v>
      </c>
      <c r="N2112" s="201">
        <v>35</v>
      </c>
    </row>
    <row r="2113" spans="1:14">
      <c r="A2113" s="194">
        <v>41292.454270833332</v>
      </c>
      <c r="B2113" s="195">
        <v>2091</v>
      </c>
      <c r="C2113" s="194"/>
      <c r="D2113" s="194"/>
      <c r="E2113" s="196" t="s">
        <v>2162</v>
      </c>
      <c r="G2113" s="202"/>
      <c r="J2113" s="195">
        <v>29</v>
      </c>
      <c r="K2113" s="204" t="s">
        <v>39</v>
      </c>
      <c r="L2113" s="199">
        <v>1</v>
      </c>
      <c r="M2113" s="200">
        <v>0.3</v>
      </c>
      <c r="N2113" s="201">
        <v>19</v>
      </c>
    </row>
    <row r="2114" spans="1:14">
      <c r="A2114" s="194">
        <v>41294.429108796299</v>
      </c>
      <c r="B2114" s="195">
        <v>2091</v>
      </c>
      <c r="C2114" s="194"/>
      <c r="D2114" s="194"/>
      <c r="E2114" s="196" t="s">
        <v>1840</v>
      </c>
      <c r="G2114" s="202"/>
      <c r="J2114" s="195">
        <v>29</v>
      </c>
      <c r="K2114" s="204" t="s">
        <v>39</v>
      </c>
      <c r="L2114" s="199">
        <v>1</v>
      </c>
      <c r="M2114" s="200">
        <v>0.6</v>
      </c>
      <c r="N2114" s="201">
        <v>20</v>
      </c>
    </row>
    <row r="2115" spans="1:14">
      <c r="A2115" s="194">
        <v>41300.915335648147</v>
      </c>
      <c r="B2115" s="195">
        <v>2091</v>
      </c>
      <c r="C2115" s="194"/>
      <c r="D2115" s="194"/>
      <c r="E2115" s="196" t="s">
        <v>1601</v>
      </c>
      <c r="G2115" s="202"/>
      <c r="J2115" s="195">
        <v>29</v>
      </c>
      <c r="K2115" s="204" t="s">
        <v>39</v>
      </c>
      <c r="L2115" s="199">
        <v>1</v>
      </c>
      <c r="M2115" s="200">
        <v>1.1000000000000001</v>
      </c>
      <c r="N2115" s="201">
        <v>20</v>
      </c>
    </row>
    <row r="2116" spans="1:14">
      <c r="A2116" s="194">
        <v>41285.258703703701</v>
      </c>
      <c r="B2116" s="195">
        <v>2091</v>
      </c>
      <c r="C2116" s="194"/>
      <c r="D2116" s="194"/>
      <c r="E2116" s="196" t="s">
        <v>1684</v>
      </c>
      <c r="G2116" s="202"/>
      <c r="J2116" s="195">
        <v>29</v>
      </c>
      <c r="K2116" s="204" t="s">
        <v>39</v>
      </c>
      <c r="L2116" s="199">
        <v>2</v>
      </c>
      <c r="M2116" s="200">
        <v>35.200000000000003</v>
      </c>
      <c r="N2116" s="201">
        <v>26</v>
      </c>
    </row>
    <row r="2117" spans="1:14">
      <c r="A2117" s="194">
        <v>41277.454895833333</v>
      </c>
      <c r="B2117" s="195">
        <v>2091</v>
      </c>
      <c r="C2117" s="194"/>
      <c r="D2117" s="194"/>
      <c r="E2117" s="196" t="s">
        <v>2142</v>
      </c>
      <c r="G2117" s="202"/>
      <c r="J2117" s="195">
        <v>29</v>
      </c>
      <c r="K2117" s="204" t="s">
        <v>39</v>
      </c>
      <c r="L2117" s="199">
        <v>2</v>
      </c>
      <c r="M2117" s="200">
        <v>0.6</v>
      </c>
      <c r="N2117" s="201">
        <v>29</v>
      </c>
    </row>
    <row r="2118" spans="1:14">
      <c r="A2118" s="194">
        <v>41299.873657407406</v>
      </c>
      <c r="B2118" s="195">
        <v>2091</v>
      </c>
      <c r="C2118" s="194"/>
      <c r="D2118" s="194"/>
      <c r="E2118" s="196" t="s">
        <v>1813</v>
      </c>
      <c r="G2118" s="202"/>
      <c r="J2118" s="195">
        <v>29</v>
      </c>
      <c r="K2118" s="204" t="s">
        <v>39</v>
      </c>
      <c r="L2118" s="199">
        <v>2</v>
      </c>
      <c r="M2118" s="200">
        <v>0.6</v>
      </c>
      <c r="N2118" s="201">
        <v>30</v>
      </c>
    </row>
    <row r="2119" spans="1:14">
      <c r="A2119" s="194">
        <v>41286.973310185182</v>
      </c>
      <c r="B2119" s="195">
        <v>2091</v>
      </c>
      <c r="C2119" s="194"/>
      <c r="D2119" s="194"/>
      <c r="E2119" s="196" t="s">
        <v>1898</v>
      </c>
      <c r="G2119" s="202"/>
      <c r="J2119" s="195">
        <v>29</v>
      </c>
      <c r="K2119" s="204" t="s">
        <v>39</v>
      </c>
      <c r="L2119" s="199">
        <v>2</v>
      </c>
      <c r="M2119" s="200">
        <v>0.4</v>
      </c>
      <c r="N2119" s="201">
        <v>32</v>
      </c>
    </row>
    <row r="2120" spans="1:14">
      <c r="A2120" s="194">
        <v>41294.489861111113</v>
      </c>
      <c r="B2120" s="195">
        <v>2091</v>
      </c>
      <c r="C2120" s="194"/>
      <c r="D2120" s="194"/>
      <c r="E2120" s="196" t="s">
        <v>2081</v>
      </c>
      <c r="G2120" s="202"/>
      <c r="J2120" s="195">
        <v>29</v>
      </c>
      <c r="K2120" s="204" t="s">
        <v>39</v>
      </c>
      <c r="L2120" s="199">
        <v>2</v>
      </c>
      <c r="M2120" s="200">
        <v>2.2999999999999998</v>
      </c>
      <c r="N2120" s="201">
        <v>32</v>
      </c>
    </row>
    <row r="2121" spans="1:14">
      <c r="A2121" s="194">
        <v>41295.440462962964</v>
      </c>
      <c r="B2121" s="195">
        <v>2091</v>
      </c>
      <c r="C2121" s="194"/>
      <c r="D2121" s="194"/>
      <c r="E2121" s="196" t="s">
        <v>1620</v>
      </c>
      <c r="G2121" s="202"/>
      <c r="J2121" s="195">
        <v>29</v>
      </c>
      <c r="K2121" s="204" t="s">
        <v>39</v>
      </c>
      <c r="L2121" s="199">
        <v>1</v>
      </c>
      <c r="M2121" s="200">
        <v>0.3</v>
      </c>
      <c r="N2121" s="201">
        <v>34</v>
      </c>
    </row>
    <row r="2122" spans="1:14">
      <c r="A2122" s="194">
        <v>41284.88821759259</v>
      </c>
      <c r="B2122" s="195">
        <v>2091</v>
      </c>
      <c r="C2122" s="194"/>
      <c r="D2122" s="194"/>
      <c r="E2122" s="196" t="s">
        <v>1694</v>
      </c>
      <c r="G2122" s="202"/>
      <c r="J2122" s="195">
        <v>29</v>
      </c>
      <c r="K2122" s="204" t="s">
        <v>39</v>
      </c>
      <c r="L2122" s="199">
        <v>2</v>
      </c>
      <c r="M2122" s="200">
        <v>0.3</v>
      </c>
      <c r="N2122" s="201">
        <v>39</v>
      </c>
    </row>
    <row r="2123" spans="1:14">
      <c r="A2123" s="194">
        <v>41291.466423611113</v>
      </c>
      <c r="B2123" s="195">
        <v>2091</v>
      </c>
      <c r="C2123" s="194"/>
      <c r="D2123" s="194"/>
      <c r="E2123" s="198"/>
      <c r="G2123" s="202"/>
      <c r="J2123" s="195">
        <v>43</v>
      </c>
      <c r="K2123" s="204" t="s">
        <v>1596</v>
      </c>
      <c r="L2123" s="199">
        <v>1</v>
      </c>
      <c r="M2123" s="200">
        <v>1.3</v>
      </c>
      <c r="N2123" s="201">
        <v>16</v>
      </c>
    </row>
    <row r="2124" spans="1:14">
      <c r="A2124" s="194">
        <v>41278.478437500002</v>
      </c>
      <c r="B2124" s="195">
        <v>2091</v>
      </c>
      <c r="C2124" s="194"/>
      <c r="D2124" s="194"/>
      <c r="E2124" s="198"/>
      <c r="G2124" s="202"/>
      <c r="J2124" s="195">
        <v>43</v>
      </c>
      <c r="K2124" s="204" t="s">
        <v>1596</v>
      </c>
      <c r="L2124" s="199">
        <v>1</v>
      </c>
      <c r="M2124" s="200">
        <v>3.8</v>
      </c>
      <c r="N2124" s="201">
        <v>16</v>
      </c>
    </row>
    <row r="2125" spans="1:14">
      <c r="A2125" s="194">
        <v>41301.665393518517</v>
      </c>
      <c r="B2125" s="195">
        <v>2091</v>
      </c>
      <c r="C2125" s="194"/>
      <c r="D2125" s="194"/>
      <c r="E2125" s="198"/>
      <c r="G2125" s="202"/>
      <c r="J2125" s="195">
        <v>43</v>
      </c>
      <c r="K2125" s="204" t="s">
        <v>1596</v>
      </c>
      <c r="L2125" s="199">
        <v>2</v>
      </c>
      <c r="M2125" s="200">
        <v>0.3</v>
      </c>
      <c r="N2125" s="201">
        <v>17</v>
      </c>
    </row>
    <row r="2126" spans="1:14">
      <c r="A2126" s="194">
        <v>41305.950972222221</v>
      </c>
      <c r="B2126" s="195">
        <v>2091</v>
      </c>
      <c r="C2126" s="194"/>
      <c r="D2126" s="194"/>
      <c r="E2126" s="196" t="s">
        <v>1607</v>
      </c>
      <c r="G2126" s="202"/>
      <c r="J2126" s="195">
        <v>43</v>
      </c>
      <c r="K2126" s="204" t="s">
        <v>1596</v>
      </c>
      <c r="L2126" s="199">
        <v>1</v>
      </c>
      <c r="M2126" s="200">
        <v>0.3</v>
      </c>
      <c r="N2126" s="201">
        <v>17</v>
      </c>
    </row>
    <row r="2127" spans="1:14">
      <c r="A2127" s="194">
        <v>41299.447453703702</v>
      </c>
      <c r="B2127" s="195">
        <v>2091</v>
      </c>
      <c r="C2127" s="194"/>
      <c r="D2127" s="194"/>
      <c r="E2127" s="198"/>
      <c r="G2127" s="202"/>
      <c r="J2127" s="195">
        <v>43</v>
      </c>
      <c r="K2127" s="204" t="s">
        <v>1596</v>
      </c>
      <c r="L2127" s="199">
        <v>1</v>
      </c>
      <c r="M2127" s="200">
        <v>1.1000000000000001</v>
      </c>
      <c r="N2127" s="201">
        <v>17</v>
      </c>
    </row>
    <row r="2128" spans="1:14">
      <c r="A2128" s="194">
        <v>41285.428993055553</v>
      </c>
      <c r="B2128" s="195">
        <v>2091</v>
      </c>
      <c r="C2128" s="194"/>
      <c r="D2128" s="194"/>
      <c r="E2128" s="198"/>
      <c r="G2128" s="202"/>
      <c r="J2128" s="195">
        <v>43</v>
      </c>
      <c r="K2128" s="204" t="s">
        <v>1596</v>
      </c>
      <c r="L2128" s="199">
        <v>1</v>
      </c>
      <c r="M2128" s="200">
        <v>2</v>
      </c>
      <c r="N2128" s="201">
        <v>17</v>
      </c>
    </row>
    <row r="2129" spans="1:14">
      <c r="A2129" s="194">
        <v>41294.465543981481</v>
      </c>
      <c r="B2129" s="195">
        <v>2091</v>
      </c>
      <c r="C2129" s="194"/>
      <c r="D2129" s="194"/>
      <c r="E2129" s="198"/>
      <c r="G2129" s="202"/>
      <c r="J2129" s="195">
        <v>43</v>
      </c>
      <c r="K2129" s="204" t="s">
        <v>1596</v>
      </c>
      <c r="L2129" s="199">
        <v>1</v>
      </c>
      <c r="M2129" s="200">
        <v>0.4</v>
      </c>
      <c r="N2129" s="201">
        <v>18</v>
      </c>
    </row>
    <row r="2130" spans="1:14">
      <c r="A2130" s="194">
        <v>41302.466539351852</v>
      </c>
      <c r="B2130" s="195">
        <v>2091</v>
      </c>
      <c r="C2130" s="194"/>
      <c r="D2130" s="194"/>
      <c r="E2130" s="198"/>
      <c r="G2130" s="202"/>
      <c r="J2130" s="195">
        <v>43</v>
      </c>
      <c r="K2130" s="204" t="s">
        <v>1596</v>
      </c>
      <c r="L2130" s="199">
        <v>1</v>
      </c>
      <c r="M2130" s="200">
        <v>1</v>
      </c>
      <c r="N2130" s="201">
        <v>18</v>
      </c>
    </row>
    <row r="2131" spans="1:14">
      <c r="A2131" s="194">
        <v>41293.626215277778</v>
      </c>
      <c r="B2131" s="195">
        <v>2091</v>
      </c>
      <c r="C2131" s="194"/>
      <c r="D2131" s="194"/>
      <c r="E2131" s="198"/>
      <c r="G2131" s="202"/>
      <c r="J2131" s="195">
        <v>43</v>
      </c>
      <c r="K2131" s="204" t="s">
        <v>1596</v>
      </c>
      <c r="L2131" s="199">
        <v>1</v>
      </c>
      <c r="M2131" s="200">
        <v>1.2</v>
      </c>
      <c r="N2131" s="201">
        <v>18</v>
      </c>
    </row>
    <row r="2132" spans="1:14">
      <c r="A2132" s="194">
        <v>41305.840763888889</v>
      </c>
      <c r="B2132" s="195">
        <v>2091</v>
      </c>
      <c r="C2132" s="194"/>
      <c r="D2132" s="194"/>
      <c r="E2132" s="198"/>
      <c r="G2132" s="202"/>
      <c r="J2132" s="195">
        <v>43</v>
      </c>
      <c r="K2132" s="204" t="s">
        <v>1596</v>
      </c>
      <c r="L2132" s="199">
        <v>1</v>
      </c>
      <c r="M2132" s="200">
        <v>0.8</v>
      </c>
      <c r="N2132" s="201">
        <v>19</v>
      </c>
    </row>
    <row r="2133" spans="1:14">
      <c r="A2133" s="194">
        <v>41305.535196759258</v>
      </c>
      <c r="B2133" s="195">
        <v>2091</v>
      </c>
      <c r="C2133" s="194"/>
      <c r="D2133" s="194"/>
      <c r="E2133" s="198"/>
      <c r="G2133" s="202"/>
      <c r="J2133" s="195">
        <v>43</v>
      </c>
      <c r="K2133" s="204" t="s">
        <v>1596</v>
      </c>
      <c r="L2133" s="199">
        <v>1</v>
      </c>
      <c r="M2133" s="200">
        <v>0.3</v>
      </c>
      <c r="N2133" s="201">
        <v>21</v>
      </c>
    </row>
    <row r="2134" spans="1:14">
      <c r="A2134" s="194">
        <v>41285.554814814815</v>
      </c>
      <c r="B2134" s="195">
        <v>2091</v>
      </c>
      <c r="C2134" s="194"/>
      <c r="D2134" s="194"/>
      <c r="E2134" s="198"/>
      <c r="G2134" s="202"/>
      <c r="J2134" s="195">
        <v>43</v>
      </c>
      <c r="K2134" s="204" t="s">
        <v>1596</v>
      </c>
      <c r="L2134" s="199">
        <v>1</v>
      </c>
      <c r="M2134" s="200">
        <v>1.2</v>
      </c>
      <c r="N2134" s="201">
        <v>21</v>
      </c>
    </row>
    <row r="2135" spans="1:14">
      <c r="A2135" s="194">
        <v>41297.457812499997</v>
      </c>
      <c r="B2135" s="195">
        <v>2091</v>
      </c>
      <c r="C2135" s="194"/>
      <c r="D2135" s="194"/>
      <c r="E2135" s="198"/>
      <c r="G2135" s="202"/>
      <c r="J2135" s="195">
        <v>4400</v>
      </c>
      <c r="K2135" s="204" t="s">
        <v>37</v>
      </c>
      <c r="L2135" s="199">
        <v>1</v>
      </c>
      <c r="M2135" s="200">
        <v>0.4</v>
      </c>
      <c r="N2135" s="201">
        <v>27</v>
      </c>
    </row>
    <row r="2136" spans="1:14">
      <c r="A2136" s="194">
        <v>41301.007395833331</v>
      </c>
      <c r="B2136" s="195">
        <v>2111</v>
      </c>
      <c r="C2136" s="194"/>
      <c r="D2136" s="194"/>
      <c r="E2136" s="196" t="s">
        <v>368</v>
      </c>
      <c r="F2136" s="195">
        <v>456</v>
      </c>
      <c r="G2136" s="197" t="s">
        <v>141</v>
      </c>
      <c r="H2136" s="197" t="s">
        <v>223</v>
      </c>
      <c r="I2136" s="196" t="s">
        <v>226</v>
      </c>
      <c r="J2136" s="195">
        <v>1</v>
      </c>
      <c r="K2136" s="204" t="s">
        <v>224</v>
      </c>
      <c r="L2136" s="199">
        <v>1</v>
      </c>
      <c r="M2136" s="200">
        <v>0.5</v>
      </c>
      <c r="N2136" s="201">
        <v>16</v>
      </c>
    </row>
    <row r="2137" spans="1:14">
      <c r="A2137" s="194">
        <v>41275.666076388887</v>
      </c>
      <c r="B2137" s="195">
        <v>2111</v>
      </c>
      <c r="C2137" s="194"/>
      <c r="D2137" s="194"/>
      <c r="E2137" s="196" t="s">
        <v>229</v>
      </c>
      <c r="F2137" s="195">
        <v>456</v>
      </c>
      <c r="G2137" s="197" t="s">
        <v>141</v>
      </c>
      <c r="H2137" s="197" t="s">
        <v>223</v>
      </c>
      <c r="I2137" s="196" t="s">
        <v>226</v>
      </c>
      <c r="J2137" s="195">
        <v>1</v>
      </c>
      <c r="K2137" s="204" t="s">
        <v>224</v>
      </c>
      <c r="L2137" s="199">
        <v>1</v>
      </c>
      <c r="M2137" s="200">
        <v>0.5</v>
      </c>
      <c r="N2137" s="201">
        <v>17</v>
      </c>
    </row>
    <row r="2138" spans="1:14">
      <c r="A2138" s="194">
        <v>41303.362939814811</v>
      </c>
      <c r="B2138" s="195">
        <v>2111</v>
      </c>
      <c r="C2138" s="194"/>
      <c r="D2138" s="194"/>
      <c r="E2138" s="196" t="s">
        <v>391</v>
      </c>
      <c r="F2138" s="195">
        <v>456</v>
      </c>
      <c r="G2138" s="197" t="s">
        <v>141</v>
      </c>
      <c r="H2138" s="197" t="s">
        <v>223</v>
      </c>
      <c r="I2138" s="196" t="s">
        <v>226</v>
      </c>
      <c r="J2138" s="195">
        <v>1</v>
      </c>
      <c r="K2138" s="204" t="s">
        <v>224</v>
      </c>
      <c r="L2138" s="199">
        <v>1</v>
      </c>
      <c r="M2138" s="200">
        <v>0.4</v>
      </c>
      <c r="N2138" s="201">
        <v>19</v>
      </c>
    </row>
    <row r="2139" spans="1:14">
      <c r="A2139" s="194">
        <v>41284.56759259259</v>
      </c>
      <c r="B2139" s="195">
        <v>2111</v>
      </c>
      <c r="C2139" s="194"/>
      <c r="D2139" s="194"/>
      <c r="E2139" s="196" t="s">
        <v>298</v>
      </c>
      <c r="F2139" s="195">
        <v>456</v>
      </c>
      <c r="G2139" s="197" t="s">
        <v>141</v>
      </c>
      <c r="H2139" s="197" t="s">
        <v>223</v>
      </c>
      <c r="I2139" s="196" t="s">
        <v>226</v>
      </c>
      <c r="J2139" s="195">
        <v>1</v>
      </c>
      <c r="K2139" s="204" t="s">
        <v>224</v>
      </c>
      <c r="L2139" s="199">
        <v>1</v>
      </c>
      <c r="M2139" s="200">
        <v>0.5</v>
      </c>
      <c r="N2139" s="201">
        <v>29</v>
      </c>
    </row>
    <row r="2140" spans="1:14">
      <c r="A2140" s="194">
        <v>41276.575810185182</v>
      </c>
      <c r="B2140" s="195">
        <v>2111</v>
      </c>
      <c r="C2140" s="194"/>
      <c r="D2140" s="194"/>
      <c r="E2140" s="196" t="s">
        <v>240</v>
      </c>
      <c r="F2140" s="195">
        <v>456</v>
      </c>
      <c r="G2140" s="197" t="s">
        <v>141</v>
      </c>
      <c r="H2140" s="197" t="s">
        <v>223</v>
      </c>
      <c r="I2140" s="196" t="s">
        <v>226</v>
      </c>
      <c r="J2140" s="195">
        <v>1</v>
      </c>
      <c r="K2140" s="204" t="s">
        <v>224</v>
      </c>
      <c r="L2140" s="199">
        <v>2</v>
      </c>
      <c r="M2140" s="200">
        <v>0.3</v>
      </c>
      <c r="N2140" s="201">
        <v>31</v>
      </c>
    </row>
    <row r="2141" spans="1:14">
      <c r="A2141" s="194">
        <v>41292.985289351855</v>
      </c>
      <c r="B2141" s="195">
        <v>2111</v>
      </c>
      <c r="C2141" s="194"/>
      <c r="D2141" s="194"/>
      <c r="E2141" s="196" t="s">
        <v>1159</v>
      </c>
      <c r="F2141" s="195">
        <v>800</v>
      </c>
      <c r="G2141" s="197" t="s">
        <v>470</v>
      </c>
      <c r="H2141" s="197" t="s">
        <v>471</v>
      </c>
      <c r="J2141" s="195">
        <v>1</v>
      </c>
      <c r="K2141" s="204" t="s">
        <v>224</v>
      </c>
      <c r="L2141" s="199">
        <v>1</v>
      </c>
      <c r="M2141" s="200">
        <v>19.399999999999999</v>
      </c>
      <c r="N2141" s="201">
        <v>15</v>
      </c>
    </row>
    <row r="2142" spans="1:14">
      <c r="A2142" s="194">
        <v>41294.276122685187</v>
      </c>
      <c r="B2142" s="195">
        <v>2111</v>
      </c>
      <c r="C2142" s="194"/>
      <c r="D2142" s="194"/>
      <c r="E2142" s="196" t="s">
        <v>1162</v>
      </c>
      <c r="F2142" s="195">
        <v>800</v>
      </c>
      <c r="G2142" s="197" t="s">
        <v>470</v>
      </c>
      <c r="H2142" s="197" t="s">
        <v>471</v>
      </c>
      <c r="J2142" s="195">
        <v>1</v>
      </c>
      <c r="K2142" s="204" t="s">
        <v>224</v>
      </c>
      <c r="L2142" s="199">
        <v>2</v>
      </c>
      <c r="M2142" s="200">
        <v>6.4</v>
      </c>
      <c r="N2142" s="201">
        <v>18</v>
      </c>
    </row>
    <row r="2143" spans="1:14">
      <c r="A2143" s="194">
        <v>41282.707129629627</v>
      </c>
      <c r="B2143" s="195">
        <v>2111</v>
      </c>
      <c r="C2143" s="194"/>
      <c r="D2143" s="194"/>
      <c r="E2143" s="196" t="s">
        <v>739</v>
      </c>
      <c r="F2143" s="195">
        <v>800</v>
      </c>
      <c r="G2143" s="197" t="s">
        <v>470</v>
      </c>
      <c r="H2143" s="197" t="s">
        <v>471</v>
      </c>
      <c r="J2143" s="195">
        <v>1</v>
      </c>
      <c r="K2143" s="204" t="s">
        <v>224</v>
      </c>
      <c r="L2143" s="199">
        <v>1</v>
      </c>
      <c r="M2143" s="200">
        <v>0.6</v>
      </c>
      <c r="N2143" s="201">
        <v>19</v>
      </c>
    </row>
    <row r="2144" spans="1:14">
      <c r="A2144" s="194">
        <v>41292.610069444447</v>
      </c>
      <c r="B2144" s="195">
        <v>2111</v>
      </c>
      <c r="C2144" s="194"/>
      <c r="D2144" s="194"/>
      <c r="E2144" s="196" t="s">
        <v>1157</v>
      </c>
      <c r="F2144" s="195">
        <v>800</v>
      </c>
      <c r="G2144" s="197" t="s">
        <v>470</v>
      </c>
      <c r="H2144" s="197" t="s">
        <v>471</v>
      </c>
      <c r="J2144" s="195">
        <v>1</v>
      </c>
      <c r="K2144" s="204" t="s">
        <v>224</v>
      </c>
      <c r="L2144" s="199">
        <v>1</v>
      </c>
      <c r="M2144" s="200">
        <v>0.9</v>
      </c>
      <c r="N2144" s="201">
        <v>19</v>
      </c>
    </row>
    <row r="2145" spans="1:14">
      <c r="A2145" s="194">
        <v>41290.556562500002</v>
      </c>
      <c r="B2145" s="195">
        <v>2111</v>
      </c>
      <c r="C2145" s="194"/>
      <c r="D2145" s="194"/>
      <c r="E2145" s="196" t="s">
        <v>1045</v>
      </c>
      <c r="F2145" s="195">
        <v>800</v>
      </c>
      <c r="G2145" s="197" t="s">
        <v>470</v>
      </c>
      <c r="H2145" s="197" t="s">
        <v>471</v>
      </c>
      <c r="J2145" s="195">
        <v>1</v>
      </c>
      <c r="K2145" s="204" t="s">
        <v>224</v>
      </c>
      <c r="L2145" s="199">
        <v>1</v>
      </c>
      <c r="M2145" s="200">
        <v>0.3</v>
      </c>
      <c r="N2145" s="201">
        <v>21</v>
      </c>
    </row>
    <row r="2146" spans="1:14">
      <c r="A2146" s="194">
        <v>41281.673090277778</v>
      </c>
      <c r="B2146" s="195">
        <v>2111</v>
      </c>
      <c r="C2146" s="194"/>
      <c r="D2146" s="194"/>
      <c r="E2146" s="196" t="s">
        <v>710</v>
      </c>
      <c r="F2146" s="195">
        <v>800</v>
      </c>
      <c r="G2146" s="197" t="s">
        <v>470</v>
      </c>
      <c r="H2146" s="197" t="s">
        <v>471</v>
      </c>
      <c r="J2146" s="195">
        <v>1</v>
      </c>
      <c r="K2146" s="204" t="s">
        <v>224</v>
      </c>
      <c r="L2146" s="199">
        <v>1</v>
      </c>
      <c r="M2146" s="200">
        <v>0.9</v>
      </c>
      <c r="N2146" s="201">
        <v>21</v>
      </c>
    </row>
    <row r="2147" spans="1:14">
      <c r="A2147" s="194">
        <v>41302.198622685188</v>
      </c>
      <c r="B2147" s="195">
        <v>2111</v>
      </c>
      <c r="C2147" s="194"/>
      <c r="D2147" s="194"/>
      <c r="E2147" s="196" t="s">
        <v>1354</v>
      </c>
      <c r="F2147" s="195">
        <v>800</v>
      </c>
      <c r="G2147" s="197" t="s">
        <v>470</v>
      </c>
      <c r="H2147" s="197" t="s">
        <v>471</v>
      </c>
      <c r="J2147" s="195">
        <v>1</v>
      </c>
      <c r="K2147" s="204" t="s">
        <v>224</v>
      </c>
      <c r="L2147" s="199">
        <v>2</v>
      </c>
      <c r="M2147" s="200">
        <v>21.6</v>
      </c>
      <c r="N2147" s="201">
        <v>21</v>
      </c>
    </row>
    <row r="2148" spans="1:14">
      <c r="A2148" s="194">
        <v>41304.765081018515</v>
      </c>
      <c r="B2148" s="195">
        <v>2111</v>
      </c>
      <c r="C2148" s="194"/>
      <c r="D2148" s="194"/>
      <c r="E2148" s="196" t="s">
        <v>1547</v>
      </c>
      <c r="F2148" s="195">
        <v>800</v>
      </c>
      <c r="G2148" s="197" t="s">
        <v>470</v>
      </c>
      <c r="H2148" s="197" t="s">
        <v>471</v>
      </c>
      <c r="J2148" s="195">
        <v>1</v>
      </c>
      <c r="K2148" s="204" t="s">
        <v>224</v>
      </c>
      <c r="L2148" s="199">
        <v>1</v>
      </c>
      <c r="M2148" s="200">
        <v>1.1000000000000001</v>
      </c>
      <c r="N2148" s="201">
        <v>22</v>
      </c>
    </row>
    <row r="2149" spans="1:14">
      <c r="A2149" s="194">
        <v>41305.698425925926</v>
      </c>
      <c r="B2149" s="195">
        <v>2111</v>
      </c>
      <c r="C2149" s="194"/>
      <c r="D2149" s="194"/>
      <c r="E2149" s="196" t="s">
        <v>1585</v>
      </c>
      <c r="F2149" s="195">
        <v>800</v>
      </c>
      <c r="G2149" s="197" t="s">
        <v>470</v>
      </c>
      <c r="H2149" s="197" t="s">
        <v>471</v>
      </c>
      <c r="J2149" s="195">
        <v>1</v>
      </c>
      <c r="K2149" s="204" t="s">
        <v>224</v>
      </c>
      <c r="L2149" s="199">
        <v>2</v>
      </c>
      <c r="M2149" s="200">
        <v>0.6</v>
      </c>
      <c r="N2149" s="201">
        <v>27</v>
      </c>
    </row>
    <row r="2150" spans="1:14">
      <c r="A2150" s="194">
        <v>41294.117025462961</v>
      </c>
      <c r="B2150" s="195">
        <v>2111</v>
      </c>
      <c r="C2150" s="194"/>
      <c r="D2150" s="194"/>
      <c r="E2150" s="196" t="s">
        <v>1161</v>
      </c>
      <c r="F2150" s="195">
        <v>800</v>
      </c>
      <c r="G2150" s="197" t="s">
        <v>470</v>
      </c>
      <c r="H2150" s="197" t="s">
        <v>471</v>
      </c>
      <c r="J2150" s="195">
        <v>1</v>
      </c>
      <c r="K2150" s="204" t="s">
        <v>224</v>
      </c>
      <c r="L2150" s="199">
        <v>2</v>
      </c>
      <c r="M2150" s="200">
        <v>0.4</v>
      </c>
      <c r="N2150" s="201">
        <v>30</v>
      </c>
    </row>
    <row r="2151" spans="1:14">
      <c r="A2151" s="194">
        <v>41300.511562500003</v>
      </c>
      <c r="B2151" s="195">
        <v>2111</v>
      </c>
      <c r="C2151" s="194"/>
      <c r="D2151" s="194"/>
      <c r="E2151" s="196" t="s">
        <v>1446</v>
      </c>
      <c r="F2151" s="195">
        <v>800</v>
      </c>
      <c r="G2151" s="197" t="s">
        <v>470</v>
      </c>
      <c r="H2151" s="197" t="s">
        <v>471</v>
      </c>
      <c r="J2151" s="195">
        <v>1</v>
      </c>
      <c r="K2151" s="204" t="s">
        <v>224</v>
      </c>
      <c r="L2151" s="199">
        <v>1</v>
      </c>
      <c r="M2151" s="200">
        <v>1.2</v>
      </c>
      <c r="N2151" s="201">
        <v>30</v>
      </c>
    </row>
    <row r="2152" spans="1:14">
      <c r="A2152" s="194">
        <v>41283.483541666668</v>
      </c>
      <c r="B2152" s="195">
        <v>2111</v>
      </c>
      <c r="C2152" s="194"/>
      <c r="D2152" s="194"/>
      <c r="E2152" s="196" t="s">
        <v>765</v>
      </c>
      <c r="F2152" s="195">
        <v>800</v>
      </c>
      <c r="G2152" s="197" t="s">
        <v>470</v>
      </c>
      <c r="H2152" s="197" t="s">
        <v>471</v>
      </c>
      <c r="J2152" s="195">
        <v>1</v>
      </c>
      <c r="K2152" s="204" t="s">
        <v>224</v>
      </c>
      <c r="L2152" s="199">
        <v>1</v>
      </c>
      <c r="M2152" s="200">
        <v>0.8</v>
      </c>
      <c r="N2152" s="201">
        <v>31</v>
      </c>
    </row>
    <row r="2153" spans="1:14">
      <c r="A2153" s="194">
        <v>41292.187141203707</v>
      </c>
      <c r="B2153" s="195">
        <v>2111</v>
      </c>
      <c r="C2153" s="194"/>
      <c r="D2153" s="194"/>
      <c r="E2153" s="196" t="s">
        <v>1155</v>
      </c>
      <c r="F2153" s="195">
        <v>800</v>
      </c>
      <c r="G2153" s="197" t="s">
        <v>470</v>
      </c>
      <c r="H2153" s="197" t="s">
        <v>471</v>
      </c>
      <c r="J2153" s="195">
        <v>1</v>
      </c>
      <c r="K2153" s="204" t="s">
        <v>224</v>
      </c>
      <c r="L2153" s="199">
        <v>2</v>
      </c>
      <c r="M2153" s="200">
        <v>1.5</v>
      </c>
      <c r="N2153" s="201">
        <v>31</v>
      </c>
    </row>
    <row r="2154" spans="1:14">
      <c r="A2154" s="194">
        <v>41289.074606481481</v>
      </c>
      <c r="B2154" s="195">
        <v>2111</v>
      </c>
      <c r="C2154" s="194"/>
      <c r="D2154" s="194"/>
      <c r="E2154" s="196" t="s">
        <v>1007</v>
      </c>
      <c r="F2154" s="195">
        <v>800</v>
      </c>
      <c r="G2154" s="197" t="s">
        <v>470</v>
      </c>
      <c r="H2154" s="197" t="s">
        <v>471</v>
      </c>
      <c r="J2154" s="195">
        <v>1</v>
      </c>
      <c r="K2154" s="204" t="s">
        <v>224</v>
      </c>
      <c r="L2154" s="199">
        <v>1</v>
      </c>
      <c r="M2154" s="200">
        <v>0.7</v>
      </c>
      <c r="N2154" s="201">
        <v>33</v>
      </c>
    </row>
    <row r="2155" spans="1:14">
      <c r="A2155" s="194">
        <v>41287.680127314816</v>
      </c>
      <c r="B2155" s="195">
        <v>2111</v>
      </c>
      <c r="C2155" s="194"/>
      <c r="D2155" s="194"/>
      <c r="E2155" s="196" t="s">
        <v>850</v>
      </c>
      <c r="F2155" s="195">
        <v>800</v>
      </c>
      <c r="G2155" s="197" t="s">
        <v>470</v>
      </c>
      <c r="H2155" s="197" t="s">
        <v>471</v>
      </c>
      <c r="J2155" s="195">
        <v>1</v>
      </c>
      <c r="K2155" s="204" t="s">
        <v>224</v>
      </c>
      <c r="L2155" s="199">
        <v>2</v>
      </c>
      <c r="M2155" s="200">
        <v>0.3</v>
      </c>
      <c r="N2155" s="201">
        <v>34</v>
      </c>
    </row>
    <row r="2156" spans="1:14">
      <c r="A2156" s="194">
        <v>41296.501782407409</v>
      </c>
      <c r="B2156" s="195">
        <v>2111</v>
      </c>
      <c r="C2156" s="194"/>
      <c r="D2156" s="194"/>
      <c r="E2156" s="196" t="s">
        <v>1322</v>
      </c>
      <c r="F2156" s="195">
        <v>800</v>
      </c>
      <c r="G2156" s="197" t="s">
        <v>470</v>
      </c>
      <c r="H2156" s="197" t="s">
        <v>471</v>
      </c>
      <c r="J2156" s="195">
        <v>1</v>
      </c>
      <c r="K2156" s="204" t="s">
        <v>224</v>
      </c>
      <c r="L2156" s="199">
        <v>1</v>
      </c>
      <c r="M2156" s="200">
        <v>0.6</v>
      </c>
      <c r="N2156" s="201">
        <v>35</v>
      </c>
    </row>
    <row r="2157" spans="1:14">
      <c r="A2157" s="194">
        <v>41300.051134259258</v>
      </c>
      <c r="B2157" s="195">
        <v>2111</v>
      </c>
      <c r="C2157" s="194"/>
      <c r="D2157" s="194"/>
      <c r="E2157" s="196" t="s">
        <v>1445</v>
      </c>
      <c r="F2157" s="195">
        <v>800</v>
      </c>
      <c r="G2157" s="197" t="s">
        <v>470</v>
      </c>
      <c r="H2157" s="197" t="s">
        <v>471</v>
      </c>
      <c r="J2157" s="195">
        <v>1</v>
      </c>
      <c r="K2157" s="204" t="s">
        <v>224</v>
      </c>
      <c r="L2157" s="199">
        <v>1</v>
      </c>
      <c r="M2157" s="200">
        <v>0.3</v>
      </c>
      <c r="N2157" s="201">
        <v>36</v>
      </c>
    </row>
    <row r="2158" spans="1:14">
      <c r="A2158" s="194">
        <v>41289.516261574077</v>
      </c>
      <c r="B2158" s="195">
        <v>2111</v>
      </c>
      <c r="C2158" s="194"/>
      <c r="D2158" s="194"/>
      <c r="E2158" s="196" t="s">
        <v>1008</v>
      </c>
      <c r="F2158" s="195">
        <v>800</v>
      </c>
      <c r="G2158" s="197" t="s">
        <v>470</v>
      </c>
      <c r="H2158" s="197" t="s">
        <v>471</v>
      </c>
      <c r="J2158" s="195">
        <v>1</v>
      </c>
      <c r="K2158" s="204" t="s">
        <v>224</v>
      </c>
      <c r="L2158" s="199">
        <v>1</v>
      </c>
      <c r="M2158" s="200">
        <v>0.5</v>
      </c>
      <c r="N2158" s="201">
        <v>36</v>
      </c>
    </row>
    <row r="2159" spans="1:14">
      <c r="A2159" s="194">
        <v>41304.931759259256</v>
      </c>
      <c r="B2159" s="195">
        <v>2111</v>
      </c>
      <c r="C2159" s="194"/>
      <c r="D2159" s="194"/>
      <c r="E2159" s="196" t="s">
        <v>1548</v>
      </c>
      <c r="F2159" s="195">
        <v>800</v>
      </c>
      <c r="G2159" s="197" t="s">
        <v>470</v>
      </c>
      <c r="H2159" s="197" t="s">
        <v>471</v>
      </c>
      <c r="J2159" s="195">
        <v>1</v>
      </c>
      <c r="K2159" s="204" t="s">
        <v>224</v>
      </c>
      <c r="L2159" s="199">
        <v>1</v>
      </c>
      <c r="M2159" s="200">
        <v>0.3</v>
      </c>
      <c r="N2159" s="201">
        <v>38</v>
      </c>
    </row>
    <row r="2160" spans="1:14">
      <c r="A2160" s="194">
        <v>41304.832453703704</v>
      </c>
      <c r="B2160" s="195">
        <v>2111</v>
      </c>
      <c r="C2160" s="194"/>
      <c r="D2160" s="194"/>
      <c r="E2160" s="198"/>
      <c r="G2160" s="202"/>
      <c r="J2160" s="195">
        <v>2</v>
      </c>
      <c r="K2160" s="204" t="s">
        <v>32</v>
      </c>
      <c r="L2160" s="199">
        <v>1</v>
      </c>
      <c r="M2160" s="200">
        <v>0.4</v>
      </c>
      <c r="N2160" s="201">
        <v>24</v>
      </c>
    </row>
    <row r="2161" spans="1:14">
      <c r="A2161" s="194">
        <v>41287.138460648152</v>
      </c>
      <c r="B2161" s="195">
        <v>2111</v>
      </c>
      <c r="C2161" s="194"/>
      <c r="D2161" s="194"/>
      <c r="E2161" s="198"/>
      <c r="G2161" s="202"/>
      <c r="J2161" s="195">
        <v>2</v>
      </c>
      <c r="K2161" s="204" t="s">
        <v>32</v>
      </c>
      <c r="L2161" s="199">
        <v>1</v>
      </c>
      <c r="M2161" s="200">
        <v>0.7</v>
      </c>
      <c r="N2161" s="201">
        <v>29</v>
      </c>
    </row>
    <row r="2162" spans="1:14">
      <c r="A2162" s="194">
        <v>41284.94121527778</v>
      </c>
      <c r="B2162" s="195">
        <v>2111</v>
      </c>
      <c r="C2162" s="194"/>
      <c r="D2162" s="194"/>
      <c r="E2162" s="198"/>
      <c r="G2162" s="202"/>
      <c r="J2162" s="195">
        <v>2</v>
      </c>
      <c r="K2162" s="204" t="s">
        <v>32</v>
      </c>
      <c r="L2162" s="199">
        <v>2</v>
      </c>
      <c r="M2162" s="200">
        <v>1.1000000000000001</v>
      </c>
      <c r="N2162" s="201">
        <v>32</v>
      </c>
    </row>
    <row r="2163" spans="1:14">
      <c r="A2163" s="194">
        <v>41304.44494212963</v>
      </c>
      <c r="B2163" s="195">
        <v>2111</v>
      </c>
      <c r="C2163" s="194"/>
      <c r="D2163" s="194"/>
      <c r="E2163" s="198"/>
      <c r="G2163" s="202"/>
      <c r="J2163" s="195">
        <v>2</v>
      </c>
      <c r="K2163" s="204" t="s">
        <v>32</v>
      </c>
      <c r="L2163" s="199">
        <v>1</v>
      </c>
      <c r="M2163" s="200">
        <v>0.4</v>
      </c>
      <c r="N2163" s="201">
        <v>34</v>
      </c>
    </row>
    <row r="2164" spans="1:14">
      <c r="A2164" s="194">
        <v>41304.013692129629</v>
      </c>
      <c r="B2164" s="195">
        <v>2111</v>
      </c>
      <c r="C2164" s="194"/>
      <c r="D2164" s="194"/>
      <c r="E2164" s="198"/>
      <c r="G2164" s="202"/>
      <c r="J2164" s="195">
        <v>2</v>
      </c>
      <c r="K2164" s="204" t="s">
        <v>32</v>
      </c>
      <c r="L2164" s="199">
        <v>1</v>
      </c>
      <c r="M2164" s="200">
        <v>0.6</v>
      </c>
      <c r="N2164" s="201">
        <v>38</v>
      </c>
    </row>
    <row r="2165" spans="1:14">
      <c r="A2165" s="194">
        <v>41287.133599537039</v>
      </c>
      <c r="B2165" s="195">
        <v>2111</v>
      </c>
      <c r="C2165" s="194"/>
      <c r="D2165" s="194"/>
      <c r="E2165" s="198"/>
      <c r="G2165" s="202"/>
      <c r="J2165" s="195">
        <v>2</v>
      </c>
      <c r="K2165" s="204" t="s">
        <v>32</v>
      </c>
      <c r="L2165" s="199">
        <v>2</v>
      </c>
      <c r="M2165" s="200">
        <v>0.5</v>
      </c>
      <c r="N2165" s="201">
        <v>40</v>
      </c>
    </row>
    <row r="2166" spans="1:14">
      <c r="A2166" s="194">
        <v>41280.502951388888</v>
      </c>
      <c r="B2166" s="195">
        <v>2111</v>
      </c>
      <c r="C2166" s="194"/>
      <c r="D2166" s="194"/>
      <c r="E2166" s="198"/>
      <c r="G2166" s="202"/>
      <c r="J2166" s="195">
        <v>10</v>
      </c>
      <c r="K2166" s="204" t="s">
        <v>31</v>
      </c>
      <c r="L2166" s="199">
        <v>1</v>
      </c>
      <c r="M2166" s="200">
        <v>0.5</v>
      </c>
      <c r="N2166" s="201">
        <v>32</v>
      </c>
    </row>
    <row r="2167" spans="1:14">
      <c r="A2167" s="194">
        <v>41299.551817129628</v>
      </c>
      <c r="B2167" s="195">
        <v>2111</v>
      </c>
      <c r="C2167" s="194"/>
      <c r="D2167" s="194"/>
      <c r="E2167" s="198"/>
      <c r="G2167" s="202"/>
      <c r="J2167" s="195">
        <v>11</v>
      </c>
      <c r="K2167" s="204" t="s">
        <v>1</v>
      </c>
      <c r="L2167" s="199">
        <v>1</v>
      </c>
      <c r="M2167" s="200">
        <v>0.6</v>
      </c>
      <c r="N2167" s="201">
        <v>17</v>
      </c>
    </row>
    <row r="2168" spans="1:14">
      <c r="A2168" s="194">
        <v>41292.756585648145</v>
      </c>
      <c r="B2168" s="195">
        <v>2111</v>
      </c>
      <c r="C2168" s="194"/>
      <c r="D2168" s="194"/>
      <c r="E2168" s="198"/>
      <c r="G2168" s="202"/>
      <c r="J2168" s="195">
        <v>13</v>
      </c>
      <c r="K2168" s="204" t="s">
        <v>3</v>
      </c>
      <c r="L2168" s="199">
        <v>1</v>
      </c>
      <c r="M2168" s="200">
        <v>0.6</v>
      </c>
      <c r="N2168" s="201">
        <v>23</v>
      </c>
    </row>
    <row r="2169" spans="1:14">
      <c r="A2169" s="194">
        <v>41295.240682870368</v>
      </c>
      <c r="B2169" s="195">
        <v>2111</v>
      </c>
      <c r="C2169" s="194"/>
      <c r="D2169" s="194"/>
      <c r="E2169" s="198"/>
      <c r="G2169" s="202"/>
      <c r="J2169" s="195">
        <v>17</v>
      </c>
      <c r="K2169" s="204" t="s">
        <v>11</v>
      </c>
      <c r="L2169" s="199">
        <v>2</v>
      </c>
      <c r="M2169" s="200">
        <v>4.2</v>
      </c>
      <c r="N2169" s="201">
        <v>15</v>
      </c>
    </row>
    <row r="2170" spans="1:14">
      <c r="A2170" s="194">
        <v>41275.054259259261</v>
      </c>
      <c r="B2170" s="195">
        <v>2111</v>
      </c>
      <c r="C2170" s="194"/>
      <c r="D2170" s="194"/>
      <c r="E2170" s="198"/>
      <c r="G2170" s="202"/>
      <c r="J2170" s="195">
        <v>17</v>
      </c>
      <c r="K2170" s="204" t="s">
        <v>11</v>
      </c>
      <c r="L2170" s="199">
        <v>1</v>
      </c>
      <c r="M2170" s="200">
        <v>0.3</v>
      </c>
      <c r="N2170" s="201">
        <v>16</v>
      </c>
    </row>
    <row r="2171" spans="1:14">
      <c r="A2171" s="194">
        <v>41285.950254629628</v>
      </c>
      <c r="B2171" s="195">
        <v>2111</v>
      </c>
      <c r="C2171" s="194"/>
      <c r="D2171" s="194"/>
      <c r="E2171" s="198"/>
      <c r="G2171" s="202"/>
      <c r="J2171" s="195">
        <v>17</v>
      </c>
      <c r="K2171" s="204" t="s">
        <v>11</v>
      </c>
      <c r="L2171" s="199">
        <v>1</v>
      </c>
      <c r="M2171" s="200">
        <v>1.4</v>
      </c>
      <c r="N2171" s="201">
        <v>16</v>
      </c>
    </row>
    <row r="2172" spans="1:14">
      <c r="A2172" s="194">
        <v>41294.10738425926</v>
      </c>
      <c r="B2172" s="195">
        <v>2111</v>
      </c>
      <c r="C2172" s="194"/>
      <c r="D2172" s="194"/>
      <c r="E2172" s="198"/>
      <c r="G2172" s="202"/>
      <c r="J2172" s="195">
        <v>17</v>
      </c>
      <c r="K2172" s="204" t="s">
        <v>11</v>
      </c>
      <c r="L2172" s="199">
        <v>2</v>
      </c>
      <c r="M2172" s="200">
        <v>7</v>
      </c>
      <c r="N2172" s="201">
        <v>16</v>
      </c>
    </row>
    <row r="2173" spans="1:14">
      <c r="A2173" s="194">
        <v>41299.12976851852</v>
      </c>
      <c r="B2173" s="195">
        <v>2111</v>
      </c>
      <c r="C2173" s="194"/>
      <c r="D2173" s="194"/>
      <c r="E2173" s="198"/>
      <c r="G2173" s="202"/>
      <c r="J2173" s="195">
        <v>17</v>
      </c>
      <c r="K2173" s="204" t="s">
        <v>11</v>
      </c>
      <c r="L2173" s="199">
        <v>1</v>
      </c>
      <c r="M2173" s="200">
        <v>15.5</v>
      </c>
      <c r="N2173" s="201">
        <v>16</v>
      </c>
    </row>
    <row r="2174" spans="1:14">
      <c r="A2174" s="194">
        <v>41304.939571759256</v>
      </c>
      <c r="B2174" s="195">
        <v>2111</v>
      </c>
      <c r="C2174" s="194"/>
      <c r="D2174" s="194"/>
      <c r="E2174" s="198"/>
      <c r="G2174" s="202"/>
      <c r="J2174" s="195">
        <v>17</v>
      </c>
      <c r="K2174" s="204" t="s">
        <v>11</v>
      </c>
      <c r="L2174" s="199">
        <v>1</v>
      </c>
      <c r="M2174" s="200">
        <v>15.8</v>
      </c>
      <c r="N2174" s="201">
        <v>16</v>
      </c>
    </row>
    <row r="2175" spans="1:14">
      <c r="A2175" s="194">
        <v>41294.124849537038</v>
      </c>
      <c r="B2175" s="195">
        <v>2111</v>
      </c>
      <c r="C2175" s="194"/>
      <c r="D2175" s="194"/>
      <c r="E2175" s="198"/>
      <c r="G2175" s="202"/>
      <c r="J2175" s="195">
        <v>17</v>
      </c>
      <c r="K2175" s="204" t="s">
        <v>11</v>
      </c>
      <c r="L2175" s="199">
        <v>1</v>
      </c>
      <c r="M2175" s="200">
        <v>16</v>
      </c>
      <c r="N2175" s="201">
        <v>16</v>
      </c>
    </row>
    <row r="2176" spans="1:14">
      <c r="A2176" s="194">
        <v>41296.801365740743</v>
      </c>
      <c r="B2176" s="195">
        <v>2111</v>
      </c>
      <c r="C2176" s="194"/>
      <c r="D2176" s="194"/>
      <c r="E2176" s="198"/>
      <c r="G2176" s="202"/>
      <c r="J2176" s="195">
        <v>17</v>
      </c>
      <c r="K2176" s="204" t="s">
        <v>11</v>
      </c>
      <c r="L2176" s="199">
        <v>1</v>
      </c>
      <c r="M2176" s="200">
        <v>24.7</v>
      </c>
      <c r="N2176" s="201">
        <v>16</v>
      </c>
    </row>
    <row r="2177" spans="1:14">
      <c r="A2177" s="194">
        <v>41289.165046296293</v>
      </c>
      <c r="B2177" s="195">
        <v>2111</v>
      </c>
      <c r="C2177" s="194"/>
      <c r="D2177" s="194"/>
      <c r="E2177" s="198"/>
      <c r="G2177" s="202"/>
      <c r="J2177" s="195">
        <v>17</v>
      </c>
      <c r="K2177" s="204" t="s">
        <v>11</v>
      </c>
      <c r="L2177" s="199">
        <v>1</v>
      </c>
      <c r="M2177" s="200">
        <v>14.4</v>
      </c>
      <c r="N2177" s="201">
        <v>18</v>
      </c>
    </row>
    <row r="2178" spans="1:14">
      <c r="A2178" s="194">
        <v>41298.176793981482</v>
      </c>
      <c r="B2178" s="195">
        <v>2111</v>
      </c>
      <c r="C2178" s="194"/>
      <c r="D2178" s="194"/>
      <c r="E2178" s="198"/>
      <c r="G2178" s="202"/>
      <c r="J2178" s="195">
        <v>17</v>
      </c>
      <c r="K2178" s="204" t="s">
        <v>11</v>
      </c>
      <c r="L2178" s="199">
        <v>2</v>
      </c>
      <c r="M2178" s="200">
        <v>0.3</v>
      </c>
      <c r="N2178" s="201">
        <v>22</v>
      </c>
    </row>
    <row r="2179" spans="1:14">
      <c r="A2179" s="194">
        <v>41295.804826388892</v>
      </c>
      <c r="B2179" s="195">
        <v>2111</v>
      </c>
      <c r="C2179" s="194"/>
      <c r="D2179" s="194"/>
      <c r="E2179" s="198"/>
      <c r="G2179" s="202"/>
      <c r="J2179" s="195">
        <v>17</v>
      </c>
      <c r="K2179" s="204" t="s">
        <v>11</v>
      </c>
      <c r="L2179" s="199">
        <v>1</v>
      </c>
      <c r="M2179" s="200">
        <v>24.3</v>
      </c>
      <c r="N2179" s="201">
        <v>23</v>
      </c>
    </row>
    <row r="2180" spans="1:14">
      <c r="A2180" s="194">
        <v>41293.2262962963</v>
      </c>
      <c r="B2180" s="195">
        <v>2111</v>
      </c>
      <c r="C2180" s="194"/>
      <c r="D2180" s="194"/>
      <c r="E2180" s="198"/>
      <c r="G2180" s="202"/>
      <c r="J2180" s="195">
        <v>17</v>
      </c>
      <c r="K2180" s="204" t="s">
        <v>11</v>
      </c>
      <c r="L2180" s="199">
        <v>1</v>
      </c>
      <c r="M2180" s="200">
        <v>23.5</v>
      </c>
      <c r="N2180" s="201">
        <v>25</v>
      </c>
    </row>
    <row r="2181" spans="1:14">
      <c r="A2181" s="194">
        <v>41303.456145833334</v>
      </c>
      <c r="B2181" s="195">
        <v>2111</v>
      </c>
      <c r="C2181" s="194"/>
      <c r="D2181" s="194"/>
      <c r="E2181" s="198"/>
      <c r="G2181" s="202"/>
      <c r="J2181" s="195">
        <v>18</v>
      </c>
      <c r="K2181" s="204" t="s">
        <v>5</v>
      </c>
      <c r="L2181" s="199">
        <v>1</v>
      </c>
      <c r="M2181" s="200">
        <v>9.4</v>
      </c>
      <c r="N2181" s="201">
        <v>16</v>
      </c>
    </row>
    <row r="2182" spans="1:14">
      <c r="A2182" s="194">
        <v>41278.584328703706</v>
      </c>
      <c r="B2182" s="195">
        <v>2111</v>
      </c>
      <c r="C2182" s="194"/>
      <c r="D2182" s="194"/>
      <c r="E2182" s="198"/>
      <c r="G2182" s="202"/>
      <c r="J2182" s="195">
        <v>18</v>
      </c>
      <c r="K2182" s="204" t="s">
        <v>5</v>
      </c>
      <c r="L2182" s="199">
        <v>1</v>
      </c>
      <c r="M2182" s="200">
        <v>14.5</v>
      </c>
      <c r="N2182" s="201">
        <v>17</v>
      </c>
    </row>
    <row r="2183" spans="1:14">
      <c r="A2183" s="194">
        <v>41284.49695601852</v>
      </c>
      <c r="B2183" s="195">
        <v>2111</v>
      </c>
      <c r="C2183" s="194"/>
      <c r="D2183" s="194"/>
      <c r="E2183" s="198"/>
      <c r="G2183" s="202"/>
      <c r="J2183" s="195">
        <v>18</v>
      </c>
      <c r="K2183" s="204" t="s">
        <v>5</v>
      </c>
      <c r="L2183" s="199">
        <v>1</v>
      </c>
      <c r="M2183" s="200">
        <v>17.8</v>
      </c>
      <c r="N2183" s="201">
        <v>17</v>
      </c>
    </row>
    <row r="2184" spans="1:14">
      <c r="A2184" s="194">
        <v>41292.18178240741</v>
      </c>
      <c r="B2184" s="195">
        <v>2111</v>
      </c>
      <c r="C2184" s="194"/>
      <c r="D2184" s="194"/>
      <c r="E2184" s="198"/>
      <c r="G2184" s="202"/>
      <c r="J2184" s="195">
        <v>18</v>
      </c>
      <c r="K2184" s="204" t="s">
        <v>5</v>
      </c>
      <c r="L2184" s="199">
        <v>1</v>
      </c>
      <c r="M2184" s="200">
        <v>17.899999999999999</v>
      </c>
      <c r="N2184" s="201">
        <v>17</v>
      </c>
    </row>
    <row r="2185" spans="1:14">
      <c r="A2185" s="194">
        <v>41278.630937499998</v>
      </c>
      <c r="B2185" s="195">
        <v>2111</v>
      </c>
      <c r="C2185" s="194"/>
      <c r="D2185" s="194"/>
      <c r="E2185" s="198"/>
      <c r="G2185" s="202"/>
      <c r="J2185" s="195">
        <v>18</v>
      </c>
      <c r="K2185" s="204" t="s">
        <v>5</v>
      </c>
      <c r="L2185" s="199">
        <v>1</v>
      </c>
      <c r="M2185" s="200">
        <v>21.6</v>
      </c>
      <c r="N2185" s="201">
        <v>17</v>
      </c>
    </row>
    <row r="2186" spans="1:14">
      <c r="A2186" s="194">
        <v>41284.28162037037</v>
      </c>
      <c r="B2186" s="195">
        <v>2111</v>
      </c>
      <c r="C2186" s="194"/>
      <c r="D2186" s="194"/>
      <c r="E2186" s="198"/>
      <c r="G2186" s="202"/>
      <c r="J2186" s="195">
        <v>18</v>
      </c>
      <c r="K2186" s="204" t="s">
        <v>5</v>
      </c>
      <c r="L2186" s="199">
        <v>1</v>
      </c>
      <c r="M2186" s="200">
        <v>18.100000000000001</v>
      </c>
      <c r="N2186" s="201">
        <v>18</v>
      </c>
    </row>
    <row r="2187" spans="1:14">
      <c r="A2187" s="194">
        <v>41285.525462962964</v>
      </c>
      <c r="B2187" s="195">
        <v>2111</v>
      </c>
      <c r="C2187" s="194"/>
      <c r="D2187" s="194"/>
      <c r="E2187" s="198"/>
      <c r="G2187" s="202"/>
      <c r="J2187" s="195">
        <v>18</v>
      </c>
      <c r="K2187" s="204" t="s">
        <v>5</v>
      </c>
      <c r="L2187" s="199">
        <v>1</v>
      </c>
      <c r="M2187" s="200">
        <v>20.100000000000001</v>
      </c>
      <c r="N2187" s="201">
        <v>18</v>
      </c>
    </row>
    <row r="2188" spans="1:14">
      <c r="A2188" s="194">
        <v>41275.893159722225</v>
      </c>
      <c r="B2188" s="195">
        <v>2111</v>
      </c>
      <c r="C2188" s="194"/>
      <c r="D2188" s="194"/>
      <c r="E2188" s="198"/>
      <c r="G2188" s="202"/>
      <c r="J2188" s="195">
        <v>18</v>
      </c>
      <c r="K2188" s="204" t="s">
        <v>5</v>
      </c>
      <c r="L2188" s="199">
        <v>1</v>
      </c>
      <c r="M2188" s="200">
        <v>0.6</v>
      </c>
      <c r="N2188" s="201">
        <v>22</v>
      </c>
    </row>
    <row r="2189" spans="1:14">
      <c r="A2189" s="194">
        <v>41304.401932870373</v>
      </c>
      <c r="B2189" s="195">
        <v>2111</v>
      </c>
      <c r="C2189" s="194"/>
      <c r="D2189" s="194"/>
      <c r="E2189" s="198"/>
      <c r="G2189" s="202"/>
      <c r="J2189" s="195">
        <v>18</v>
      </c>
      <c r="K2189" s="204" t="s">
        <v>5</v>
      </c>
      <c r="L2189" s="199">
        <v>1</v>
      </c>
      <c r="M2189" s="200">
        <v>4.2</v>
      </c>
      <c r="N2189" s="201">
        <v>22</v>
      </c>
    </row>
    <row r="2190" spans="1:14">
      <c r="A2190" s="194">
        <v>41290.868645833332</v>
      </c>
      <c r="B2190" s="195">
        <v>2111</v>
      </c>
      <c r="C2190" s="194"/>
      <c r="D2190" s="194"/>
      <c r="E2190" s="198"/>
      <c r="G2190" s="202"/>
      <c r="J2190" s="195">
        <v>18</v>
      </c>
      <c r="K2190" s="204" t="s">
        <v>5</v>
      </c>
      <c r="L2190" s="199">
        <v>1</v>
      </c>
      <c r="M2190" s="200">
        <v>23.6</v>
      </c>
      <c r="N2190" s="201">
        <v>27</v>
      </c>
    </row>
    <row r="2191" spans="1:14">
      <c r="A2191" s="194">
        <v>41290.656030092592</v>
      </c>
      <c r="B2191" s="195">
        <v>2111</v>
      </c>
      <c r="C2191" s="194"/>
      <c r="D2191" s="194"/>
      <c r="E2191" s="198"/>
      <c r="G2191" s="202"/>
      <c r="J2191" s="195">
        <v>18</v>
      </c>
      <c r="K2191" s="204" t="s">
        <v>5</v>
      </c>
      <c r="L2191" s="199">
        <v>1</v>
      </c>
      <c r="M2191" s="200">
        <v>14.9</v>
      </c>
      <c r="N2191" s="201">
        <v>28</v>
      </c>
    </row>
    <row r="2192" spans="1:14">
      <c r="A2192" s="194">
        <v>41297.934444444443</v>
      </c>
      <c r="B2192" s="195">
        <v>2111</v>
      </c>
      <c r="C2192" s="194"/>
      <c r="D2192" s="194"/>
      <c r="E2192" s="196" t="s">
        <v>1763</v>
      </c>
      <c r="G2192" s="202"/>
      <c r="J2192" s="195">
        <v>24</v>
      </c>
      <c r="K2192" s="204" t="s">
        <v>25</v>
      </c>
      <c r="L2192" s="199">
        <v>1</v>
      </c>
      <c r="M2192" s="200">
        <v>0.4</v>
      </c>
      <c r="N2192" s="201">
        <v>18</v>
      </c>
    </row>
    <row r="2193" spans="1:14">
      <c r="A2193" s="194">
        <v>41278.65084490741</v>
      </c>
      <c r="B2193" s="195">
        <v>2111</v>
      </c>
      <c r="C2193" s="194"/>
      <c r="D2193" s="194"/>
      <c r="E2193" s="196" t="s">
        <v>1678</v>
      </c>
      <c r="G2193" s="202"/>
      <c r="J2193" s="195">
        <v>24</v>
      </c>
      <c r="K2193" s="204" t="s">
        <v>25</v>
      </c>
      <c r="L2193" s="199">
        <v>1</v>
      </c>
      <c r="M2193" s="200">
        <v>0.6</v>
      </c>
      <c r="N2193" s="201">
        <v>37</v>
      </c>
    </row>
    <row r="2194" spans="1:14">
      <c r="A2194" s="194">
        <v>41276.998043981483</v>
      </c>
      <c r="B2194" s="195">
        <v>2111</v>
      </c>
      <c r="C2194" s="194"/>
      <c r="D2194" s="194"/>
      <c r="E2194" s="196" t="s">
        <v>2135</v>
      </c>
      <c r="G2194" s="202"/>
      <c r="J2194" s="195">
        <v>24</v>
      </c>
      <c r="K2194" s="204" t="s">
        <v>25</v>
      </c>
      <c r="L2194" s="199">
        <v>1</v>
      </c>
      <c r="M2194" s="200">
        <v>0.5</v>
      </c>
      <c r="N2194" s="201">
        <v>41</v>
      </c>
    </row>
    <row r="2195" spans="1:14">
      <c r="A2195" s="194">
        <v>41291.442731481482</v>
      </c>
      <c r="B2195" s="195">
        <v>2111</v>
      </c>
      <c r="C2195" s="194"/>
      <c r="D2195" s="194"/>
      <c r="E2195" s="196" t="s">
        <v>1984</v>
      </c>
      <c r="G2195" s="202"/>
      <c r="J2195" s="195">
        <v>29</v>
      </c>
      <c r="K2195" s="204" t="s">
        <v>39</v>
      </c>
      <c r="L2195" s="199">
        <v>1</v>
      </c>
      <c r="M2195" s="200">
        <v>4.3</v>
      </c>
      <c r="N2195" s="201">
        <v>23</v>
      </c>
    </row>
    <row r="2196" spans="1:14">
      <c r="A2196" s="194">
        <v>41277.484155092592</v>
      </c>
      <c r="B2196" s="195">
        <v>2111</v>
      </c>
      <c r="C2196" s="194"/>
      <c r="D2196" s="194"/>
      <c r="E2196" s="196" t="s">
        <v>1747</v>
      </c>
      <c r="G2196" s="202"/>
      <c r="J2196" s="195">
        <v>29</v>
      </c>
      <c r="K2196" s="204" t="s">
        <v>39</v>
      </c>
      <c r="L2196" s="199">
        <v>2</v>
      </c>
      <c r="M2196" s="200">
        <v>0.8</v>
      </c>
      <c r="N2196" s="201">
        <v>25</v>
      </c>
    </row>
    <row r="2197" spans="1:14">
      <c r="A2197" s="194">
        <v>41298.20826388889</v>
      </c>
      <c r="B2197" s="195">
        <v>2111</v>
      </c>
      <c r="C2197" s="194"/>
      <c r="D2197" s="194"/>
      <c r="E2197" s="196" t="s">
        <v>2057</v>
      </c>
      <c r="G2197" s="202"/>
      <c r="J2197" s="195">
        <v>29</v>
      </c>
      <c r="K2197" s="204" t="s">
        <v>39</v>
      </c>
      <c r="L2197" s="199">
        <v>1</v>
      </c>
      <c r="M2197" s="200">
        <v>19.3</v>
      </c>
      <c r="N2197" s="201">
        <v>32</v>
      </c>
    </row>
    <row r="2198" spans="1:14">
      <c r="A2198" s="194">
        <v>41291.223923611113</v>
      </c>
      <c r="B2198" s="195">
        <v>2111</v>
      </c>
      <c r="C2198" s="194"/>
      <c r="D2198" s="194"/>
      <c r="E2198" s="196" t="s">
        <v>1750</v>
      </c>
      <c r="G2198" s="202"/>
      <c r="J2198" s="195">
        <v>29</v>
      </c>
      <c r="K2198" s="204" t="s">
        <v>39</v>
      </c>
      <c r="L2198" s="199">
        <v>1</v>
      </c>
      <c r="M2198" s="200">
        <v>0.4</v>
      </c>
      <c r="N2198" s="201">
        <v>36</v>
      </c>
    </row>
    <row r="2199" spans="1:14">
      <c r="A2199" s="194">
        <v>41301.929629629631</v>
      </c>
      <c r="B2199" s="195">
        <v>2111</v>
      </c>
      <c r="C2199" s="194"/>
      <c r="D2199" s="194"/>
      <c r="E2199" s="196" t="s">
        <v>1958</v>
      </c>
      <c r="G2199" s="202"/>
      <c r="J2199" s="195">
        <v>29</v>
      </c>
      <c r="K2199" s="204" t="s">
        <v>39</v>
      </c>
      <c r="L2199" s="199">
        <v>2</v>
      </c>
      <c r="M2199" s="200">
        <v>0.6</v>
      </c>
      <c r="N2199" s="201">
        <v>37</v>
      </c>
    </row>
    <row r="2200" spans="1:14">
      <c r="A2200" s="194">
        <v>41304.983842592592</v>
      </c>
      <c r="B2200" s="195">
        <v>2111</v>
      </c>
      <c r="C2200" s="194"/>
      <c r="D2200" s="194"/>
      <c r="E2200" s="196" t="s">
        <v>1871</v>
      </c>
      <c r="G2200" s="202"/>
      <c r="J2200" s="195">
        <v>29</v>
      </c>
      <c r="K2200" s="204" t="s">
        <v>39</v>
      </c>
      <c r="L2200" s="199">
        <v>1</v>
      </c>
      <c r="M2200" s="200">
        <v>0.7</v>
      </c>
      <c r="N2200" s="201">
        <v>38</v>
      </c>
    </row>
    <row r="2201" spans="1:14">
      <c r="A2201" s="194">
        <v>41295.931631944448</v>
      </c>
      <c r="B2201" s="195">
        <v>2111</v>
      </c>
      <c r="C2201" s="194"/>
      <c r="D2201" s="194"/>
      <c r="E2201" s="196" t="s">
        <v>2117</v>
      </c>
      <c r="G2201" s="202"/>
      <c r="J2201" s="195">
        <v>29</v>
      </c>
      <c r="K2201" s="204" t="s">
        <v>39</v>
      </c>
      <c r="L2201" s="199">
        <v>1</v>
      </c>
      <c r="M2201" s="200">
        <v>0.5</v>
      </c>
      <c r="N2201" s="201">
        <v>41</v>
      </c>
    </row>
    <row r="2202" spans="1:14">
      <c r="A2202" s="194">
        <v>41305.397048611114</v>
      </c>
      <c r="B2202" s="195">
        <v>2111</v>
      </c>
      <c r="C2202" s="194"/>
      <c r="D2202" s="194"/>
      <c r="E2202" s="198"/>
      <c r="G2202" s="202"/>
      <c r="J2202" s="195">
        <v>43</v>
      </c>
      <c r="K2202" s="204" t="s">
        <v>1596</v>
      </c>
      <c r="L2202" s="199">
        <v>1</v>
      </c>
      <c r="M2202" s="200">
        <v>1.6</v>
      </c>
      <c r="N2202" s="201">
        <v>16</v>
      </c>
    </row>
    <row r="2203" spans="1:14">
      <c r="A2203" s="194">
        <v>41299.733078703706</v>
      </c>
      <c r="B2203" s="195">
        <v>2112</v>
      </c>
      <c r="C2203" s="194"/>
      <c r="D2203" s="194"/>
      <c r="E2203" s="196" t="s">
        <v>1396</v>
      </c>
      <c r="F2203" s="195">
        <v>800</v>
      </c>
      <c r="G2203" s="197" t="s">
        <v>470</v>
      </c>
      <c r="H2203" s="197" t="s">
        <v>471</v>
      </c>
      <c r="J2203" s="195">
        <v>1</v>
      </c>
      <c r="K2203" s="204" t="s">
        <v>224</v>
      </c>
      <c r="L2203" s="199">
        <v>2</v>
      </c>
      <c r="M2203" s="200">
        <v>0.4</v>
      </c>
      <c r="N2203" s="201">
        <v>21</v>
      </c>
    </row>
    <row r="2204" spans="1:14">
      <c r="A2204" s="194">
        <v>41291.562210648146</v>
      </c>
      <c r="B2204" s="195">
        <v>2112</v>
      </c>
      <c r="C2204" s="194"/>
      <c r="D2204" s="194"/>
      <c r="E2204" s="196" t="s">
        <v>1107</v>
      </c>
      <c r="F2204" s="195">
        <v>800</v>
      </c>
      <c r="G2204" s="197" t="s">
        <v>470</v>
      </c>
      <c r="H2204" s="197" t="s">
        <v>471</v>
      </c>
      <c r="J2204" s="195">
        <v>1</v>
      </c>
      <c r="K2204" s="204" t="s">
        <v>224</v>
      </c>
      <c r="L2204" s="199">
        <v>1</v>
      </c>
      <c r="M2204" s="200">
        <v>6.7</v>
      </c>
      <c r="N2204" s="201">
        <v>21</v>
      </c>
    </row>
    <row r="2205" spans="1:14">
      <c r="A2205" s="194">
        <v>41278.682210648149</v>
      </c>
      <c r="B2205" s="195">
        <v>2112</v>
      </c>
      <c r="C2205" s="194"/>
      <c r="D2205" s="194"/>
      <c r="E2205" s="196" t="s">
        <v>598</v>
      </c>
      <c r="F2205" s="195">
        <v>800</v>
      </c>
      <c r="G2205" s="197" t="s">
        <v>470</v>
      </c>
      <c r="H2205" s="197" t="s">
        <v>471</v>
      </c>
      <c r="J2205" s="195">
        <v>1</v>
      </c>
      <c r="K2205" s="204" t="s">
        <v>224</v>
      </c>
      <c r="L2205" s="199">
        <v>1</v>
      </c>
      <c r="M2205" s="200">
        <v>0.4</v>
      </c>
      <c r="N2205" s="201">
        <v>25</v>
      </c>
    </row>
    <row r="2206" spans="1:14">
      <c r="A2206" s="194">
        <v>41292.710763888892</v>
      </c>
      <c r="B2206" s="195">
        <v>2112</v>
      </c>
      <c r="C2206" s="194"/>
      <c r="D2206" s="194"/>
      <c r="E2206" s="196" t="s">
        <v>1160</v>
      </c>
      <c r="F2206" s="195">
        <v>800</v>
      </c>
      <c r="G2206" s="197" t="s">
        <v>470</v>
      </c>
      <c r="H2206" s="197" t="s">
        <v>471</v>
      </c>
      <c r="J2206" s="195">
        <v>1</v>
      </c>
      <c r="K2206" s="204" t="s">
        <v>224</v>
      </c>
      <c r="L2206" s="199">
        <v>1</v>
      </c>
      <c r="M2206" s="200">
        <v>0.5</v>
      </c>
      <c r="N2206" s="201">
        <v>26</v>
      </c>
    </row>
    <row r="2207" spans="1:14">
      <c r="A2207" s="194">
        <v>41279.092928240738</v>
      </c>
      <c r="B2207" s="195">
        <v>2112</v>
      </c>
      <c r="C2207" s="194"/>
      <c r="D2207" s="194"/>
      <c r="E2207" s="198"/>
      <c r="G2207" s="202"/>
      <c r="J2207" s="195">
        <v>2</v>
      </c>
      <c r="K2207" s="204" t="s">
        <v>32</v>
      </c>
      <c r="L2207" s="199">
        <v>2</v>
      </c>
      <c r="M2207" s="200">
        <v>23.9</v>
      </c>
      <c r="N2207" s="201">
        <v>51</v>
      </c>
    </row>
    <row r="2208" spans="1:14">
      <c r="A2208" s="194">
        <v>41277.700949074075</v>
      </c>
      <c r="B2208" s="195">
        <v>2112</v>
      </c>
      <c r="C2208" s="194"/>
      <c r="D2208" s="194"/>
      <c r="E2208" s="198"/>
      <c r="G2208" s="202"/>
      <c r="J2208" s="195">
        <v>3</v>
      </c>
      <c r="K2208" s="204" t="s">
        <v>1595</v>
      </c>
      <c r="L2208" s="199">
        <v>1</v>
      </c>
      <c r="M2208" s="200">
        <v>0.3</v>
      </c>
      <c r="N2208" s="201">
        <v>25</v>
      </c>
    </row>
    <row r="2209" spans="1:14">
      <c r="A2209" s="194">
        <v>41276.647488425922</v>
      </c>
      <c r="B2209" s="195">
        <v>2112</v>
      </c>
      <c r="C2209" s="194"/>
      <c r="D2209" s="194"/>
      <c r="E2209" s="196" t="s">
        <v>1742</v>
      </c>
      <c r="G2209" s="202"/>
      <c r="J2209" s="195">
        <v>10</v>
      </c>
      <c r="K2209" s="204" t="s">
        <v>31</v>
      </c>
      <c r="L2209" s="199">
        <v>2</v>
      </c>
      <c r="M2209" s="200">
        <v>0.7</v>
      </c>
      <c r="N2209" s="201">
        <v>19</v>
      </c>
    </row>
    <row r="2210" spans="1:14">
      <c r="A2210" s="194">
        <v>41275.032210648147</v>
      </c>
      <c r="B2210" s="195">
        <v>2112</v>
      </c>
      <c r="C2210" s="194"/>
      <c r="D2210" s="194"/>
      <c r="E2210" s="198"/>
      <c r="G2210" s="202"/>
      <c r="J2210" s="195">
        <v>11</v>
      </c>
      <c r="K2210" s="204" t="s">
        <v>1</v>
      </c>
      <c r="L2210" s="199">
        <v>1</v>
      </c>
      <c r="M2210" s="200">
        <v>1.1000000000000001</v>
      </c>
      <c r="N2210" s="201">
        <v>20</v>
      </c>
    </row>
    <row r="2211" spans="1:14">
      <c r="A2211" s="194">
        <v>41275.219699074078</v>
      </c>
      <c r="B2211" s="195">
        <v>2112</v>
      </c>
      <c r="C2211" s="194"/>
      <c r="D2211" s="194"/>
      <c r="E2211" s="198"/>
      <c r="G2211" s="202"/>
      <c r="J2211" s="195">
        <v>11</v>
      </c>
      <c r="K2211" s="204" t="s">
        <v>1</v>
      </c>
      <c r="L2211" s="199">
        <v>1</v>
      </c>
      <c r="M2211" s="200">
        <v>1.1000000000000001</v>
      </c>
      <c r="N2211" s="201">
        <v>21</v>
      </c>
    </row>
    <row r="2212" spans="1:14">
      <c r="A2212" s="194">
        <v>41300.69153935185</v>
      </c>
      <c r="B2212" s="195">
        <v>2112</v>
      </c>
      <c r="C2212" s="194"/>
      <c r="D2212" s="194"/>
      <c r="E2212" s="198"/>
      <c r="G2212" s="202"/>
      <c r="J2212" s="195">
        <v>12</v>
      </c>
      <c r="K2212" s="204" t="s">
        <v>7</v>
      </c>
      <c r="L2212" s="199">
        <v>2</v>
      </c>
      <c r="M2212" s="200">
        <v>8.8000000000000007</v>
      </c>
      <c r="N2212" s="201">
        <v>15</v>
      </c>
    </row>
    <row r="2213" spans="1:14">
      <c r="A2213" s="194">
        <v>41276.859293981484</v>
      </c>
      <c r="B2213" s="195">
        <v>2112</v>
      </c>
      <c r="C2213" s="194"/>
      <c r="D2213" s="194"/>
      <c r="E2213" s="198"/>
      <c r="G2213" s="202"/>
      <c r="J2213" s="195">
        <v>12</v>
      </c>
      <c r="K2213" s="204" t="s">
        <v>7</v>
      </c>
      <c r="L2213" s="199">
        <v>2</v>
      </c>
      <c r="M2213" s="200">
        <v>0.3</v>
      </c>
      <c r="N2213" s="201">
        <v>20</v>
      </c>
    </row>
    <row r="2214" spans="1:14">
      <c r="A2214" s="194">
        <v>41275.702326388891</v>
      </c>
      <c r="B2214" s="195">
        <v>2112</v>
      </c>
      <c r="C2214" s="194"/>
      <c r="D2214" s="194"/>
      <c r="E2214" s="198"/>
      <c r="G2214" s="202"/>
      <c r="J2214" s="195">
        <v>12</v>
      </c>
      <c r="K2214" s="204" t="s">
        <v>7</v>
      </c>
      <c r="L2214" s="199">
        <v>2</v>
      </c>
      <c r="M2214" s="200">
        <v>0.4</v>
      </c>
      <c r="N2214" s="201">
        <v>23</v>
      </c>
    </row>
    <row r="2215" spans="1:14">
      <c r="A2215" s="194">
        <v>41278.725266203706</v>
      </c>
      <c r="B2215" s="195">
        <v>2112</v>
      </c>
      <c r="C2215" s="194"/>
      <c r="D2215" s="194"/>
      <c r="E2215" s="198"/>
      <c r="G2215" s="202"/>
      <c r="J2215" s="195">
        <v>12</v>
      </c>
      <c r="K2215" s="204" t="s">
        <v>7</v>
      </c>
      <c r="L2215" s="199">
        <v>1</v>
      </c>
      <c r="M2215" s="200">
        <v>0.5</v>
      </c>
      <c r="N2215" s="201">
        <v>27</v>
      </c>
    </row>
    <row r="2216" spans="1:14">
      <c r="A2216" s="194">
        <v>41275.731493055559</v>
      </c>
      <c r="B2216" s="195">
        <v>2112</v>
      </c>
      <c r="C2216" s="194"/>
      <c r="D2216" s="194"/>
      <c r="E2216" s="198"/>
      <c r="G2216" s="202"/>
      <c r="J2216" s="195">
        <v>12</v>
      </c>
      <c r="K2216" s="204" t="s">
        <v>7</v>
      </c>
      <c r="L2216" s="199">
        <v>2</v>
      </c>
      <c r="M2216" s="200">
        <v>0.5</v>
      </c>
      <c r="N2216" s="201">
        <v>28</v>
      </c>
    </row>
    <row r="2217" spans="1:14">
      <c r="A2217" s="194">
        <v>41298.594363425924</v>
      </c>
      <c r="B2217" s="195">
        <v>2112</v>
      </c>
      <c r="C2217" s="194"/>
      <c r="D2217" s="194"/>
      <c r="E2217" s="198"/>
      <c r="G2217" s="202"/>
      <c r="J2217" s="195">
        <v>17</v>
      </c>
      <c r="K2217" s="204" t="s">
        <v>11</v>
      </c>
      <c r="L2217" s="199">
        <v>1</v>
      </c>
      <c r="M2217" s="200">
        <v>16.5</v>
      </c>
      <c r="N2217" s="201">
        <v>0</v>
      </c>
    </row>
    <row r="2218" spans="1:14">
      <c r="A2218" s="194">
        <v>41282.268553240741</v>
      </c>
      <c r="B2218" s="195">
        <v>2112</v>
      </c>
      <c r="C2218" s="194"/>
      <c r="D2218" s="194"/>
      <c r="E2218" s="198"/>
      <c r="G2218" s="202"/>
      <c r="J2218" s="195">
        <v>17</v>
      </c>
      <c r="K2218" s="204" t="s">
        <v>11</v>
      </c>
      <c r="L2218" s="199">
        <v>2</v>
      </c>
      <c r="M2218" s="200">
        <v>17.3</v>
      </c>
      <c r="N2218" s="201">
        <v>16</v>
      </c>
    </row>
    <row r="2219" spans="1:14">
      <c r="A2219" s="194">
        <v>41293.069826388892</v>
      </c>
      <c r="B2219" s="195">
        <v>2112</v>
      </c>
      <c r="C2219" s="194"/>
      <c r="D2219" s="194"/>
      <c r="E2219" s="198"/>
      <c r="G2219" s="202"/>
      <c r="J2219" s="195">
        <v>17</v>
      </c>
      <c r="K2219" s="204" t="s">
        <v>11</v>
      </c>
      <c r="L2219" s="199">
        <v>2</v>
      </c>
      <c r="M2219" s="200">
        <v>1.7</v>
      </c>
      <c r="N2219" s="201">
        <v>17</v>
      </c>
    </row>
    <row r="2220" spans="1:14">
      <c r="A2220" s="194">
        <v>41292.304675925923</v>
      </c>
      <c r="B2220" s="195">
        <v>2112</v>
      </c>
      <c r="C2220" s="194"/>
      <c r="D2220" s="194"/>
      <c r="E2220" s="198"/>
      <c r="G2220" s="202"/>
      <c r="J2220" s="195">
        <v>17</v>
      </c>
      <c r="K2220" s="204" t="s">
        <v>11</v>
      </c>
      <c r="L2220" s="199">
        <v>2</v>
      </c>
      <c r="M2220" s="200">
        <v>18.899999999999999</v>
      </c>
      <c r="N2220" s="201">
        <v>17</v>
      </c>
    </row>
    <row r="2221" spans="1:14">
      <c r="A2221" s="194">
        <v>41305.066793981481</v>
      </c>
      <c r="B2221" s="195">
        <v>2112</v>
      </c>
      <c r="C2221" s="194"/>
      <c r="D2221" s="194"/>
      <c r="E2221" s="198"/>
      <c r="G2221" s="202"/>
      <c r="J2221" s="195">
        <v>17</v>
      </c>
      <c r="K2221" s="204" t="s">
        <v>11</v>
      </c>
      <c r="L2221" s="199">
        <v>2</v>
      </c>
      <c r="M2221" s="200">
        <v>24.4</v>
      </c>
      <c r="N2221" s="201">
        <v>24</v>
      </c>
    </row>
    <row r="2222" spans="1:14">
      <c r="A2222" s="194">
        <v>41305.355532407404</v>
      </c>
      <c r="B2222" s="195">
        <v>2112</v>
      </c>
      <c r="C2222" s="194"/>
      <c r="D2222" s="194"/>
      <c r="E2222" s="198"/>
      <c r="G2222" s="202"/>
      <c r="J2222" s="195">
        <v>17</v>
      </c>
      <c r="K2222" s="204" t="s">
        <v>11</v>
      </c>
      <c r="L2222" s="199">
        <v>2</v>
      </c>
      <c r="M2222" s="200">
        <v>15.6</v>
      </c>
      <c r="N2222" s="201">
        <v>26</v>
      </c>
    </row>
    <row r="2223" spans="1:14">
      <c r="A2223" s="194">
        <v>41291.496898148151</v>
      </c>
      <c r="B2223" s="195">
        <v>2112</v>
      </c>
      <c r="C2223" s="194"/>
      <c r="D2223" s="194"/>
      <c r="E2223" s="198"/>
      <c r="G2223" s="202"/>
      <c r="J2223" s="195">
        <v>17</v>
      </c>
      <c r="K2223" s="204" t="s">
        <v>11</v>
      </c>
      <c r="L2223" s="199">
        <v>2</v>
      </c>
      <c r="M2223" s="200">
        <v>3.5</v>
      </c>
      <c r="N2223" s="201">
        <v>27</v>
      </c>
    </row>
    <row r="2224" spans="1:14">
      <c r="A2224" s="194">
        <v>41290.115694444445</v>
      </c>
      <c r="B2224" s="195">
        <v>2112</v>
      </c>
      <c r="C2224" s="194"/>
      <c r="D2224" s="194"/>
      <c r="E2224" s="198"/>
      <c r="G2224" s="202"/>
      <c r="J2224" s="195">
        <v>18</v>
      </c>
      <c r="K2224" s="204" t="s">
        <v>5</v>
      </c>
      <c r="L2224" s="199">
        <v>2</v>
      </c>
      <c r="M2224" s="200">
        <v>9</v>
      </c>
      <c r="N2224" s="201">
        <v>15</v>
      </c>
    </row>
    <row r="2225" spans="1:14">
      <c r="A2225" s="194">
        <v>41298.328368055554</v>
      </c>
      <c r="B2225" s="195">
        <v>2112</v>
      </c>
      <c r="C2225" s="194"/>
      <c r="D2225" s="194"/>
      <c r="E2225" s="198"/>
      <c r="G2225" s="202"/>
      <c r="J2225" s="195">
        <v>18</v>
      </c>
      <c r="K2225" s="204" t="s">
        <v>5</v>
      </c>
      <c r="L2225" s="199">
        <v>1</v>
      </c>
      <c r="M2225" s="200">
        <v>18.600000000000001</v>
      </c>
      <c r="N2225" s="201">
        <v>15</v>
      </c>
    </row>
    <row r="2226" spans="1:14">
      <c r="A2226" s="194">
        <v>41299.824791666666</v>
      </c>
      <c r="B2226" s="195">
        <v>2112</v>
      </c>
      <c r="C2226" s="194"/>
      <c r="D2226" s="194"/>
      <c r="E2226" s="198"/>
      <c r="G2226" s="202"/>
      <c r="J2226" s="195">
        <v>18</v>
      </c>
      <c r="K2226" s="204" t="s">
        <v>5</v>
      </c>
      <c r="L2226" s="199">
        <v>1</v>
      </c>
      <c r="M2226" s="200">
        <v>3.4</v>
      </c>
      <c r="N2226" s="201">
        <v>17</v>
      </c>
    </row>
    <row r="2227" spans="1:14">
      <c r="A2227" s="194">
        <v>41301.474097222221</v>
      </c>
      <c r="B2227" s="195">
        <v>2112</v>
      </c>
      <c r="C2227" s="194"/>
      <c r="D2227" s="194"/>
      <c r="E2227" s="196" t="s">
        <v>2158</v>
      </c>
      <c r="G2227" s="202"/>
      <c r="J2227" s="195">
        <v>24</v>
      </c>
      <c r="K2227" s="204" t="s">
        <v>25</v>
      </c>
      <c r="L2227" s="199">
        <v>2</v>
      </c>
      <c r="M2227" s="200">
        <v>1.1000000000000001</v>
      </c>
      <c r="N2227" s="201">
        <v>19</v>
      </c>
    </row>
    <row r="2228" spans="1:14">
      <c r="A2228" s="194">
        <v>41292.715624999997</v>
      </c>
      <c r="B2228" s="195">
        <v>2112</v>
      </c>
      <c r="C2228" s="194"/>
      <c r="D2228" s="194"/>
      <c r="E2228" s="196" t="s">
        <v>1632</v>
      </c>
      <c r="G2228" s="202"/>
      <c r="J2228" s="195">
        <v>24</v>
      </c>
      <c r="K2228" s="204" t="s">
        <v>25</v>
      </c>
      <c r="L2228" s="199">
        <v>1</v>
      </c>
      <c r="M2228" s="200">
        <v>0.3</v>
      </c>
      <c r="N2228" s="201">
        <v>21</v>
      </c>
    </row>
    <row r="2229" spans="1:14">
      <c r="A2229" s="194">
        <v>41278.344675925924</v>
      </c>
      <c r="B2229" s="195">
        <v>2112</v>
      </c>
      <c r="C2229" s="194"/>
      <c r="D2229" s="194"/>
      <c r="E2229" s="196" t="s">
        <v>1866</v>
      </c>
      <c r="G2229" s="202"/>
      <c r="J2229" s="195">
        <v>24</v>
      </c>
      <c r="K2229" s="204" t="s">
        <v>25</v>
      </c>
      <c r="L2229" s="199">
        <v>1</v>
      </c>
      <c r="M2229" s="200">
        <v>0.9</v>
      </c>
      <c r="N2229" s="201">
        <v>35</v>
      </c>
    </row>
    <row r="2230" spans="1:14">
      <c r="A2230" s="194">
        <v>41290.658171296294</v>
      </c>
      <c r="B2230" s="195">
        <v>2112</v>
      </c>
      <c r="C2230" s="194"/>
      <c r="D2230" s="194"/>
      <c r="E2230" s="196" t="s">
        <v>1873</v>
      </c>
      <c r="G2230" s="202"/>
      <c r="J2230" s="195">
        <v>29</v>
      </c>
      <c r="K2230" s="204" t="s">
        <v>39</v>
      </c>
      <c r="L2230" s="199">
        <v>1</v>
      </c>
      <c r="M2230" s="200">
        <v>1.3</v>
      </c>
      <c r="N2230" s="201">
        <v>17</v>
      </c>
    </row>
    <row r="2231" spans="1:14">
      <c r="A2231" s="194">
        <v>41299.687939814816</v>
      </c>
      <c r="B2231" s="195">
        <v>2112</v>
      </c>
      <c r="C2231" s="194"/>
      <c r="D2231" s="194"/>
      <c r="E2231" s="198"/>
      <c r="G2231" s="202"/>
      <c r="J2231" s="195">
        <v>43</v>
      </c>
      <c r="K2231" s="204" t="s">
        <v>1596</v>
      </c>
      <c r="L2231" s="199">
        <v>2</v>
      </c>
      <c r="M2231" s="200">
        <v>0.5</v>
      </c>
      <c r="N2231" s="201">
        <v>15</v>
      </c>
    </row>
    <row r="2232" spans="1:14">
      <c r="A2232" s="194">
        <v>41305.733877314815</v>
      </c>
      <c r="B2232" s="195">
        <v>2112</v>
      </c>
      <c r="C2232" s="194"/>
      <c r="D2232" s="194"/>
      <c r="E2232" s="198"/>
      <c r="G2232" s="202"/>
      <c r="J2232" s="195">
        <v>43</v>
      </c>
      <c r="K2232" s="204" t="s">
        <v>1596</v>
      </c>
      <c r="L2232" s="199">
        <v>2</v>
      </c>
      <c r="M2232" s="200">
        <v>0.9</v>
      </c>
      <c r="N2232" s="201">
        <v>15</v>
      </c>
    </row>
    <row r="2233" spans="1:14">
      <c r="A2233" s="194">
        <v>41291.710752314815</v>
      </c>
      <c r="B2233" s="195">
        <v>2112</v>
      </c>
      <c r="C2233" s="194"/>
      <c r="D2233" s="194"/>
      <c r="E2233" s="198"/>
      <c r="G2233" s="202"/>
      <c r="J2233" s="195">
        <v>43</v>
      </c>
      <c r="K2233" s="204" t="s">
        <v>1596</v>
      </c>
      <c r="L2233" s="199">
        <v>2</v>
      </c>
      <c r="M2233" s="200">
        <v>1</v>
      </c>
      <c r="N2233" s="201">
        <v>15</v>
      </c>
    </row>
    <row r="2234" spans="1:14">
      <c r="A2234" s="194">
        <v>41286.396944444445</v>
      </c>
      <c r="B2234" s="195">
        <v>2122</v>
      </c>
      <c r="C2234" s="194"/>
      <c r="D2234" s="194"/>
      <c r="E2234" s="196" t="s">
        <v>306</v>
      </c>
      <c r="F2234" s="195">
        <v>456</v>
      </c>
      <c r="G2234" s="197" t="s">
        <v>141</v>
      </c>
      <c r="H2234" s="197" t="s">
        <v>223</v>
      </c>
      <c r="I2234" s="196" t="s">
        <v>226</v>
      </c>
      <c r="J2234" s="195">
        <v>1</v>
      </c>
      <c r="K2234" s="204" t="s">
        <v>224</v>
      </c>
      <c r="L2234" s="199">
        <v>1</v>
      </c>
      <c r="M2234" s="200">
        <v>0.5</v>
      </c>
      <c r="N2234" s="201">
        <v>22</v>
      </c>
    </row>
    <row r="2235" spans="1:14">
      <c r="A2235" s="194">
        <v>41302.746099537035</v>
      </c>
      <c r="B2235" s="195">
        <v>2122</v>
      </c>
      <c r="C2235" s="194"/>
      <c r="D2235" s="194"/>
      <c r="E2235" s="196" t="s">
        <v>382</v>
      </c>
      <c r="F2235" s="195">
        <v>456</v>
      </c>
      <c r="G2235" s="197" t="s">
        <v>141</v>
      </c>
      <c r="H2235" s="197" t="s">
        <v>223</v>
      </c>
      <c r="I2235" s="196" t="s">
        <v>226</v>
      </c>
      <c r="J2235" s="195">
        <v>1</v>
      </c>
      <c r="K2235" s="204" t="s">
        <v>224</v>
      </c>
      <c r="L2235" s="199">
        <v>2</v>
      </c>
      <c r="M2235" s="200">
        <v>0.3</v>
      </c>
      <c r="N2235" s="201">
        <v>24</v>
      </c>
    </row>
    <row r="2236" spans="1:14">
      <c r="A2236" s="194">
        <v>41293.489571759259</v>
      </c>
      <c r="B2236" s="195">
        <v>2122</v>
      </c>
      <c r="C2236" s="194"/>
      <c r="D2236" s="194"/>
      <c r="E2236" s="196" t="s">
        <v>339</v>
      </c>
      <c r="F2236" s="195">
        <v>456</v>
      </c>
      <c r="G2236" s="197" t="s">
        <v>141</v>
      </c>
      <c r="H2236" s="197" t="s">
        <v>223</v>
      </c>
      <c r="I2236" s="196" t="s">
        <v>226</v>
      </c>
      <c r="J2236" s="195">
        <v>1</v>
      </c>
      <c r="K2236" s="204" t="s">
        <v>224</v>
      </c>
      <c r="L2236" s="199">
        <v>2</v>
      </c>
      <c r="M2236" s="200">
        <v>0.4</v>
      </c>
      <c r="N2236" s="201">
        <v>29</v>
      </c>
    </row>
    <row r="2237" spans="1:14">
      <c r="A2237" s="194">
        <v>41302.506527777776</v>
      </c>
      <c r="B2237" s="195">
        <v>2122</v>
      </c>
      <c r="C2237" s="194"/>
      <c r="D2237" s="194"/>
      <c r="E2237" s="196" t="s">
        <v>381</v>
      </c>
      <c r="F2237" s="195">
        <v>456</v>
      </c>
      <c r="G2237" s="197" t="s">
        <v>141</v>
      </c>
      <c r="H2237" s="197" t="s">
        <v>223</v>
      </c>
      <c r="I2237" s="196" t="s">
        <v>226</v>
      </c>
      <c r="J2237" s="195">
        <v>1</v>
      </c>
      <c r="K2237" s="204" t="s">
        <v>224</v>
      </c>
      <c r="L2237" s="199">
        <v>2</v>
      </c>
      <c r="M2237" s="200">
        <v>1.3</v>
      </c>
      <c r="N2237" s="201">
        <v>30</v>
      </c>
    </row>
    <row r="2238" spans="1:14">
      <c r="A2238" s="194">
        <v>41281.605150462965</v>
      </c>
      <c r="B2238" s="195">
        <v>2122</v>
      </c>
      <c r="C2238" s="194"/>
      <c r="D2238" s="194"/>
      <c r="E2238" s="196" t="s">
        <v>277</v>
      </c>
      <c r="F2238" s="195">
        <v>456</v>
      </c>
      <c r="G2238" s="197" t="s">
        <v>141</v>
      </c>
      <c r="H2238" s="197" t="s">
        <v>223</v>
      </c>
      <c r="I2238" s="196" t="s">
        <v>226</v>
      </c>
      <c r="J2238" s="195">
        <v>1</v>
      </c>
      <c r="K2238" s="204" t="s">
        <v>224</v>
      </c>
      <c r="L2238" s="199">
        <v>2</v>
      </c>
      <c r="M2238" s="200">
        <v>0.3</v>
      </c>
      <c r="N2238" s="201">
        <v>31</v>
      </c>
    </row>
    <row r="2239" spans="1:14">
      <c r="A2239" s="194">
        <v>41280.669039351851</v>
      </c>
      <c r="B2239" s="195">
        <v>2122</v>
      </c>
      <c r="C2239" s="194"/>
      <c r="D2239" s="194"/>
      <c r="E2239" s="196" t="s">
        <v>253</v>
      </c>
      <c r="F2239" s="195">
        <v>456</v>
      </c>
      <c r="G2239" s="197" t="s">
        <v>141</v>
      </c>
      <c r="H2239" s="197" t="s">
        <v>223</v>
      </c>
      <c r="I2239" s="196" t="s">
        <v>226</v>
      </c>
      <c r="J2239" s="195">
        <v>1</v>
      </c>
      <c r="K2239" s="204" t="s">
        <v>224</v>
      </c>
      <c r="L2239" s="199">
        <v>2</v>
      </c>
      <c r="M2239" s="200">
        <v>0.6</v>
      </c>
      <c r="N2239" s="201">
        <v>32</v>
      </c>
    </row>
    <row r="2240" spans="1:14">
      <c r="A2240" s="194">
        <v>41298.561921296299</v>
      </c>
      <c r="B2240" s="195">
        <v>2122</v>
      </c>
      <c r="C2240" s="194"/>
      <c r="D2240" s="194"/>
      <c r="E2240" s="196" t="s">
        <v>458</v>
      </c>
      <c r="F2240" s="195">
        <v>466</v>
      </c>
      <c r="G2240" s="197" t="s">
        <v>142</v>
      </c>
      <c r="H2240" s="197" t="s">
        <v>223</v>
      </c>
      <c r="I2240" s="196" t="s">
        <v>402</v>
      </c>
      <c r="J2240" s="195">
        <v>1</v>
      </c>
      <c r="K2240" s="204" t="s">
        <v>224</v>
      </c>
      <c r="L2240" s="199">
        <v>1</v>
      </c>
      <c r="M2240" s="200">
        <v>0.3</v>
      </c>
      <c r="N2240" s="201">
        <v>22</v>
      </c>
    </row>
    <row r="2241" spans="1:14">
      <c r="A2241" s="194">
        <v>41282.50099537037</v>
      </c>
      <c r="B2241" s="195">
        <v>2122</v>
      </c>
      <c r="C2241" s="194"/>
      <c r="D2241" s="194"/>
      <c r="E2241" s="196" t="s">
        <v>426</v>
      </c>
      <c r="F2241" s="195">
        <v>466</v>
      </c>
      <c r="G2241" s="197" t="s">
        <v>142</v>
      </c>
      <c r="H2241" s="197" t="s">
        <v>223</v>
      </c>
      <c r="I2241" s="196" t="s">
        <v>402</v>
      </c>
      <c r="J2241" s="195">
        <v>1</v>
      </c>
      <c r="K2241" s="204" t="s">
        <v>224</v>
      </c>
      <c r="L2241" s="199">
        <v>1</v>
      </c>
      <c r="M2241" s="200">
        <v>0.4</v>
      </c>
      <c r="N2241" s="201">
        <v>23</v>
      </c>
    </row>
    <row r="2242" spans="1:14">
      <c r="A2242" s="194">
        <v>41290.586678240739</v>
      </c>
      <c r="B2242" s="195">
        <v>2122</v>
      </c>
      <c r="C2242" s="194"/>
      <c r="D2242" s="194"/>
      <c r="E2242" s="196" t="s">
        <v>1047</v>
      </c>
      <c r="F2242" s="195">
        <v>800</v>
      </c>
      <c r="G2242" s="197" t="s">
        <v>470</v>
      </c>
      <c r="H2242" s="197" t="s">
        <v>471</v>
      </c>
      <c r="J2242" s="195">
        <v>1</v>
      </c>
      <c r="K2242" s="204" t="s">
        <v>224</v>
      </c>
      <c r="L2242" s="199">
        <v>1</v>
      </c>
      <c r="M2242" s="200">
        <v>0.9</v>
      </c>
      <c r="N2242" s="201">
        <v>17</v>
      </c>
    </row>
    <row r="2243" spans="1:14">
      <c r="A2243" s="194">
        <v>41290.337407407409</v>
      </c>
      <c r="B2243" s="195">
        <v>2122</v>
      </c>
      <c r="C2243" s="194"/>
      <c r="D2243" s="194"/>
      <c r="E2243" s="196" t="s">
        <v>1046</v>
      </c>
      <c r="F2243" s="195">
        <v>800</v>
      </c>
      <c r="G2243" s="197" t="s">
        <v>470</v>
      </c>
      <c r="H2243" s="197" t="s">
        <v>471</v>
      </c>
      <c r="J2243" s="195">
        <v>1</v>
      </c>
      <c r="K2243" s="204" t="s">
        <v>224</v>
      </c>
      <c r="L2243" s="199">
        <v>1</v>
      </c>
      <c r="M2243" s="200">
        <v>3.1</v>
      </c>
      <c r="N2243" s="201">
        <v>20</v>
      </c>
    </row>
    <row r="2244" spans="1:14">
      <c r="A2244" s="194">
        <v>41281.487233796295</v>
      </c>
      <c r="B2244" s="195">
        <v>2122</v>
      </c>
      <c r="C2244" s="194"/>
      <c r="D2244" s="194"/>
      <c r="E2244" s="196" t="s">
        <v>712</v>
      </c>
      <c r="F2244" s="195">
        <v>800</v>
      </c>
      <c r="G2244" s="197" t="s">
        <v>470</v>
      </c>
      <c r="H2244" s="197" t="s">
        <v>471</v>
      </c>
      <c r="J2244" s="195">
        <v>1</v>
      </c>
      <c r="K2244" s="204" t="s">
        <v>224</v>
      </c>
      <c r="L2244" s="199">
        <v>1</v>
      </c>
      <c r="M2244" s="200">
        <v>9.6</v>
      </c>
      <c r="N2244" s="201">
        <v>20</v>
      </c>
    </row>
    <row r="2245" spans="1:14">
      <c r="A2245" s="194">
        <v>41287.049768518518</v>
      </c>
      <c r="B2245" s="195">
        <v>2122</v>
      </c>
      <c r="C2245" s="194"/>
      <c r="D2245" s="194"/>
      <c r="E2245" s="196" t="s">
        <v>851</v>
      </c>
      <c r="F2245" s="195">
        <v>800</v>
      </c>
      <c r="G2245" s="197" t="s">
        <v>470</v>
      </c>
      <c r="H2245" s="197" t="s">
        <v>471</v>
      </c>
      <c r="J2245" s="195">
        <v>1</v>
      </c>
      <c r="K2245" s="204" t="s">
        <v>224</v>
      </c>
      <c r="L2245" s="199">
        <v>2</v>
      </c>
      <c r="M2245" s="200">
        <v>0.4</v>
      </c>
      <c r="N2245" s="201">
        <v>21</v>
      </c>
    </row>
    <row r="2246" spans="1:14">
      <c r="A2246" s="194">
        <v>41275.121655092589</v>
      </c>
      <c r="B2246" s="195">
        <v>2122</v>
      </c>
      <c r="C2246" s="194"/>
      <c r="D2246" s="194"/>
      <c r="E2246" s="196" t="s">
        <v>493</v>
      </c>
      <c r="F2246" s="195">
        <v>800</v>
      </c>
      <c r="G2246" s="197" t="s">
        <v>470</v>
      </c>
      <c r="H2246" s="197" t="s">
        <v>471</v>
      </c>
      <c r="J2246" s="195">
        <v>1</v>
      </c>
      <c r="K2246" s="204" t="s">
        <v>224</v>
      </c>
      <c r="L2246" s="199">
        <v>2</v>
      </c>
      <c r="M2246" s="200">
        <v>3.4</v>
      </c>
      <c r="N2246" s="201">
        <v>21</v>
      </c>
    </row>
    <row r="2247" spans="1:14">
      <c r="A2247" s="194">
        <v>41292.72284722222</v>
      </c>
      <c r="B2247" s="195">
        <v>2122</v>
      </c>
      <c r="C2247" s="194"/>
      <c r="D2247" s="194"/>
      <c r="E2247" s="196" t="s">
        <v>1163</v>
      </c>
      <c r="F2247" s="195">
        <v>800</v>
      </c>
      <c r="G2247" s="197" t="s">
        <v>470</v>
      </c>
      <c r="H2247" s="197" t="s">
        <v>471</v>
      </c>
      <c r="J2247" s="195">
        <v>1</v>
      </c>
      <c r="K2247" s="204" t="s">
        <v>224</v>
      </c>
      <c r="L2247" s="199">
        <v>1</v>
      </c>
      <c r="M2247" s="200">
        <v>0.3</v>
      </c>
      <c r="N2247" s="201">
        <v>22</v>
      </c>
    </row>
    <row r="2248" spans="1:14">
      <c r="A2248" s="194">
        <v>41287.42895833333</v>
      </c>
      <c r="B2248" s="195">
        <v>2122</v>
      </c>
      <c r="C2248" s="194"/>
      <c r="D2248" s="194"/>
      <c r="E2248" s="196" t="s">
        <v>853</v>
      </c>
      <c r="F2248" s="195">
        <v>800</v>
      </c>
      <c r="G2248" s="197" t="s">
        <v>470</v>
      </c>
      <c r="H2248" s="197" t="s">
        <v>471</v>
      </c>
      <c r="J2248" s="195">
        <v>1</v>
      </c>
      <c r="K2248" s="204" t="s">
        <v>224</v>
      </c>
      <c r="L2248" s="199">
        <v>1</v>
      </c>
      <c r="M2248" s="200">
        <v>0.6</v>
      </c>
      <c r="N2248" s="201">
        <v>22</v>
      </c>
    </row>
    <row r="2249" spans="1:14">
      <c r="A2249" s="194">
        <v>41287.749803240738</v>
      </c>
      <c r="B2249" s="195">
        <v>2122</v>
      </c>
      <c r="C2249" s="194"/>
      <c r="D2249" s="194"/>
      <c r="E2249" s="196" t="s">
        <v>859</v>
      </c>
      <c r="F2249" s="195">
        <v>800</v>
      </c>
      <c r="G2249" s="197" t="s">
        <v>470</v>
      </c>
      <c r="H2249" s="197" t="s">
        <v>471</v>
      </c>
      <c r="J2249" s="195">
        <v>1</v>
      </c>
      <c r="K2249" s="204" t="s">
        <v>224</v>
      </c>
      <c r="L2249" s="199">
        <v>2</v>
      </c>
      <c r="M2249" s="200">
        <v>0.6</v>
      </c>
      <c r="N2249" s="201">
        <v>22</v>
      </c>
    </row>
    <row r="2250" spans="1:14">
      <c r="A2250" s="194">
        <v>41305.624027777776</v>
      </c>
      <c r="B2250" s="195">
        <v>2122</v>
      </c>
      <c r="C2250" s="194"/>
      <c r="D2250" s="194"/>
      <c r="E2250" s="196" t="s">
        <v>1586</v>
      </c>
      <c r="F2250" s="195">
        <v>800</v>
      </c>
      <c r="G2250" s="197" t="s">
        <v>470</v>
      </c>
      <c r="H2250" s="197" t="s">
        <v>471</v>
      </c>
      <c r="J2250" s="195">
        <v>1</v>
      </c>
      <c r="K2250" s="204" t="s">
        <v>224</v>
      </c>
      <c r="L2250" s="199">
        <v>1</v>
      </c>
      <c r="M2250" s="200">
        <v>0.4</v>
      </c>
      <c r="N2250" s="201">
        <v>23</v>
      </c>
    </row>
    <row r="2251" spans="1:14">
      <c r="A2251" s="194">
        <v>41277.384166666663</v>
      </c>
      <c r="B2251" s="195">
        <v>2122</v>
      </c>
      <c r="C2251" s="194"/>
      <c r="D2251" s="194"/>
      <c r="E2251" s="196" t="s">
        <v>622</v>
      </c>
      <c r="F2251" s="195">
        <v>800</v>
      </c>
      <c r="G2251" s="197" t="s">
        <v>470</v>
      </c>
      <c r="H2251" s="197" t="s">
        <v>471</v>
      </c>
      <c r="J2251" s="195">
        <v>1</v>
      </c>
      <c r="K2251" s="204" t="s">
        <v>224</v>
      </c>
      <c r="L2251" s="199">
        <v>1</v>
      </c>
      <c r="M2251" s="200">
        <v>0.3</v>
      </c>
      <c r="N2251" s="201">
        <v>24</v>
      </c>
    </row>
    <row r="2252" spans="1:14">
      <c r="A2252" s="194">
        <v>41276.832094907404</v>
      </c>
      <c r="B2252" s="195">
        <v>2122</v>
      </c>
      <c r="C2252" s="194"/>
      <c r="D2252" s="194"/>
      <c r="E2252" s="196" t="s">
        <v>520</v>
      </c>
      <c r="F2252" s="195">
        <v>800</v>
      </c>
      <c r="G2252" s="197" t="s">
        <v>470</v>
      </c>
      <c r="H2252" s="197" t="s">
        <v>471</v>
      </c>
      <c r="J2252" s="195">
        <v>1</v>
      </c>
      <c r="K2252" s="204" t="s">
        <v>224</v>
      </c>
      <c r="L2252" s="199">
        <v>2</v>
      </c>
      <c r="M2252" s="200">
        <v>0.4</v>
      </c>
      <c r="N2252" s="201">
        <v>24</v>
      </c>
    </row>
    <row r="2253" spans="1:14">
      <c r="A2253" s="194">
        <v>41281.475335648145</v>
      </c>
      <c r="B2253" s="195">
        <v>2122</v>
      </c>
      <c r="C2253" s="194"/>
      <c r="D2253" s="194"/>
      <c r="E2253" s="196" t="s">
        <v>711</v>
      </c>
      <c r="F2253" s="195">
        <v>800</v>
      </c>
      <c r="G2253" s="197" t="s">
        <v>470</v>
      </c>
      <c r="H2253" s="197" t="s">
        <v>471</v>
      </c>
      <c r="J2253" s="195">
        <v>1</v>
      </c>
      <c r="K2253" s="204" t="s">
        <v>224</v>
      </c>
      <c r="L2253" s="199">
        <v>2</v>
      </c>
      <c r="M2253" s="200">
        <v>0.8</v>
      </c>
      <c r="N2253" s="201">
        <v>24</v>
      </c>
    </row>
    <row r="2254" spans="1:14">
      <c r="A2254" s="194">
        <v>41289.175509259258</v>
      </c>
      <c r="B2254" s="195">
        <v>2122</v>
      </c>
      <c r="C2254" s="194"/>
      <c r="D2254" s="194"/>
      <c r="E2254" s="196" t="s">
        <v>1010</v>
      </c>
      <c r="F2254" s="195">
        <v>800</v>
      </c>
      <c r="G2254" s="197" t="s">
        <v>470</v>
      </c>
      <c r="H2254" s="197" t="s">
        <v>471</v>
      </c>
      <c r="J2254" s="195">
        <v>1</v>
      </c>
      <c r="K2254" s="204" t="s">
        <v>224</v>
      </c>
      <c r="L2254" s="199">
        <v>1</v>
      </c>
      <c r="M2254" s="200">
        <v>0.9</v>
      </c>
      <c r="N2254" s="201">
        <v>24</v>
      </c>
    </row>
    <row r="2255" spans="1:14">
      <c r="A2255" s="194">
        <v>41297.066724537035</v>
      </c>
      <c r="B2255" s="195">
        <v>2122</v>
      </c>
      <c r="C2255" s="194"/>
      <c r="D2255" s="194"/>
      <c r="E2255" s="196" t="s">
        <v>1342</v>
      </c>
      <c r="F2255" s="195">
        <v>800</v>
      </c>
      <c r="G2255" s="197" t="s">
        <v>470</v>
      </c>
      <c r="H2255" s="197" t="s">
        <v>471</v>
      </c>
      <c r="J2255" s="195">
        <v>1</v>
      </c>
      <c r="K2255" s="204" t="s">
        <v>224</v>
      </c>
      <c r="L2255" s="199">
        <v>1</v>
      </c>
      <c r="M2255" s="200">
        <v>0.9</v>
      </c>
      <c r="N2255" s="201">
        <v>24</v>
      </c>
    </row>
    <row r="2256" spans="1:14">
      <c r="A2256" s="194">
        <v>41287.513715277775</v>
      </c>
      <c r="B2256" s="195">
        <v>2122</v>
      </c>
      <c r="C2256" s="194"/>
      <c r="D2256" s="194"/>
      <c r="E2256" s="196" t="s">
        <v>855</v>
      </c>
      <c r="F2256" s="195">
        <v>800</v>
      </c>
      <c r="G2256" s="197" t="s">
        <v>470</v>
      </c>
      <c r="H2256" s="197" t="s">
        <v>471</v>
      </c>
      <c r="J2256" s="195">
        <v>1</v>
      </c>
      <c r="K2256" s="204" t="s">
        <v>224</v>
      </c>
      <c r="L2256" s="199">
        <v>1</v>
      </c>
      <c r="M2256" s="200">
        <v>5.5</v>
      </c>
      <c r="N2256" s="201">
        <v>24</v>
      </c>
    </row>
    <row r="2257" spans="1:14">
      <c r="A2257" s="194">
        <v>41277.302905092591</v>
      </c>
      <c r="B2257" s="195">
        <v>2122</v>
      </c>
      <c r="C2257" s="194"/>
      <c r="D2257" s="194"/>
      <c r="E2257" s="196" t="s">
        <v>621</v>
      </c>
      <c r="F2257" s="195">
        <v>800</v>
      </c>
      <c r="G2257" s="197" t="s">
        <v>470</v>
      </c>
      <c r="H2257" s="197" t="s">
        <v>471</v>
      </c>
      <c r="J2257" s="195">
        <v>1</v>
      </c>
      <c r="K2257" s="204" t="s">
        <v>224</v>
      </c>
      <c r="L2257" s="199">
        <v>1</v>
      </c>
      <c r="M2257" s="200">
        <v>0.3</v>
      </c>
      <c r="N2257" s="201">
        <v>25</v>
      </c>
    </row>
    <row r="2258" spans="1:14">
      <c r="A2258" s="194">
        <v>41292.938148148147</v>
      </c>
      <c r="B2258" s="195">
        <v>2122</v>
      </c>
      <c r="C2258" s="194"/>
      <c r="D2258" s="194"/>
      <c r="E2258" s="196" t="s">
        <v>1164</v>
      </c>
      <c r="F2258" s="195">
        <v>800</v>
      </c>
      <c r="G2258" s="197" t="s">
        <v>470</v>
      </c>
      <c r="H2258" s="197" t="s">
        <v>471</v>
      </c>
      <c r="J2258" s="195">
        <v>1</v>
      </c>
      <c r="K2258" s="204" t="s">
        <v>224</v>
      </c>
      <c r="L2258" s="199">
        <v>1</v>
      </c>
      <c r="M2258" s="200">
        <v>0.3</v>
      </c>
      <c r="N2258" s="201">
        <v>25</v>
      </c>
    </row>
    <row r="2259" spans="1:14">
      <c r="A2259" s="194">
        <v>41287.732430555552</v>
      </c>
      <c r="B2259" s="195">
        <v>2122</v>
      </c>
      <c r="C2259" s="194"/>
      <c r="D2259" s="194"/>
      <c r="E2259" s="196" t="s">
        <v>858</v>
      </c>
      <c r="F2259" s="195">
        <v>800</v>
      </c>
      <c r="G2259" s="197" t="s">
        <v>470</v>
      </c>
      <c r="H2259" s="197" t="s">
        <v>471</v>
      </c>
      <c r="J2259" s="195">
        <v>1</v>
      </c>
      <c r="K2259" s="204" t="s">
        <v>224</v>
      </c>
      <c r="L2259" s="199">
        <v>1</v>
      </c>
      <c r="M2259" s="200">
        <v>0.7</v>
      </c>
      <c r="N2259" s="201">
        <v>25</v>
      </c>
    </row>
    <row r="2260" spans="1:14">
      <c r="A2260" s="194">
        <v>41302.523194444446</v>
      </c>
      <c r="B2260" s="195">
        <v>2122</v>
      </c>
      <c r="C2260" s="194"/>
      <c r="D2260" s="194"/>
      <c r="E2260" s="196" t="s">
        <v>1473</v>
      </c>
      <c r="F2260" s="195">
        <v>800</v>
      </c>
      <c r="G2260" s="197" t="s">
        <v>470</v>
      </c>
      <c r="H2260" s="197" t="s">
        <v>471</v>
      </c>
      <c r="J2260" s="195">
        <v>1</v>
      </c>
      <c r="K2260" s="204" t="s">
        <v>224</v>
      </c>
      <c r="L2260" s="199">
        <v>1</v>
      </c>
      <c r="M2260" s="200">
        <v>0.9</v>
      </c>
      <c r="N2260" s="201">
        <v>25</v>
      </c>
    </row>
    <row r="2261" spans="1:14">
      <c r="A2261" s="194">
        <v>41302.541967592595</v>
      </c>
      <c r="B2261" s="195">
        <v>2122</v>
      </c>
      <c r="C2261" s="194"/>
      <c r="D2261" s="194"/>
      <c r="E2261" s="196" t="s">
        <v>1474</v>
      </c>
      <c r="F2261" s="195">
        <v>800</v>
      </c>
      <c r="G2261" s="197" t="s">
        <v>470</v>
      </c>
      <c r="H2261" s="197" t="s">
        <v>471</v>
      </c>
      <c r="J2261" s="195">
        <v>1</v>
      </c>
      <c r="K2261" s="204" t="s">
        <v>224</v>
      </c>
      <c r="L2261" s="199">
        <v>2</v>
      </c>
      <c r="M2261" s="200">
        <v>3.5</v>
      </c>
      <c r="N2261" s="201">
        <v>25</v>
      </c>
    </row>
    <row r="2262" spans="1:14">
      <c r="A2262" s="194">
        <v>41285.971238425926</v>
      </c>
      <c r="B2262" s="195">
        <v>2122</v>
      </c>
      <c r="C2262" s="194"/>
      <c r="D2262" s="194"/>
      <c r="E2262" s="196" t="s">
        <v>925</v>
      </c>
      <c r="F2262" s="195">
        <v>800</v>
      </c>
      <c r="G2262" s="197" t="s">
        <v>470</v>
      </c>
      <c r="H2262" s="197" t="s">
        <v>471</v>
      </c>
      <c r="J2262" s="195">
        <v>1</v>
      </c>
      <c r="K2262" s="204" t="s">
        <v>224</v>
      </c>
      <c r="L2262" s="199">
        <v>1</v>
      </c>
      <c r="M2262" s="200">
        <v>0.5</v>
      </c>
      <c r="N2262" s="201">
        <v>26</v>
      </c>
    </row>
    <row r="2263" spans="1:14">
      <c r="A2263" s="194">
        <v>41280.6718287037</v>
      </c>
      <c r="B2263" s="195">
        <v>2122</v>
      </c>
      <c r="C2263" s="194"/>
      <c r="D2263" s="194"/>
      <c r="E2263" s="196" t="s">
        <v>565</v>
      </c>
      <c r="F2263" s="195">
        <v>800</v>
      </c>
      <c r="G2263" s="197" t="s">
        <v>470</v>
      </c>
      <c r="H2263" s="197" t="s">
        <v>471</v>
      </c>
      <c r="J2263" s="195">
        <v>1</v>
      </c>
      <c r="K2263" s="204" t="s">
        <v>224</v>
      </c>
      <c r="L2263" s="199">
        <v>2</v>
      </c>
      <c r="M2263" s="200">
        <v>0.9</v>
      </c>
      <c r="N2263" s="201">
        <v>26</v>
      </c>
    </row>
    <row r="2264" spans="1:14">
      <c r="A2264" s="194">
        <v>41280.978773148148</v>
      </c>
      <c r="B2264" s="195">
        <v>2122</v>
      </c>
      <c r="C2264" s="194"/>
      <c r="D2264" s="194"/>
      <c r="E2264" s="196" t="s">
        <v>566</v>
      </c>
      <c r="F2264" s="195">
        <v>800</v>
      </c>
      <c r="G2264" s="197" t="s">
        <v>470</v>
      </c>
      <c r="H2264" s="197" t="s">
        <v>471</v>
      </c>
      <c r="J2264" s="195">
        <v>1</v>
      </c>
      <c r="K2264" s="204" t="s">
        <v>224</v>
      </c>
      <c r="L2264" s="199">
        <v>1</v>
      </c>
      <c r="M2264" s="200">
        <v>0.6</v>
      </c>
      <c r="N2264" s="201">
        <v>28</v>
      </c>
    </row>
    <row r="2265" spans="1:14">
      <c r="A2265" s="194">
        <v>41279.716956018521</v>
      </c>
      <c r="B2265" s="195">
        <v>2122</v>
      </c>
      <c r="C2265" s="194"/>
      <c r="D2265" s="194"/>
      <c r="E2265" s="196" t="s">
        <v>647</v>
      </c>
      <c r="F2265" s="195">
        <v>800</v>
      </c>
      <c r="G2265" s="197" t="s">
        <v>470</v>
      </c>
      <c r="H2265" s="197" t="s">
        <v>471</v>
      </c>
      <c r="J2265" s="195">
        <v>1</v>
      </c>
      <c r="K2265" s="204" t="s">
        <v>224</v>
      </c>
      <c r="L2265" s="199">
        <v>1</v>
      </c>
      <c r="M2265" s="200">
        <v>0.8</v>
      </c>
      <c r="N2265" s="201">
        <v>30</v>
      </c>
    </row>
    <row r="2266" spans="1:14">
      <c r="A2266" s="194">
        <v>41303.474606481483</v>
      </c>
      <c r="B2266" s="195">
        <v>2122</v>
      </c>
      <c r="C2266" s="194"/>
      <c r="D2266" s="194"/>
      <c r="E2266" s="196" t="s">
        <v>1493</v>
      </c>
      <c r="F2266" s="195">
        <v>800</v>
      </c>
      <c r="G2266" s="197" t="s">
        <v>470</v>
      </c>
      <c r="H2266" s="197" t="s">
        <v>471</v>
      </c>
      <c r="J2266" s="195">
        <v>1</v>
      </c>
      <c r="K2266" s="204" t="s">
        <v>224</v>
      </c>
      <c r="L2266" s="199">
        <v>1</v>
      </c>
      <c r="M2266" s="200">
        <v>1</v>
      </c>
      <c r="N2266" s="201">
        <v>30</v>
      </c>
    </row>
    <row r="2267" spans="1:14">
      <c r="A2267" s="194">
        <v>41302.507210648146</v>
      </c>
      <c r="B2267" s="195">
        <v>2122</v>
      </c>
      <c r="C2267" s="194"/>
      <c r="D2267" s="194"/>
      <c r="E2267" s="196" t="s">
        <v>1472</v>
      </c>
      <c r="F2267" s="195">
        <v>800</v>
      </c>
      <c r="G2267" s="197" t="s">
        <v>470</v>
      </c>
      <c r="H2267" s="197" t="s">
        <v>471</v>
      </c>
      <c r="J2267" s="195">
        <v>1</v>
      </c>
      <c r="K2267" s="204" t="s">
        <v>224</v>
      </c>
      <c r="L2267" s="199">
        <v>1</v>
      </c>
      <c r="M2267" s="200">
        <v>0.4</v>
      </c>
      <c r="N2267" s="201">
        <v>31</v>
      </c>
    </row>
    <row r="2268" spans="1:14">
      <c r="A2268" s="194">
        <v>41275.572337962964</v>
      </c>
      <c r="B2268" s="195">
        <v>2122</v>
      </c>
      <c r="C2268" s="194"/>
      <c r="D2268" s="194"/>
      <c r="E2268" s="196" t="s">
        <v>494</v>
      </c>
      <c r="F2268" s="195">
        <v>800</v>
      </c>
      <c r="G2268" s="197" t="s">
        <v>470</v>
      </c>
      <c r="H2268" s="197" t="s">
        <v>471</v>
      </c>
      <c r="J2268" s="195">
        <v>1</v>
      </c>
      <c r="K2268" s="204" t="s">
        <v>224</v>
      </c>
      <c r="L2268" s="199">
        <v>2</v>
      </c>
      <c r="M2268" s="200">
        <v>1.1000000000000001</v>
      </c>
      <c r="N2268" s="201">
        <v>32</v>
      </c>
    </row>
    <row r="2269" spans="1:14">
      <c r="A2269" s="194">
        <v>41282.077349537038</v>
      </c>
      <c r="B2269" s="195">
        <v>2122</v>
      </c>
      <c r="C2269" s="194"/>
      <c r="D2269" s="194"/>
      <c r="E2269" s="196" t="s">
        <v>740</v>
      </c>
      <c r="F2269" s="195">
        <v>800</v>
      </c>
      <c r="G2269" s="197" t="s">
        <v>470</v>
      </c>
      <c r="H2269" s="197" t="s">
        <v>471</v>
      </c>
      <c r="J2269" s="195">
        <v>1</v>
      </c>
      <c r="K2269" s="204" t="s">
        <v>224</v>
      </c>
      <c r="L2269" s="199">
        <v>2</v>
      </c>
      <c r="M2269" s="200">
        <v>1.2</v>
      </c>
      <c r="N2269" s="201">
        <v>32</v>
      </c>
    </row>
    <row r="2270" spans="1:14">
      <c r="A2270" s="194">
        <v>41276.918900462966</v>
      </c>
      <c r="B2270" s="195">
        <v>2122</v>
      </c>
      <c r="C2270" s="194"/>
      <c r="D2270" s="194"/>
      <c r="E2270" s="196" t="s">
        <v>521</v>
      </c>
      <c r="F2270" s="195">
        <v>800</v>
      </c>
      <c r="G2270" s="197" t="s">
        <v>470</v>
      </c>
      <c r="H2270" s="197" t="s">
        <v>471</v>
      </c>
      <c r="J2270" s="195">
        <v>1</v>
      </c>
      <c r="K2270" s="204" t="s">
        <v>224</v>
      </c>
      <c r="L2270" s="199">
        <v>1</v>
      </c>
      <c r="M2270" s="200">
        <v>1.6</v>
      </c>
      <c r="N2270" s="201">
        <v>32</v>
      </c>
    </row>
    <row r="2271" spans="1:14">
      <c r="A2271" s="194">
        <v>41295.670914351853</v>
      </c>
      <c r="B2271" s="195">
        <v>2122</v>
      </c>
      <c r="C2271" s="194"/>
      <c r="D2271" s="194"/>
      <c r="E2271" s="196" t="s">
        <v>1114</v>
      </c>
      <c r="F2271" s="195">
        <v>800</v>
      </c>
      <c r="G2271" s="197" t="s">
        <v>470</v>
      </c>
      <c r="H2271" s="197" t="s">
        <v>471</v>
      </c>
      <c r="J2271" s="195">
        <v>1</v>
      </c>
      <c r="K2271" s="204" t="s">
        <v>224</v>
      </c>
      <c r="L2271" s="199">
        <v>1</v>
      </c>
      <c r="M2271" s="200">
        <v>0.5</v>
      </c>
      <c r="N2271" s="201">
        <v>33</v>
      </c>
    </row>
    <row r="2272" spans="1:14">
      <c r="A2272" s="194">
        <v>41283.303171296298</v>
      </c>
      <c r="B2272" s="195">
        <v>2122</v>
      </c>
      <c r="C2272" s="194"/>
      <c r="D2272" s="194"/>
      <c r="E2272" s="196" t="s">
        <v>766</v>
      </c>
      <c r="F2272" s="195">
        <v>800</v>
      </c>
      <c r="G2272" s="197" t="s">
        <v>470</v>
      </c>
      <c r="H2272" s="197" t="s">
        <v>471</v>
      </c>
      <c r="J2272" s="195">
        <v>1</v>
      </c>
      <c r="K2272" s="204" t="s">
        <v>224</v>
      </c>
      <c r="L2272" s="199">
        <v>2</v>
      </c>
      <c r="M2272" s="200">
        <v>1.2</v>
      </c>
      <c r="N2272" s="201">
        <v>34</v>
      </c>
    </row>
    <row r="2273" spans="1:14">
      <c r="A2273" s="194">
        <v>41288.696319444447</v>
      </c>
      <c r="B2273" s="195">
        <v>2122</v>
      </c>
      <c r="C2273" s="194"/>
      <c r="D2273" s="194"/>
      <c r="E2273" s="198"/>
      <c r="G2273" s="202"/>
      <c r="J2273" s="195">
        <v>2</v>
      </c>
      <c r="K2273" s="204" t="s">
        <v>32</v>
      </c>
      <c r="L2273" s="199">
        <v>2</v>
      </c>
      <c r="M2273" s="200">
        <v>0.7</v>
      </c>
      <c r="N2273" s="201">
        <v>16</v>
      </c>
    </row>
    <row r="2274" spans="1:14">
      <c r="A2274" s="194">
        <v>41283.666331018518</v>
      </c>
      <c r="B2274" s="195">
        <v>2122</v>
      </c>
      <c r="C2274" s="194"/>
      <c r="D2274" s="194"/>
      <c r="E2274" s="198"/>
      <c r="G2274" s="202"/>
      <c r="J2274" s="195">
        <v>2</v>
      </c>
      <c r="K2274" s="204" t="s">
        <v>32</v>
      </c>
      <c r="L2274" s="199">
        <v>2</v>
      </c>
      <c r="M2274" s="200">
        <v>0.8</v>
      </c>
      <c r="N2274" s="201">
        <v>16</v>
      </c>
    </row>
    <row r="2275" spans="1:14">
      <c r="A2275" s="194">
        <v>41297.235162037039</v>
      </c>
      <c r="B2275" s="195">
        <v>2122</v>
      </c>
      <c r="C2275" s="194"/>
      <c r="D2275" s="194"/>
      <c r="E2275" s="198"/>
      <c r="G2275" s="202"/>
      <c r="J2275" s="195">
        <v>2</v>
      </c>
      <c r="K2275" s="204" t="s">
        <v>32</v>
      </c>
      <c r="L2275" s="199">
        <v>1</v>
      </c>
      <c r="M2275" s="200">
        <v>33.9</v>
      </c>
      <c r="N2275" s="201">
        <v>19</v>
      </c>
    </row>
    <row r="2276" spans="1:14">
      <c r="A2276" s="194">
        <v>41284.507395833331</v>
      </c>
      <c r="B2276" s="195">
        <v>2122</v>
      </c>
      <c r="C2276" s="194"/>
      <c r="D2276" s="194"/>
      <c r="E2276" s="198"/>
      <c r="G2276" s="202"/>
      <c r="J2276" s="195">
        <v>2</v>
      </c>
      <c r="K2276" s="204" t="s">
        <v>32</v>
      </c>
      <c r="L2276" s="199">
        <v>1</v>
      </c>
      <c r="M2276" s="200">
        <v>2.2999999999999998</v>
      </c>
      <c r="N2276" s="201">
        <v>23</v>
      </c>
    </row>
    <row r="2277" spans="1:14">
      <c r="A2277" s="194">
        <v>41280.64334490741</v>
      </c>
      <c r="B2277" s="195">
        <v>2122</v>
      </c>
      <c r="C2277" s="194"/>
      <c r="D2277" s="194"/>
      <c r="E2277" s="198"/>
      <c r="G2277" s="202"/>
      <c r="J2277" s="195">
        <v>2</v>
      </c>
      <c r="K2277" s="204" t="s">
        <v>32</v>
      </c>
      <c r="L2277" s="199">
        <v>2</v>
      </c>
      <c r="M2277" s="200">
        <v>0.7</v>
      </c>
      <c r="N2277" s="201">
        <v>24</v>
      </c>
    </row>
    <row r="2278" spans="1:14">
      <c r="A2278" s="194">
        <v>41295.124328703707</v>
      </c>
      <c r="B2278" s="195">
        <v>2122</v>
      </c>
      <c r="C2278" s="194"/>
      <c r="D2278" s="194"/>
      <c r="E2278" s="198"/>
      <c r="G2278" s="202"/>
      <c r="J2278" s="195">
        <v>2</v>
      </c>
      <c r="K2278" s="204" t="s">
        <v>32</v>
      </c>
      <c r="L2278" s="199">
        <v>1</v>
      </c>
      <c r="M2278" s="200">
        <v>1.5</v>
      </c>
      <c r="N2278" s="201">
        <v>28</v>
      </c>
    </row>
    <row r="2279" spans="1:14">
      <c r="A2279" s="194">
        <v>41287.174780092595</v>
      </c>
      <c r="B2279" s="195">
        <v>2122</v>
      </c>
      <c r="C2279" s="194"/>
      <c r="D2279" s="194"/>
      <c r="E2279" s="198"/>
      <c r="G2279" s="202"/>
      <c r="J2279" s="195">
        <v>2</v>
      </c>
      <c r="K2279" s="204" t="s">
        <v>32</v>
      </c>
      <c r="L2279" s="199">
        <v>1</v>
      </c>
      <c r="M2279" s="200">
        <v>0.7</v>
      </c>
      <c r="N2279" s="201">
        <v>30</v>
      </c>
    </row>
    <row r="2280" spans="1:14">
      <c r="A2280" s="194">
        <v>41281.38925925926</v>
      </c>
      <c r="B2280" s="195">
        <v>2122</v>
      </c>
      <c r="C2280" s="194"/>
      <c r="D2280" s="194"/>
      <c r="E2280" s="198"/>
      <c r="G2280" s="202"/>
      <c r="J2280" s="195">
        <v>2</v>
      </c>
      <c r="K2280" s="204" t="s">
        <v>32</v>
      </c>
      <c r="L2280" s="199">
        <v>2</v>
      </c>
      <c r="M2280" s="200">
        <v>1</v>
      </c>
      <c r="N2280" s="201">
        <v>35</v>
      </c>
    </row>
    <row r="2281" spans="1:14">
      <c r="A2281" s="194">
        <v>41286.27783564815</v>
      </c>
      <c r="B2281" s="195">
        <v>2122</v>
      </c>
      <c r="C2281" s="194"/>
      <c r="D2281" s="194"/>
      <c r="E2281" s="198"/>
      <c r="G2281" s="202"/>
      <c r="J2281" s="195">
        <v>2</v>
      </c>
      <c r="K2281" s="204" t="s">
        <v>32</v>
      </c>
      <c r="L2281" s="199">
        <v>1</v>
      </c>
      <c r="M2281" s="200">
        <v>29.5</v>
      </c>
      <c r="N2281" s="201">
        <v>37</v>
      </c>
    </row>
    <row r="2282" spans="1:14">
      <c r="A2282" s="194">
        <v>41276.222395833334</v>
      </c>
      <c r="B2282" s="195">
        <v>2122</v>
      </c>
      <c r="C2282" s="194"/>
      <c r="D2282" s="194"/>
      <c r="E2282" s="198"/>
      <c r="G2282" s="202"/>
      <c r="J2282" s="195">
        <v>2</v>
      </c>
      <c r="K2282" s="204" t="s">
        <v>32</v>
      </c>
      <c r="L2282" s="199">
        <v>1</v>
      </c>
      <c r="M2282" s="200">
        <v>0.8</v>
      </c>
      <c r="N2282" s="201">
        <v>42</v>
      </c>
    </row>
    <row r="2283" spans="1:14">
      <c r="A2283" s="194">
        <v>41275.57303240741</v>
      </c>
      <c r="B2283" s="195">
        <v>2122</v>
      </c>
      <c r="C2283" s="194"/>
      <c r="D2283" s="194"/>
      <c r="E2283" s="198"/>
      <c r="G2283" s="202"/>
      <c r="J2283" s="195">
        <v>3</v>
      </c>
      <c r="K2283" s="204" t="s">
        <v>1595</v>
      </c>
      <c r="L2283" s="199">
        <v>2</v>
      </c>
      <c r="M2283" s="200">
        <v>1.3</v>
      </c>
      <c r="N2283" s="201">
        <v>23</v>
      </c>
    </row>
    <row r="2284" spans="1:14">
      <c r="A2284" s="194">
        <v>41293.616678240738</v>
      </c>
      <c r="B2284" s="195">
        <v>2122</v>
      </c>
      <c r="C2284" s="194"/>
      <c r="D2284" s="194"/>
      <c r="E2284" s="198"/>
      <c r="G2284" s="202"/>
      <c r="J2284" s="195">
        <v>3</v>
      </c>
      <c r="K2284" s="204" t="s">
        <v>1595</v>
      </c>
      <c r="L2284" s="199">
        <v>2</v>
      </c>
      <c r="M2284" s="200">
        <v>1.6</v>
      </c>
      <c r="N2284" s="201">
        <v>25</v>
      </c>
    </row>
    <row r="2285" spans="1:14">
      <c r="A2285" s="194">
        <v>41284.757407407407</v>
      </c>
      <c r="B2285" s="195">
        <v>2122</v>
      </c>
      <c r="C2285" s="194"/>
      <c r="D2285" s="194"/>
      <c r="E2285" s="198"/>
      <c r="G2285" s="202"/>
      <c r="J2285" s="195">
        <v>3</v>
      </c>
      <c r="K2285" s="204" t="s">
        <v>1595</v>
      </c>
      <c r="L2285" s="199">
        <v>2</v>
      </c>
      <c r="M2285" s="200">
        <v>0.4</v>
      </c>
      <c r="N2285" s="201">
        <v>29</v>
      </c>
    </row>
    <row r="2286" spans="1:14">
      <c r="A2286" s="194">
        <v>41304.935081018521</v>
      </c>
      <c r="B2286" s="195">
        <v>2122</v>
      </c>
      <c r="C2286" s="194"/>
      <c r="D2286" s="194"/>
      <c r="E2286" s="198"/>
      <c r="G2286" s="202"/>
      <c r="J2286" s="195">
        <v>13</v>
      </c>
      <c r="K2286" s="204" t="s">
        <v>3</v>
      </c>
      <c r="L2286" s="199">
        <v>2</v>
      </c>
      <c r="M2286" s="200">
        <v>0.9</v>
      </c>
      <c r="N2286" s="201">
        <v>18</v>
      </c>
    </row>
    <row r="2287" spans="1:14">
      <c r="A2287" s="194">
        <v>41279.791956018518</v>
      </c>
      <c r="B2287" s="195">
        <v>2122</v>
      </c>
      <c r="C2287" s="194"/>
      <c r="D2287" s="194"/>
      <c r="E2287" s="198"/>
      <c r="G2287" s="202"/>
      <c r="J2287" s="195">
        <v>13</v>
      </c>
      <c r="K2287" s="204" t="s">
        <v>3</v>
      </c>
      <c r="L2287" s="199">
        <v>2</v>
      </c>
      <c r="M2287" s="200">
        <v>1.4</v>
      </c>
      <c r="N2287" s="201">
        <v>18</v>
      </c>
    </row>
    <row r="2288" spans="1:14">
      <c r="A2288" s="194">
        <v>41285.705289351848</v>
      </c>
      <c r="B2288" s="195">
        <v>2122</v>
      </c>
      <c r="C2288" s="194"/>
      <c r="D2288" s="194"/>
      <c r="E2288" s="198"/>
      <c r="G2288" s="202"/>
      <c r="J2288" s="195">
        <v>13</v>
      </c>
      <c r="K2288" s="204" t="s">
        <v>3</v>
      </c>
      <c r="L2288" s="199">
        <v>2</v>
      </c>
      <c r="M2288" s="200">
        <v>0.4</v>
      </c>
      <c r="N2288" s="201">
        <v>19</v>
      </c>
    </row>
    <row r="2289" spans="1:14">
      <c r="A2289" s="194">
        <v>41292.481168981481</v>
      </c>
      <c r="B2289" s="195">
        <v>2122</v>
      </c>
      <c r="C2289" s="194"/>
      <c r="D2289" s="194"/>
      <c r="E2289" s="198"/>
      <c r="G2289" s="202"/>
      <c r="J2289" s="195">
        <v>13</v>
      </c>
      <c r="K2289" s="204" t="s">
        <v>3</v>
      </c>
      <c r="L2289" s="199">
        <v>2</v>
      </c>
      <c r="M2289" s="200">
        <v>1.2</v>
      </c>
      <c r="N2289" s="201">
        <v>19</v>
      </c>
    </row>
    <row r="2290" spans="1:14">
      <c r="A2290" s="194">
        <v>41296.693842592591</v>
      </c>
      <c r="B2290" s="195">
        <v>2122</v>
      </c>
      <c r="C2290" s="194"/>
      <c r="D2290" s="194"/>
      <c r="E2290" s="198"/>
      <c r="G2290" s="202"/>
      <c r="J2290" s="195">
        <v>13</v>
      </c>
      <c r="K2290" s="204" t="s">
        <v>3</v>
      </c>
      <c r="L2290" s="199">
        <v>2</v>
      </c>
      <c r="M2290" s="200">
        <v>0.6</v>
      </c>
      <c r="N2290" s="201">
        <v>21</v>
      </c>
    </row>
    <row r="2291" spans="1:14">
      <c r="A2291" s="194">
        <v>41282.777384259258</v>
      </c>
      <c r="B2291" s="195">
        <v>2122</v>
      </c>
      <c r="C2291" s="194"/>
      <c r="D2291" s="194"/>
      <c r="E2291" s="198"/>
      <c r="G2291" s="202"/>
      <c r="J2291" s="195">
        <v>13</v>
      </c>
      <c r="K2291" s="204" t="s">
        <v>3</v>
      </c>
      <c r="L2291" s="199">
        <v>2</v>
      </c>
      <c r="M2291" s="200">
        <v>1.7</v>
      </c>
      <c r="N2291" s="201">
        <v>21</v>
      </c>
    </row>
    <row r="2292" spans="1:14">
      <c r="A2292" s="194">
        <v>41277.618877314817</v>
      </c>
      <c r="B2292" s="195">
        <v>2122</v>
      </c>
      <c r="C2292" s="194"/>
      <c r="D2292" s="194"/>
      <c r="E2292" s="198"/>
      <c r="G2292" s="202"/>
      <c r="J2292" s="195">
        <v>13</v>
      </c>
      <c r="K2292" s="204" t="s">
        <v>3</v>
      </c>
      <c r="L2292" s="199">
        <v>1</v>
      </c>
      <c r="M2292" s="200">
        <v>0.7</v>
      </c>
      <c r="N2292" s="201">
        <v>24</v>
      </c>
    </row>
    <row r="2293" spans="1:14">
      <c r="A2293" s="194">
        <v>41298.395972222221</v>
      </c>
      <c r="B2293" s="195">
        <v>2122</v>
      </c>
      <c r="C2293" s="194"/>
      <c r="D2293" s="194"/>
      <c r="E2293" s="198"/>
      <c r="G2293" s="202"/>
      <c r="J2293" s="195">
        <v>13</v>
      </c>
      <c r="K2293" s="204" t="s">
        <v>3</v>
      </c>
      <c r="L2293" s="199">
        <v>2</v>
      </c>
      <c r="M2293" s="200">
        <v>0.3</v>
      </c>
      <c r="N2293" s="201">
        <v>25</v>
      </c>
    </row>
    <row r="2294" spans="1:14">
      <c r="A2294" s="194">
        <v>41282.473935185182</v>
      </c>
      <c r="B2294" s="195">
        <v>2122</v>
      </c>
      <c r="C2294" s="194"/>
      <c r="D2294" s="194"/>
      <c r="E2294" s="198"/>
      <c r="G2294" s="202"/>
      <c r="J2294" s="195">
        <v>13</v>
      </c>
      <c r="K2294" s="204" t="s">
        <v>3</v>
      </c>
      <c r="L2294" s="199">
        <v>2</v>
      </c>
      <c r="M2294" s="200">
        <v>1.4</v>
      </c>
      <c r="N2294" s="201">
        <v>25</v>
      </c>
    </row>
    <row r="2295" spans="1:14">
      <c r="A2295" s="194">
        <v>41280.837800925925</v>
      </c>
      <c r="B2295" s="195">
        <v>2122</v>
      </c>
      <c r="C2295" s="194"/>
      <c r="D2295" s="194"/>
      <c r="E2295" s="198"/>
      <c r="G2295" s="202"/>
      <c r="J2295" s="195">
        <v>13</v>
      </c>
      <c r="K2295" s="204" t="s">
        <v>3</v>
      </c>
      <c r="L2295" s="199">
        <v>2</v>
      </c>
      <c r="M2295" s="200">
        <v>0.5</v>
      </c>
      <c r="N2295" s="201">
        <v>27</v>
      </c>
    </row>
    <row r="2296" spans="1:14">
      <c r="A2296" s="194">
        <v>41287.519224537034</v>
      </c>
      <c r="B2296" s="195">
        <v>2122</v>
      </c>
      <c r="C2296" s="194"/>
      <c r="D2296" s="194"/>
      <c r="E2296" s="198"/>
      <c r="G2296" s="202"/>
      <c r="J2296" s="195">
        <v>13</v>
      </c>
      <c r="K2296" s="204" t="s">
        <v>3</v>
      </c>
      <c r="L2296" s="199">
        <v>2</v>
      </c>
      <c r="M2296" s="200">
        <v>0.9</v>
      </c>
      <c r="N2296" s="201">
        <v>36</v>
      </c>
    </row>
    <row r="2297" spans="1:14">
      <c r="A2297" s="194">
        <v>41296.511203703703</v>
      </c>
      <c r="B2297" s="195">
        <v>2122</v>
      </c>
      <c r="C2297" s="194"/>
      <c r="D2297" s="194"/>
      <c r="E2297" s="198"/>
      <c r="G2297" s="202"/>
      <c r="J2297" s="195">
        <v>15</v>
      </c>
      <c r="K2297" s="204" t="s">
        <v>4</v>
      </c>
      <c r="L2297" s="199">
        <v>2</v>
      </c>
      <c r="M2297" s="200">
        <v>1.4</v>
      </c>
      <c r="N2297" s="201">
        <v>26</v>
      </c>
    </row>
    <row r="2298" spans="1:14">
      <c r="A2298" s="194">
        <v>41289.536666666667</v>
      </c>
      <c r="B2298" s="195">
        <v>2122</v>
      </c>
      <c r="C2298" s="194"/>
      <c r="D2298" s="194"/>
      <c r="E2298" s="198"/>
      <c r="G2298" s="202"/>
      <c r="J2298" s="195">
        <v>15</v>
      </c>
      <c r="K2298" s="204" t="s">
        <v>4</v>
      </c>
      <c r="L2298" s="199">
        <v>2</v>
      </c>
      <c r="M2298" s="200">
        <v>1</v>
      </c>
      <c r="N2298" s="201">
        <v>30</v>
      </c>
    </row>
    <row r="2299" spans="1:14">
      <c r="A2299" s="194">
        <v>41277.303611111114</v>
      </c>
      <c r="B2299" s="195">
        <v>2122</v>
      </c>
      <c r="C2299" s="194"/>
      <c r="D2299" s="194"/>
      <c r="E2299" s="198"/>
      <c r="G2299" s="202"/>
      <c r="J2299" s="195">
        <v>17</v>
      </c>
      <c r="K2299" s="204" t="s">
        <v>11</v>
      </c>
      <c r="L2299" s="199">
        <v>2</v>
      </c>
      <c r="M2299" s="200">
        <v>0.8</v>
      </c>
      <c r="N2299" s="201">
        <v>16</v>
      </c>
    </row>
    <row r="2300" spans="1:14">
      <c r="A2300" s="194">
        <v>41277.336261574077</v>
      </c>
      <c r="B2300" s="195">
        <v>2122</v>
      </c>
      <c r="C2300" s="194"/>
      <c r="D2300" s="194"/>
      <c r="E2300" s="198"/>
      <c r="G2300" s="202"/>
      <c r="J2300" s="195">
        <v>17</v>
      </c>
      <c r="K2300" s="204" t="s">
        <v>11</v>
      </c>
      <c r="L2300" s="199">
        <v>1</v>
      </c>
      <c r="M2300" s="200">
        <v>1.8</v>
      </c>
      <c r="N2300" s="201">
        <v>16</v>
      </c>
    </row>
    <row r="2301" spans="1:14">
      <c r="A2301" s="194">
        <v>41286.567083333335</v>
      </c>
      <c r="B2301" s="195">
        <v>2122</v>
      </c>
      <c r="C2301" s="194"/>
      <c r="D2301" s="194"/>
      <c r="E2301" s="198"/>
      <c r="G2301" s="202"/>
      <c r="J2301" s="195">
        <v>17</v>
      </c>
      <c r="K2301" s="204" t="s">
        <v>11</v>
      </c>
      <c r="L2301" s="199">
        <v>1</v>
      </c>
      <c r="M2301" s="200">
        <v>2</v>
      </c>
      <c r="N2301" s="201">
        <v>16</v>
      </c>
    </row>
    <row r="2302" spans="1:14">
      <c r="A2302" s="194">
        <v>41291.356909722221</v>
      </c>
      <c r="B2302" s="195">
        <v>2122</v>
      </c>
      <c r="C2302" s="194"/>
      <c r="D2302" s="194"/>
      <c r="E2302" s="198"/>
      <c r="G2302" s="202"/>
      <c r="J2302" s="195">
        <v>17</v>
      </c>
      <c r="K2302" s="204" t="s">
        <v>11</v>
      </c>
      <c r="L2302" s="199">
        <v>1</v>
      </c>
      <c r="M2302" s="200">
        <v>2.6</v>
      </c>
      <c r="N2302" s="201">
        <v>16</v>
      </c>
    </row>
    <row r="2303" spans="1:14">
      <c r="A2303" s="194">
        <v>41305.394872685189</v>
      </c>
      <c r="B2303" s="195">
        <v>2122</v>
      </c>
      <c r="C2303" s="194"/>
      <c r="D2303" s="194"/>
      <c r="E2303" s="198"/>
      <c r="G2303" s="202"/>
      <c r="J2303" s="195">
        <v>17</v>
      </c>
      <c r="K2303" s="204" t="s">
        <v>11</v>
      </c>
      <c r="L2303" s="199">
        <v>1</v>
      </c>
      <c r="M2303" s="200">
        <v>3.7</v>
      </c>
      <c r="N2303" s="201">
        <v>16</v>
      </c>
    </row>
    <row r="2304" spans="1:14">
      <c r="A2304" s="194">
        <v>41290.626956018517</v>
      </c>
      <c r="B2304" s="195">
        <v>2122</v>
      </c>
      <c r="C2304" s="194"/>
      <c r="D2304" s="194"/>
      <c r="E2304" s="198"/>
      <c r="G2304" s="202"/>
      <c r="J2304" s="195">
        <v>17</v>
      </c>
      <c r="K2304" s="204" t="s">
        <v>11</v>
      </c>
      <c r="L2304" s="199">
        <v>2</v>
      </c>
      <c r="M2304" s="200">
        <v>0.6</v>
      </c>
      <c r="N2304" s="201">
        <v>17</v>
      </c>
    </row>
    <row r="2305" spans="1:14">
      <c r="A2305" s="194">
        <v>41292.541574074072</v>
      </c>
      <c r="B2305" s="195">
        <v>2122</v>
      </c>
      <c r="C2305" s="194"/>
      <c r="D2305" s="194"/>
      <c r="E2305" s="198"/>
      <c r="G2305" s="202"/>
      <c r="J2305" s="195">
        <v>17</v>
      </c>
      <c r="K2305" s="204" t="s">
        <v>11</v>
      </c>
      <c r="L2305" s="199">
        <v>2</v>
      </c>
      <c r="M2305" s="200">
        <v>1.4</v>
      </c>
      <c r="N2305" s="201">
        <v>17</v>
      </c>
    </row>
    <row r="2306" spans="1:14">
      <c r="A2306" s="194">
        <v>41292.916666666664</v>
      </c>
      <c r="B2306" s="195">
        <v>2122</v>
      </c>
      <c r="C2306" s="194"/>
      <c r="D2306" s="194"/>
      <c r="E2306" s="198"/>
      <c r="G2306" s="202"/>
      <c r="J2306" s="195">
        <v>17</v>
      </c>
      <c r="K2306" s="204" t="s">
        <v>11</v>
      </c>
      <c r="L2306" s="199">
        <v>2</v>
      </c>
      <c r="M2306" s="200">
        <v>4.2</v>
      </c>
      <c r="N2306" s="201">
        <v>17</v>
      </c>
    </row>
    <row r="2307" spans="1:14">
      <c r="A2307" s="194">
        <v>41295.80982638889</v>
      </c>
      <c r="B2307" s="195">
        <v>2122</v>
      </c>
      <c r="C2307" s="194"/>
      <c r="D2307" s="194"/>
      <c r="E2307" s="198"/>
      <c r="G2307" s="202"/>
      <c r="J2307" s="195">
        <v>17</v>
      </c>
      <c r="K2307" s="204" t="s">
        <v>11</v>
      </c>
      <c r="L2307" s="199">
        <v>1</v>
      </c>
      <c r="M2307" s="200">
        <v>0.9</v>
      </c>
      <c r="N2307" s="201">
        <v>18</v>
      </c>
    </row>
    <row r="2308" spans="1:14">
      <c r="A2308" s="194">
        <v>41293.532638888886</v>
      </c>
      <c r="B2308" s="195">
        <v>2122</v>
      </c>
      <c r="C2308" s="194"/>
      <c r="D2308" s="194"/>
      <c r="E2308" s="198"/>
      <c r="G2308" s="202"/>
      <c r="J2308" s="195">
        <v>17</v>
      </c>
      <c r="K2308" s="204" t="s">
        <v>11</v>
      </c>
      <c r="L2308" s="199">
        <v>2</v>
      </c>
      <c r="M2308" s="200">
        <v>1.7</v>
      </c>
      <c r="N2308" s="201">
        <v>18</v>
      </c>
    </row>
    <row r="2309" spans="1:14">
      <c r="A2309" s="194">
        <v>41275.070949074077</v>
      </c>
      <c r="B2309" s="195">
        <v>2122</v>
      </c>
      <c r="C2309" s="194"/>
      <c r="D2309" s="194"/>
      <c r="E2309" s="198"/>
      <c r="G2309" s="202"/>
      <c r="J2309" s="195">
        <v>17</v>
      </c>
      <c r="K2309" s="204" t="s">
        <v>11</v>
      </c>
      <c r="L2309" s="199">
        <v>1</v>
      </c>
      <c r="M2309" s="200">
        <v>2.2000000000000002</v>
      </c>
      <c r="N2309" s="201">
        <v>20</v>
      </c>
    </row>
    <row r="2310" spans="1:14">
      <c r="A2310" s="194">
        <v>41292.448101851849</v>
      </c>
      <c r="B2310" s="195">
        <v>2122</v>
      </c>
      <c r="C2310" s="194"/>
      <c r="D2310" s="194"/>
      <c r="E2310" s="198"/>
      <c r="G2310" s="202"/>
      <c r="J2310" s="195">
        <v>17</v>
      </c>
      <c r="K2310" s="204" t="s">
        <v>11</v>
      </c>
      <c r="L2310" s="199">
        <v>2</v>
      </c>
      <c r="M2310" s="200">
        <v>23.8</v>
      </c>
      <c r="N2310" s="201">
        <v>20</v>
      </c>
    </row>
    <row r="2311" spans="1:14">
      <c r="A2311" s="194">
        <v>41284.490729166668</v>
      </c>
      <c r="B2311" s="195">
        <v>2122</v>
      </c>
      <c r="C2311" s="194"/>
      <c r="D2311" s="194"/>
      <c r="E2311" s="198"/>
      <c r="G2311" s="202"/>
      <c r="J2311" s="195">
        <v>17</v>
      </c>
      <c r="K2311" s="204" t="s">
        <v>11</v>
      </c>
      <c r="L2311" s="199">
        <v>2</v>
      </c>
      <c r="M2311" s="200">
        <v>3.2</v>
      </c>
      <c r="N2311" s="201">
        <v>22</v>
      </c>
    </row>
    <row r="2312" spans="1:14">
      <c r="A2312" s="194">
        <v>41297.668217592596</v>
      </c>
      <c r="B2312" s="195">
        <v>2122</v>
      </c>
      <c r="C2312" s="194"/>
      <c r="D2312" s="194"/>
      <c r="E2312" s="198"/>
      <c r="G2312" s="202"/>
      <c r="J2312" s="195">
        <v>18</v>
      </c>
      <c r="K2312" s="204" t="s">
        <v>5</v>
      </c>
      <c r="L2312" s="199">
        <v>2</v>
      </c>
      <c r="M2312" s="200">
        <v>6.2</v>
      </c>
      <c r="N2312" s="201">
        <v>16</v>
      </c>
    </row>
    <row r="2313" spans="1:14">
      <c r="A2313" s="194">
        <v>41294.870891203704</v>
      </c>
      <c r="B2313" s="195">
        <v>2122</v>
      </c>
      <c r="C2313" s="194"/>
      <c r="D2313" s="194"/>
      <c r="E2313" s="198"/>
      <c r="G2313" s="202"/>
      <c r="J2313" s="195">
        <v>18</v>
      </c>
      <c r="K2313" s="204" t="s">
        <v>5</v>
      </c>
      <c r="L2313" s="199">
        <v>1</v>
      </c>
      <c r="M2313" s="200">
        <v>6.2</v>
      </c>
      <c r="N2313" s="201">
        <v>16</v>
      </c>
    </row>
    <row r="2314" spans="1:14">
      <c r="A2314" s="194">
        <v>41281.779490740744</v>
      </c>
      <c r="B2314" s="195">
        <v>2122</v>
      </c>
      <c r="C2314" s="194"/>
      <c r="D2314" s="194"/>
      <c r="E2314" s="198"/>
      <c r="G2314" s="202"/>
      <c r="J2314" s="195">
        <v>18</v>
      </c>
      <c r="K2314" s="204" t="s">
        <v>5</v>
      </c>
      <c r="L2314" s="199">
        <v>1</v>
      </c>
      <c r="M2314" s="200">
        <v>3.5</v>
      </c>
      <c r="N2314" s="201">
        <v>17</v>
      </c>
    </row>
    <row r="2315" spans="1:14">
      <c r="A2315" s="194">
        <v>41302.366388888891</v>
      </c>
      <c r="B2315" s="195">
        <v>2122</v>
      </c>
      <c r="C2315" s="194"/>
      <c r="D2315" s="194"/>
      <c r="E2315" s="198"/>
      <c r="G2315" s="202"/>
      <c r="J2315" s="195">
        <v>18</v>
      </c>
      <c r="K2315" s="204" t="s">
        <v>5</v>
      </c>
      <c r="L2315" s="199">
        <v>1</v>
      </c>
      <c r="M2315" s="200">
        <v>8.4</v>
      </c>
      <c r="N2315" s="201">
        <v>17</v>
      </c>
    </row>
    <row r="2316" spans="1:14">
      <c r="A2316" s="194">
        <v>41297.124641203707</v>
      </c>
      <c r="B2316" s="195">
        <v>2122</v>
      </c>
      <c r="C2316" s="194"/>
      <c r="D2316" s="194"/>
      <c r="E2316" s="198"/>
      <c r="G2316" s="202"/>
      <c r="J2316" s="195">
        <v>18</v>
      </c>
      <c r="K2316" s="204" t="s">
        <v>5</v>
      </c>
      <c r="L2316" s="199">
        <v>2</v>
      </c>
      <c r="M2316" s="200">
        <v>25.6</v>
      </c>
      <c r="N2316" s="201">
        <v>17</v>
      </c>
    </row>
    <row r="2317" spans="1:14">
      <c r="A2317" s="194">
        <v>41296.828865740739</v>
      </c>
      <c r="B2317" s="195">
        <v>2122</v>
      </c>
      <c r="C2317" s="194"/>
      <c r="D2317" s="194"/>
      <c r="E2317" s="198"/>
      <c r="G2317" s="202"/>
      <c r="J2317" s="195">
        <v>18</v>
      </c>
      <c r="K2317" s="204" t="s">
        <v>5</v>
      </c>
      <c r="L2317" s="199">
        <v>2</v>
      </c>
      <c r="M2317" s="200">
        <v>26.3</v>
      </c>
      <c r="N2317" s="201">
        <v>17</v>
      </c>
    </row>
    <row r="2318" spans="1:14">
      <c r="A2318" s="194">
        <v>41275.007060185184</v>
      </c>
      <c r="B2318" s="195">
        <v>2122</v>
      </c>
      <c r="C2318" s="194"/>
      <c r="D2318" s="194"/>
      <c r="E2318" s="198"/>
      <c r="G2318" s="202"/>
      <c r="J2318" s="195">
        <v>18</v>
      </c>
      <c r="K2318" s="204" t="s">
        <v>5</v>
      </c>
      <c r="L2318" s="199">
        <v>2</v>
      </c>
      <c r="M2318" s="200">
        <v>2.1</v>
      </c>
      <c r="N2318" s="201">
        <v>19</v>
      </c>
    </row>
    <row r="2319" spans="1:14">
      <c r="A2319" s="194">
        <v>41279.604479166665</v>
      </c>
      <c r="B2319" s="195">
        <v>2122</v>
      </c>
      <c r="C2319" s="194"/>
      <c r="D2319" s="194"/>
      <c r="E2319" s="198"/>
      <c r="G2319" s="202"/>
      <c r="J2319" s="195">
        <v>18</v>
      </c>
      <c r="K2319" s="204" t="s">
        <v>5</v>
      </c>
      <c r="L2319" s="199">
        <v>1</v>
      </c>
      <c r="M2319" s="200">
        <v>5.4</v>
      </c>
      <c r="N2319" s="201">
        <v>19</v>
      </c>
    </row>
    <row r="2320" spans="1:14">
      <c r="A2320" s="194">
        <v>41291.424988425926</v>
      </c>
      <c r="B2320" s="195">
        <v>2122</v>
      </c>
      <c r="C2320" s="194"/>
      <c r="D2320" s="194"/>
      <c r="E2320" s="198"/>
      <c r="G2320" s="202"/>
      <c r="J2320" s="195">
        <v>18</v>
      </c>
      <c r="K2320" s="204" t="s">
        <v>5</v>
      </c>
      <c r="L2320" s="199">
        <v>2</v>
      </c>
      <c r="M2320" s="200">
        <v>5.2</v>
      </c>
      <c r="N2320" s="201">
        <v>20</v>
      </c>
    </row>
    <row r="2321" spans="1:14">
      <c r="A2321" s="194">
        <v>41275.396249999998</v>
      </c>
      <c r="B2321" s="195">
        <v>2122</v>
      </c>
      <c r="C2321" s="194"/>
      <c r="D2321" s="194"/>
      <c r="E2321" s="198"/>
      <c r="G2321" s="202"/>
      <c r="J2321" s="195">
        <v>18</v>
      </c>
      <c r="K2321" s="204" t="s">
        <v>5</v>
      </c>
      <c r="L2321" s="199">
        <v>1</v>
      </c>
      <c r="M2321" s="200">
        <v>26.6</v>
      </c>
      <c r="N2321" s="201">
        <v>20</v>
      </c>
    </row>
    <row r="2322" spans="1:14">
      <c r="A2322" s="194">
        <v>41287.249467592592</v>
      </c>
      <c r="B2322" s="195">
        <v>2122</v>
      </c>
      <c r="C2322" s="194"/>
      <c r="D2322" s="194"/>
      <c r="E2322" s="198"/>
      <c r="G2322" s="202"/>
      <c r="J2322" s="195">
        <v>18</v>
      </c>
      <c r="K2322" s="204" t="s">
        <v>5</v>
      </c>
      <c r="L2322" s="199">
        <v>1</v>
      </c>
      <c r="M2322" s="200">
        <v>32.200000000000003</v>
      </c>
      <c r="N2322" s="201">
        <v>21</v>
      </c>
    </row>
    <row r="2323" spans="1:14">
      <c r="A2323" s="194">
        <v>41280.450324074074</v>
      </c>
      <c r="B2323" s="195">
        <v>2122</v>
      </c>
      <c r="C2323" s="194"/>
      <c r="D2323" s="194"/>
      <c r="E2323" s="198"/>
      <c r="G2323" s="202"/>
      <c r="J2323" s="195">
        <v>18</v>
      </c>
      <c r="K2323" s="204" t="s">
        <v>5</v>
      </c>
      <c r="L2323" s="199">
        <v>2</v>
      </c>
      <c r="M2323" s="200">
        <v>4.4000000000000004</v>
      </c>
      <c r="N2323" s="201">
        <v>22</v>
      </c>
    </row>
    <row r="2324" spans="1:14">
      <c r="A2324" s="194">
        <v>41283.742777777778</v>
      </c>
      <c r="B2324" s="195">
        <v>2122</v>
      </c>
      <c r="C2324" s="194"/>
      <c r="D2324" s="194"/>
      <c r="E2324" s="198"/>
      <c r="G2324" s="202"/>
      <c r="J2324" s="195">
        <v>18</v>
      </c>
      <c r="K2324" s="204" t="s">
        <v>5</v>
      </c>
      <c r="L2324" s="199">
        <v>2</v>
      </c>
      <c r="M2324" s="200">
        <v>5.3</v>
      </c>
      <c r="N2324" s="201">
        <v>22</v>
      </c>
    </row>
    <row r="2325" spans="1:14">
      <c r="A2325" s="194">
        <v>41277.804398148146</v>
      </c>
      <c r="B2325" s="195">
        <v>2122</v>
      </c>
      <c r="C2325" s="194"/>
      <c r="D2325" s="194"/>
      <c r="E2325" s="198"/>
      <c r="G2325" s="202"/>
      <c r="J2325" s="195">
        <v>18</v>
      </c>
      <c r="K2325" s="204" t="s">
        <v>5</v>
      </c>
      <c r="L2325" s="199">
        <v>1</v>
      </c>
      <c r="M2325" s="200">
        <v>3.4</v>
      </c>
      <c r="N2325" s="201">
        <v>23</v>
      </c>
    </row>
    <row r="2326" spans="1:14">
      <c r="A2326" s="194">
        <v>41288.69425925926</v>
      </c>
      <c r="B2326" s="195">
        <v>2122</v>
      </c>
      <c r="C2326" s="194"/>
      <c r="D2326" s="194"/>
      <c r="E2326" s="198"/>
      <c r="G2326" s="202"/>
      <c r="J2326" s="195">
        <v>18</v>
      </c>
      <c r="K2326" s="204" t="s">
        <v>5</v>
      </c>
      <c r="L2326" s="199">
        <v>1</v>
      </c>
      <c r="M2326" s="200">
        <v>2.9</v>
      </c>
      <c r="N2326" s="201">
        <v>26</v>
      </c>
    </row>
    <row r="2327" spans="1:14">
      <c r="A2327" s="194">
        <v>41291.639525462961</v>
      </c>
      <c r="B2327" s="195">
        <v>2122</v>
      </c>
      <c r="C2327" s="194"/>
      <c r="D2327" s="194"/>
      <c r="E2327" s="198"/>
      <c r="G2327" s="202"/>
      <c r="J2327" s="195">
        <v>18</v>
      </c>
      <c r="K2327" s="204" t="s">
        <v>5</v>
      </c>
      <c r="L2327" s="199">
        <v>1</v>
      </c>
      <c r="M2327" s="200">
        <v>1.9</v>
      </c>
      <c r="N2327" s="201">
        <v>32</v>
      </c>
    </row>
    <row r="2328" spans="1:14">
      <c r="A2328" s="194">
        <v>41282.332974537036</v>
      </c>
      <c r="B2328" s="195">
        <v>2122</v>
      </c>
      <c r="C2328" s="194"/>
      <c r="D2328" s="194"/>
      <c r="E2328" s="196" t="s">
        <v>2103</v>
      </c>
      <c r="G2328" s="202"/>
      <c r="J2328" s="195">
        <v>24</v>
      </c>
      <c r="K2328" s="204" t="s">
        <v>25</v>
      </c>
      <c r="L2328" s="199">
        <v>2</v>
      </c>
      <c r="M2328" s="200">
        <v>0.4</v>
      </c>
      <c r="N2328" s="201">
        <v>18</v>
      </c>
    </row>
    <row r="2329" spans="1:14">
      <c r="A2329" s="194">
        <v>41295.005555555559</v>
      </c>
      <c r="B2329" s="195">
        <v>2122</v>
      </c>
      <c r="C2329" s="194"/>
      <c r="D2329" s="194"/>
      <c r="E2329" s="196" t="s">
        <v>2125</v>
      </c>
      <c r="G2329" s="202"/>
      <c r="J2329" s="195">
        <v>24</v>
      </c>
      <c r="K2329" s="204" t="s">
        <v>25</v>
      </c>
      <c r="L2329" s="199">
        <v>2</v>
      </c>
      <c r="M2329" s="200">
        <v>2.4</v>
      </c>
      <c r="N2329" s="201">
        <v>21</v>
      </c>
    </row>
    <row r="2330" spans="1:14">
      <c r="A2330" s="194">
        <v>41292.986064814817</v>
      </c>
      <c r="B2330" s="195">
        <v>2122</v>
      </c>
      <c r="C2330" s="194"/>
      <c r="D2330" s="194"/>
      <c r="E2330" s="196" t="s">
        <v>1962</v>
      </c>
      <c r="G2330" s="202"/>
      <c r="J2330" s="195">
        <v>24</v>
      </c>
      <c r="K2330" s="204" t="s">
        <v>25</v>
      </c>
      <c r="L2330" s="199">
        <v>2</v>
      </c>
      <c r="M2330" s="200">
        <v>2</v>
      </c>
      <c r="N2330" s="201">
        <v>22</v>
      </c>
    </row>
    <row r="2331" spans="1:14">
      <c r="A2331" s="194">
        <v>41292.849965277775</v>
      </c>
      <c r="B2331" s="195">
        <v>2122</v>
      </c>
      <c r="C2331" s="194"/>
      <c r="D2331" s="194"/>
      <c r="E2331" s="196" t="s">
        <v>1725</v>
      </c>
      <c r="G2331" s="202"/>
      <c r="J2331" s="195">
        <v>24</v>
      </c>
      <c r="K2331" s="204" t="s">
        <v>25</v>
      </c>
      <c r="L2331" s="199">
        <v>1</v>
      </c>
      <c r="M2331" s="200">
        <v>0.5</v>
      </c>
      <c r="N2331" s="201">
        <v>25</v>
      </c>
    </row>
    <row r="2332" spans="1:14">
      <c r="A2332" s="194">
        <v>41292.301307870373</v>
      </c>
      <c r="B2332" s="195">
        <v>2122</v>
      </c>
      <c r="C2332" s="194"/>
      <c r="D2332" s="194"/>
      <c r="E2332" s="196" t="s">
        <v>2022</v>
      </c>
      <c r="G2332" s="202"/>
      <c r="J2332" s="195">
        <v>24</v>
      </c>
      <c r="K2332" s="204" t="s">
        <v>25</v>
      </c>
      <c r="L2332" s="199">
        <v>2</v>
      </c>
      <c r="M2332" s="200">
        <v>0.6</v>
      </c>
      <c r="N2332" s="201">
        <v>25</v>
      </c>
    </row>
    <row r="2333" spans="1:14">
      <c r="A2333" s="194">
        <v>41298.33556712963</v>
      </c>
      <c r="B2333" s="195">
        <v>2122</v>
      </c>
      <c r="C2333" s="194"/>
      <c r="D2333" s="194"/>
      <c r="E2333" s="196" t="s">
        <v>1939</v>
      </c>
      <c r="G2333" s="202"/>
      <c r="J2333" s="195">
        <v>24</v>
      </c>
      <c r="K2333" s="204" t="s">
        <v>25</v>
      </c>
      <c r="L2333" s="199">
        <v>2</v>
      </c>
      <c r="M2333" s="200">
        <v>0.6</v>
      </c>
      <c r="N2333" s="201">
        <v>26</v>
      </c>
    </row>
    <row r="2334" spans="1:14">
      <c r="A2334" s="194">
        <v>41292.455474537041</v>
      </c>
      <c r="B2334" s="195">
        <v>2122</v>
      </c>
      <c r="C2334" s="194"/>
      <c r="D2334" s="194"/>
      <c r="E2334" s="196" t="s">
        <v>1711</v>
      </c>
      <c r="G2334" s="202"/>
      <c r="J2334" s="195">
        <v>24</v>
      </c>
      <c r="K2334" s="204" t="s">
        <v>25</v>
      </c>
      <c r="L2334" s="199">
        <v>2</v>
      </c>
      <c r="M2334" s="200">
        <v>0.7</v>
      </c>
      <c r="N2334" s="201">
        <v>32</v>
      </c>
    </row>
    <row r="2335" spans="1:14">
      <c r="A2335" s="194">
        <v>41291.820763888885</v>
      </c>
      <c r="B2335" s="195">
        <v>2122</v>
      </c>
      <c r="C2335" s="194"/>
      <c r="D2335" s="194"/>
      <c r="E2335" s="196" t="s">
        <v>1976</v>
      </c>
      <c r="G2335" s="202"/>
      <c r="J2335" s="195">
        <v>29</v>
      </c>
      <c r="K2335" s="204" t="s">
        <v>39</v>
      </c>
      <c r="L2335" s="199">
        <v>1</v>
      </c>
      <c r="M2335" s="200">
        <v>0.9</v>
      </c>
      <c r="N2335" s="201">
        <v>19</v>
      </c>
    </row>
    <row r="2336" spans="1:14">
      <c r="A2336" s="194">
        <v>41287.123460648145</v>
      </c>
      <c r="B2336" s="195">
        <v>2122</v>
      </c>
      <c r="C2336" s="194"/>
      <c r="D2336" s="194"/>
      <c r="E2336" s="196" t="s">
        <v>2073</v>
      </c>
      <c r="G2336" s="202"/>
      <c r="J2336" s="195">
        <v>29</v>
      </c>
      <c r="K2336" s="204" t="s">
        <v>39</v>
      </c>
      <c r="L2336" s="199">
        <v>2</v>
      </c>
      <c r="M2336" s="200">
        <v>7.2</v>
      </c>
      <c r="N2336" s="201">
        <v>28</v>
      </c>
    </row>
    <row r="2337" spans="1:14">
      <c r="A2337" s="194">
        <v>41292.84579861111</v>
      </c>
      <c r="B2337" s="195">
        <v>2122</v>
      </c>
      <c r="C2337" s="194"/>
      <c r="D2337" s="194"/>
      <c r="E2337" s="196" t="s">
        <v>1811</v>
      </c>
      <c r="G2337" s="202"/>
      <c r="J2337" s="195">
        <v>29</v>
      </c>
      <c r="K2337" s="204" t="s">
        <v>39</v>
      </c>
      <c r="L2337" s="199">
        <v>2</v>
      </c>
      <c r="M2337" s="200">
        <v>0.8</v>
      </c>
      <c r="N2337" s="201">
        <v>29</v>
      </c>
    </row>
    <row r="2338" spans="1:14">
      <c r="A2338" s="194">
        <v>41297.181307870371</v>
      </c>
      <c r="B2338" s="195">
        <v>2122</v>
      </c>
      <c r="C2338" s="194"/>
      <c r="D2338" s="194"/>
      <c r="E2338" s="196" t="s">
        <v>2076</v>
      </c>
      <c r="G2338" s="202"/>
      <c r="J2338" s="195">
        <v>29</v>
      </c>
      <c r="K2338" s="204" t="s">
        <v>39</v>
      </c>
      <c r="L2338" s="199">
        <v>2</v>
      </c>
      <c r="M2338" s="200">
        <v>0.5</v>
      </c>
      <c r="N2338" s="201">
        <v>31</v>
      </c>
    </row>
    <row r="2339" spans="1:14">
      <c r="A2339" s="194">
        <v>41296.286898148152</v>
      </c>
      <c r="B2339" s="195">
        <v>2122</v>
      </c>
      <c r="C2339" s="194"/>
      <c r="D2339" s="194"/>
      <c r="E2339" s="196" t="s">
        <v>2021</v>
      </c>
      <c r="G2339" s="202"/>
      <c r="J2339" s="195">
        <v>29</v>
      </c>
      <c r="K2339" s="204" t="s">
        <v>39</v>
      </c>
      <c r="L2339" s="199">
        <v>2</v>
      </c>
      <c r="M2339" s="200">
        <v>0.3</v>
      </c>
      <c r="N2339" s="201">
        <v>41</v>
      </c>
    </row>
    <row r="2340" spans="1:14">
      <c r="A2340" s="194">
        <v>41290.347118055557</v>
      </c>
      <c r="B2340" s="195">
        <v>2122</v>
      </c>
      <c r="C2340" s="194"/>
      <c r="D2340" s="194"/>
      <c r="E2340" s="198"/>
      <c r="G2340" s="202"/>
      <c r="J2340" s="195">
        <v>7400</v>
      </c>
      <c r="K2340" s="204" t="s">
        <v>35</v>
      </c>
      <c r="L2340" s="199">
        <v>2</v>
      </c>
      <c r="M2340" s="200">
        <v>1.3</v>
      </c>
      <c r="N2340" s="201">
        <v>28</v>
      </c>
    </row>
    <row r="2341" spans="1:14">
      <c r="A2341" s="194">
        <v>41291.318749999999</v>
      </c>
      <c r="B2341" s="195">
        <v>2124</v>
      </c>
      <c r="C2341" s="194"/>
      <c r="D2341" s="194"/>
      <c r="E2341" s="196" t="s">
        <v>322</v>
      </c>
      <c r="F2341" s="195">
        <v>456</v>
      </c>
      <c r="G2341" s="197" t="s">
        <v>141</v>
      </c>
      <c r="H2341" s="197" t="s">
        <v>223</v>
      </c>
      <c r="I2341" s="196" t="s">
        <v>226</v>
      </c>
      <c r="J2341" s="195">
        <v>1</v>
      </c>
      <c r="K2341" s="204" t="s">
        <v>224</v>
      </c>
      <c r="L2341" s="199">
        <v>2</v>
      </c>
      <c r="M2341" s="200">
        <v>0.4</v>
      </c>
      <c r="N2341" s="201">
        <v>32</v>
      </c>
    </row>
    <row r="2342" spans="1:14">
      <c r="A2342" s="194">
        <v>41298.849282407406</v>
      </c>
      <c r="B2342" s="195">
        <v>2124</v>
      </c>
      <c r="C2342" s="194"/>
      <c r="D2342" s="194"/>
      <c r="E2342" s="196" t="s">
        <v>352</v>
      </c>
      <c r="F2342" s="195">
        <v>456</v>
      </c>
      <c r="G2342" s="197" t="s">
        <v>141</v>
      </c>
      <c r="H2342" s="197" t="s">
        <v>223</v>
      </c>
      <c r="I2342" s="196" t="s">
        <v>226</v>
      </c>
      <c r="J2342" s="195">
        <v>1</v>
      </c>
      <c r="K2342" s="204" t="s">
        <v>224</v>
      </c>
      <c r="L2342" s="199">
        <v>2</v>
      </c>
      <c r="M2342" s="200">
        <v>0.3</v>
      </c>
      <c r="N2342" s="201">
        <v>33</v>
      </c>
    </row>
    <row r="2343" spans="1:14">
      <c r="A2343" s="194">
        <v>41297.318032407406</v>
      </c>
      <c r="B2343" s="195">
        <v>2124</v>
      </c>
      <c r="C2343" s="194"/>
      <c r="D2343" s="194"/>
      <c r="E2343" s="196" t="s">
        <v>404</v>
      </c>
      <c r="F2343" s="195">
        <v>462</v>
      </c>
      <c r="G2343" s="197" t="s">
        <v>144</v>
      </c>
      <c r="H2343" s="197" t="s">
        <v>223</v>
      </c>
      <c r="I2343" s="196" t="s">
        <v>402</v>
      </c>
      <c r="J2343" s="195">
        <v>1</v>
      </c>
      <c r="K2343" s="204" t="s">
        <v>224</v>
      </c>
      <c r="L2343" s="199">
        <v>3</v>
      </c>
      <c r="M2343" s="200">
        <v>0.4</v>
      </c>
      <c r="N2343" s="201">
        <v>33</v>
      </c>
    </row>
    <row r="2344" spans="1:14">
      <c r="A2344" s="194">
        <v>41283.31590277778</v>
      </c>
      <c r="B2344" s="195">
        <v>2124</v>
      </c>
      <c r="C2344" s="194"/>
      <c r="D2344" s="194"/>
      <c r="E2344" s="196" t="s">
        <v>428</v>
      </c>
      <c r="F2344" s="195">
        <v>466</v>
      </c>
      <c r="G2344" s="197" t="s">
        <v>142</v>
      </c>
      <c r="H2344" s="197" t="s">
        <v>223</v>
      </c>
      <c r="I2344" s="196" t="s">
        <v>402</v>
      </c>
      <c r="J2344" s="195">
        <v>1</v>
      </c>
      <c r="K2344" s="204" t="s">
        <v>224</v>
      </c>
      <c r="L2344" s="199">
        <v>1</v>
      </c>
      <c r="M2344" s="200">
        <v>0.3</v>
      </c>
      <c r="N2344" s="201">
        <v>33</v>
      </c>
    </row>
    <row r="2345" spans="1:14">
      <c r="A2345" s="194">
        <v>41291.490254629629</v>
      </c>
      <c r="B2345" s="195">
        <v>2124</v>
      </c>
      <c r="C2345" s="194"/>
      <c r="D2345" s="194"/>
      <c r="E2345" s="196" t="s">
        <v>446</v>
      </c>
      <c r="F2345" s="195">
        <v>466</v>
      </c>
      <c r="G2345" s="197" t="s">
        <v>142</v>
      </c>
      <c r="H2345" s="197" t="s">
        <v>223</v>
      </c>
      <c r="I2345" s="196" t="s">
        <v>402</v>
      </c>
      <c r="J2345" s="195">
        <v>1</v>
      </c>
      <c r="K2345" s="204" t="s">
        <v>224</v>
      </c>
      <c r="L2345" s="199">
        <v>2</v>
      </c>
      <c r="M2345" s="200">
        <v>0.3</v>
      </c>
      <c r="N2345" s="201">
        <v>34</v>
      </c>
    </row>
    <row r="2346" spans="1:14">
      <c r="A2346" s="194">
        <v>41291.514560185184</v>
      </c>
      <c r="B2346" s="195">
        <v>2124</v>
      </c>
      <c r="C2346" s="194"/>
      <c r="D2346" s="194"/>
      <c r="E2346" s="196" t="s">
        <v>447</v>
      </c>
      <c r="F2346" s="195">
        <v>466</v>
      </c>
      <c r="G2346" s="197" t="s">
        <v>142</v>
      </c>
      <c r="H2346" s="197" t="s">
        <v>223</v>
      </c>
      <c r="I2346" s="196" t="s">
        <v>402</v>
      </c>
      <c r="J2346" s="195">
        <v>1</v>
      </c>
      <c r="K2346" s="204" t="s">
        <v>224</v>
      </c>
      <c r="L2346" s="199">
        <v>2</v>
      </c>
      <c r="M2346" s="200">
        <v>0.3</v>
      </c>
      <c r="N2346" s="201">
        <v>39</v>
      </c>
    </row>
    <row r="2347" spans="1:14">
      <c r="A2347" s="194">
        <v>41294.767337962963</v>
      </c>
      <c r="B2347" s="195">
        <v>2124</v>
      </c>
      <c r="C2347" s="194"/>
      <c r="D2347" s="194"/>
      <c r="E2347" s="196" t="s">
        <v>1170</v>
      </c>
      <c r="F2347" s="195">
        <v>800</v>
      </c>
      <c r="G2347" s="197" t="s">
        <v>470</v>
      </c>
      <c r="H2347" s="197" t="s">
        <v>471</v>
      </c>
      <c r="J2347" s="195">
        <v>1</v>
      </c>
      <c r="K2347" s="204" t="s">
        <v>224</v>
      </c>
      <c r="L2347" s="199">
        <v>1</v>
      </c>
      <c r="M2347" s="200">
        <v>1.8</v>
      </c>
      <c r="N2347" s="201">
        <v>15</v>
      </c>
    </row>
    <row r="2348" spans="1:14">
      <c r="A2348" s="194">
        <v>41300.586168981485</v>
      </c>
      <c r="B2348" s="195">
        <v>2124</v>
      </c>
      <c r="C2348" s="194"/>
      <c r="D2348" s="194"/>
      <c r="E2348" s="196" t="s">
        <v>1447</v>
      </c>
      <c r="F2348" s="195">
        <v>800</v>
      </c>
      <c r="G2348" s="197" t="s">
        <v>470</v>
      </c>
      <c r="H2348" s="197" t="s">
        <v>471</v>
      </c>
      <c r="J2348" s="195">
        <v>1</v>
      </c>
      <c r="K2348" s="204" t="s">
        <v>224</v>
      </c>
      <c r="L2348" s="199">
        <v>1</v>
      </c>
      <c r="M2348" s="200">
        <v>1.6</v>
      </c>
      <c r="N2348" s="201">
        <v>18</v>
      </c>
    </row>
    <row r="2349" spans="1:14">
      <c r="A2349" s="194">
        <v>41302.239305555559</v>
      </c>
      <c r="B2349" s="195">
        <v>2124</v>
      </c>
      <c r="C2349" s="194"/>
      <c r="D2349" s="194"/>
      <c r="E2349" s="196" t="s">
        <v>1355</v>
      </c>
      <c r="F2349" s="195">
        <v>800</v>
      </c>
      <c r="G2349" s="197" t="s">
        <v>470</v>
      </c>
      <c r="H2349" s="197" t="s">
        <v>471</v>
      </c>
      <c r="J2349" s="195">
        <v>1</v>
      </c>
      <c r="K2349" s="204" t="s">
        <v>224</v>
      </c>
      <c r="L2349" s="199">
        <v>1</v>
      </c>
      <c r="M2349" s="200">
        <v>26.8</v>
      </c>
      <c r="N2349" s="201">
        <v>18</v>
      </c>
    </row>
    <row r="2350" spans="1:14">
      <c r="A2350" s="194">
        <v>41298.686782407407</v>
      </c>
      <c r="B2350" s="195">
        <v>2124</v>
      </c>
      <c r="C2350" s="194"/>
      <c r="D2350" s="194"/>
      <c r="E2350" s="196" t="s">
        <v>1327</v>
      </c>
      <c r="F2350" s="195">
        <v>800</v>
      </c>
      <c r="G2350" s="197" t="s">
        <v>470</v>
      </c>
      <c r="H2350" s="197" t="s">
        <v>471</v>
      </c>
      <c r="J2350" s="195">
        <v>1</v>
      </c>
      <c r="K2350" s="204" t="s">
        <v>224</v>
      </c>
      <c r="L2350" s="199">
        <v>1</v>
      </c>
      <c r="M2350" s="200">
        <v>0.5</v>
      </c>
      <c r="N2350" s="201">
        <v>20</v>
      </c>
    </row>
    <row r="2351" spans="1:14">
      <c r="A2351" s="194">
        <v>41298.67150462963</v>
      </c>
      <c r="B2351" s="195">
        <v>2124</v>
      </c>
      <c r="C2351" s="194"/>
      <c r="D2351" s="194"/>
      <c r="E2351" s="196" t="s">
        <v>1326</v>
      </c>
      <c r="F2351" s="195">
        <v>800</v>
      </c>
      <c r="G2351" s="197" t="s">
        <v>470</v>
      </c>
      <c r="H2351" s="197" t="s">
        <v>471</v>
      </c>
      <c r="J2351" s="195">
        <v>1</v>
      </c>
      <c r="K2351" s="204" t="s">
        <v>224</v>
      </c>
      <c r="L2351" s="199">
        <v>2</v>
      </c>
      <c r="M2351" s="200">
        <v>0.4</v>
      </c>
      <c r="N2351" s="201">
        <v>23</v>
      </c>
    </row>
    <row r="2352" spans="1:14">
      <c r="A2352" s="194">
        <v>41285.466597222221</v>
      </c>
      <c r="B2352" s="195">
        <v>2124</v>
      </c>
      <c r="C2352" s="194"/>
      <c r="D2352" s="194"/>
      <c r="E2352" s="196" t="s">
        <v>927</v>
      </c>
      <c r="F2352" s="195">
        <v>800</v>
      </c>
      <c r="G2352" s="197" t="s">
        <v>470</v>
      </c>
      <c r="H2352" s="197" t="s">
        <v>471</v>
      </c>
      <c r="J2352" s="195">
        <v>1</v>
      </c>
      <c r="K2352" s="204" t="s">
        <v>224</v>
      </c>
      <c r="L2352" s="199">
        <v>2</v>
      </c>
      <c r="M2352" s="200">
        <v>0.9</v>
      </c>
      <c r="N2352" s="201">
        <v>25</v>
      </c>
    </row>
    <row r="2353" spans="1:14">
      <c r="A2353" s="194">
        <v>41276.535416666666</v>
      </c>
      <c r="B2353" s="195">
        <v>2124</v>
      </c>
      <c r="C2353" s="194"/>
      <c r="D2353" s="194"/>
      <c r="E2353" s="196" t="s">
        <v>553</v>
      </c>
      <c r="F2353" s="195">
        <v>800</v>
      </c>
      <c r="G2353" s="197" t="s">
        <v>470</v>
      </c>
      <c r="H2353" s="197" t="s">
        <v>471</v>
      </c>
      <c r="J2353" s="195">
        <v>1</v>
      </c>
      <c r="K2353" s="204" t="s">
        <v>224</v>
      </c>
      <c r="L2353" s="199">
        <v>1</v>
      </c>
      <c r="M2353" s="200">
        <v>1.2</v>
      </c>
      <c r="N2353" s="201">
        <v>25</v>
      </c>
    </row>
    <row r="2354" spans="1:14">
      <c r="A2354" s="194">
        <v>41298.661087962966</v>
      </c>
      <c r="B2354" s="195">
        <v>2124</v>
      </c>
      <c r="C2354" s="194"/>
      <c r="D2354" s="194"/>
      <c r="E2354" s="196" t="s">
        <v>1325</v>
      </c>
      <c r="F2354" s="195">
        <v>800</v>
      </c>
      <c r="G2354" s="197" t="s">
        <v>470</v>
      </c>
      <c r="H2354" s="197" t="s">
        <v>471</v>
      </c>
      <c r="J2354" s="195">
        <v>1</v>
      </c>
      <c r="K2354" s="204" t="s">
        <v>224</v>
      </c>
      <c r="L2354" s="199">
        <v>1</v>
      </c>
      <c r="M2354" s="200">
        <v>0.3</v>
      </c>
      <c r="N2354" s="201">
        <v>27</v>
      </c>
    </row>
    <row r="2355" spans="1:14">
      <c r="A2355" s="194">
        <v>41303.829930555556</v>
      </c>
      <c r="B2355" s="195">
        <v>2124</v>
      </c>
      <c r="C2355" s="194"/>
      <c r="D2355" s="194"/>
      <c r="E2355" s="196" t="s">
        <v>1498</v>
      </c>
      <c r="F2355" s="195">
        <v>800</v>
      </c>
      <c r="G2355" s="197" t="s">
        <v>470</v>
      </c>
      <c r="H2355" s="197" t="s">
        <v>471</v>
      </c>
      <c r="J2355" s="195">
        <v>1</v>
      </c>
      <c r="K2355" s="204" t="s">
        <v>224</v>
      </c>
      <c r="L2355" s="199">
        <v>2</v>
      </c>
      <c r="M2355" s="200">
        <v>0.4</v>
      </c>
      <c r="N2355" s="201">
        <v>27</v>
      </c>
    </row>
    <row r="2356" spans="1:14">
      <c r="A2356" s="194">
        <v>41305.343831018516</v>
      </c>
      <c r="B2356" s="195">
        <v>2124</v>
      </c>
      <c r="C2356" s="194"/>
      <c r="D2356" s="194"/>
      <c r="E2356" s="196" t="s">
        <v>1587</v>
      </c>
      <c r="F2356" s="195">
        <v>800</v>
      </c>
      <c r="G2356" s="197" t="s">
        <v>470</v>
      </c>
      <c r="H2356" s="197" t="s">
        <v>471</v>
      </c>
      <c r="J2356" s="195">
        <v>1</v>
      </c>
      <c r="K2356" s="204" t="s">
        <v>224</v>
      </c>
      <c r="L2356" s="199">
        <v>1</v>
      </c>
      <c r="M2356" s="200">
        <v>0.4</v>
      </c>
      <c r="N2356" s="201">
        <v>27</v>
      </c>
    </row>
    <row r="2357" spans="1:14">
      <c r="A2357" s="194">
        <v>41303.68476851852</v>
      </c>
      <c r="B2357" s="195">
        <v>2124</v>
      </c>
      <c r="C2357" s="194"/>
      <c r="D2357" s="194"/>
      <c r="E2357" s="196" t="s">
        <v>1497</v>
      </c>
      <c r="F2357" s="195">
        <v>800</v>
      </c>
      <c r="G2357" s="197" t="s">
        <v>470</v>
      </c>
      <c r="H2357" s="197" t="s">
        <v>471</v>
      </c>
      <c r="J2357" s="195">
        <v>1</v>
      </c>
      <c r="K2357" s="204" t="s">
        <v>224</v>
      </c>
      <c r="L2357" s="199">
        <v>1</v>
      </c>
      <c r="M2357" s="200">
        <v>0.5</v>
      </c>
      <c r="N2357" s="201">
        <v>28</v>
      </c>
    </row>
    <row r="2358" spans="1:14">
      <c r="A2358" s="194">
        <v>41284.445081018515</v>
      </c>
      <c r="B2358" s="195">
        <v>2124</v>
      </c>
      <c r="C2358" s="194"/>
      <c r="D2358" s="194"/>
      <c r="E2358" s="196" t="s">
        <v>854</v>
      </c>
      <c r="F2358" s="195">
        <v>800</v>
      </c>
      <c r="G2358" s="197" t="s">
        <v>470</v>
      </c>
      <c r="H2358" s="197" t="s">
        <v>471</v>
      </c>
      <c r="J2358" s="195">
        <v>1</v>
      </c>
      <c r="K2358" s="204" t="s">
        <v>224</v>
      </c>
      <c r="L2358" s="199">
        <v>2</v>
      </c>
      <c r="M2358" s="200">
        <v>0.5</v>
      </c>
      <c r="N2358" s="201">
        <v>29</v>
      </c>
    </row>
    <row r="2359" spans="1:14">
      <c r="A2359" s="194">
        <v>41277.756122685183</v>
      </c>
      <c r="B2359" s="195">
        <v>2124</v>
      </c>
      <c r="C2359" s="194"/>
      <c r="D2359" s="194"/>
      <c r="E2359" s="196" t="s">
        <v>624</v>
      </c>
      <c r="F2359" s="195">
        <v>800</v>
      </c>
      <c r="G2359" s="197" t="s">
        <v>470</v>
      </c>
      <c r="H2359" s="197" t="s">
        <v>471</v>
      </c>
      <c r="J2359" s="195">
        <v>1</v>
      </c>
      <c r="K2359" s="204" t="s">
        <v>224</v>
      </c>
      <c r="L2359" s="199">
        <v>2</v>
      </c>
      <c r="M2359" s="200">
        <v>0.5</v>
      </c>
      <c r="N2359" s="201">
        <v>30</v>
      </c>
    </row>
    <row r="2360" spans="1:14">
      <c r="A2360" s="194">
        <v>41292.792337962965</v>
      </c>
      <c r="B2360" s="195">
        <v>2124</v>
      </c>
      <c r="C2360" s="194"/>
      <c r="D2360" s="194"/>
      <c r="E2360" s="196" t="s">
        <v>1166</v>
      </c>
      <c r="F2360" s="195">
        <v>800</v>
      </c>
      <c r="G2360" s="197" t="s">
        <v>470</v>
      </c>
      <c r="H2360" s="197" t="s">
        <v>471</v>
      </c>
      <c r="J2360" s="195">
        <v>1</v>
      </c>
      <c r="K2360" s="204" t="s">
        <v>224</v>
      </c>
      <c r="L2360" s="199">
        <v>1</v>
      </c>
      <c r="M2360" s="200">
        <v>0.7</v>
      </c>
      <c r="N2360" s="201">
        <v>30</v>
      </c>
    </row>
    <row r="2361" spans="1:14">
      <c r="A2361" s="194">
        <v>41303.664629629631</v>
      </c>
      <c r="B2361" s="195">
        <v>2124</v>
      </c>
      <c r="C2361" s="194"/>
      <c r="D2361" s="194"/>
      <c r="E2361" s="196" t="s">
        <v>1495</v>
      </c>
      <c r="F2361" s="195">
        <v>800</v>
      </c>
      <c r="G2361" s="197" t="s">
        <v>470</v>
      </c>
      <c r="H2361" s="197" t="s">
        <v>471</v>
      </c>
      <c r="J2361" s="195">
        <v>1</v>
      </c>
      <c r="K2361" s="204" t="s">
        <v>224</v>
      </c>
      <c r="L2361" s="199">
        <v>2</v>
      </c>
      <c r="M2361" s="200">
        <v>0.4</v>
      </c>
      <c r="N2361" s="201">
        <v>32</v>
      </c>
    </row>
    <row r="2362" spans="1:14">
      <c r="A2362" s="194">
        <v>41282.599872685183</v>
      </c>
      <c r="B2362" s="195">
        <v>2124</v>
      </c>
      <c r="C2362" s="194"/>
      <c r="D2362" s="194"/>
      <c r="E2362" s="196" t="s">
        <v>741</v>
      </c>
      <c r="F2362" s="195">
        <v>800</v>
      </c>
      <c r="G2362" s="197" t="s">
        <v>470</v>
      </c>
      <c r="H2362" s="197" t="s">
        <v>471</v>
      </c>
      <c r="J2362" s="195">
        <v>1</v>
      </c>
      <c r="K2362" s="204" t="s">
        <v>224</v>
      </c>
      <c r="L2362" s="199">
        <v>1</v>
      </c>
      <c r="M2362" s="200">
        <v>1.6</v>
      </c>
      <c r="N2362" s="201">
        <v>32</v>
      </c>
    </row>
    <row r="2363" spans="1:14">
      <c r="A2363" s="194">
        <v>41292.672847222224</v>
      </c>
      <c r="B2363" s="195">
        <v>2124</v>
      </c>
      <c r="C2363" s="194"/>
      <c r="D2363" s="194"/>
      <c r="E2363" s="196" t="s">
        <v>1165</v>
      </c>
      <c r="F2363" s="195">
        <v>800</v>
      </c>
      <c r="G2363" s="197" t="s">
        <v>470</v>
      </c>
      <c r="H2363" s="197" t="s">
        <v>471</v>
      </c>
      <c r="J2363" s="195">
        <v>1</v>
      </c>
      <c r="K2363" s="204" t="s">
        <v>224</v>
      </c>
      <c r="L2363" s="199">
        <v>2</v>
      </c>
      <c r="M2363" s="200">
        <v>0.4</v>
      </c>
      <c r="N2363" s="201">
        <v>33</v>
      </c>
    </row>
    <row r="2364" spans="1:14">
      <c r="A2364" s="194">
        <v>41279.748541666668</v>
      </c>
      <c r="B2364" s="195">
        <v>2124</v>
      </c>
      <c r="C2364" s="194"/>
      <c r="D2364" s="194"/>
      <c r="E2364" s="196" t="s">
        <v>648</v>
      </c>
      <c r="F2364" s="195">
        <v>800</v>
      </c>
      <c r="G2364" s="197" t="s">
        <v>470</v>
      </c>
      <c r="H2364" s="197" t="s">
        <v>471</v>
      </c>
      <c r="J2364" s="195">
        <v>1</v>
      </c>
      <c r="K2364" s="204" t="s">
        <v>224</v>
      </c>
      <c r="L2364" s="199">
        <v>2</v>
      </c>
      <c r="M2364" s="200">
        <v>1.2</v>
      </c>
      <c r="N2364" s="201">
        <v>33</v>
      </c>
    </row>
    <row r="2365" spans="1:14">
      <c r="A2365" s="194">
        <v>41293.461099537039</v>
      </c>
      <c r="B2365" s="195">
        <v>2124</v>
      </c>
      <c r="C2365" s="194"/>
      <c r="D2365" s="194"/>
      <c r="E2365" s="196" t="s">
        <v>1202</v>
      </c>
      <c r="F2365" s="195">
        <v>800</v>
      </c>
      <c r="G2365" s="197" t="s">
        <v>470</v>
      </c>
      <c r="H2365" s="197" t="s">
        <v>471</v>
      </c>
      <c r="J2365" s="195">
        <v>1</v>
      </c>
      <c r="K2365" s="204" t="s">
        <v>224</v>
      </c>
      <c r="L2365" s="199">
        <v>2</v>
      </c>
      <c r="M2365" s="200">
        <v>0.4</v>
      </c>
      <c r="N2365" s="201">
        <v>34</v>
      </c>
    </row>
    <row r="2366" spans="1:14">
      <c r="A2366" s="194">
        <v>41293.833356481482</v>
      </c>
      <c r="B2366" s="195">
        <v>2124</v>
      </c>
      <c r="C2366" s="194"/>
      <c r="D2366" s="194"/>
      <c r="E2366" s="196" t="s">
        <v>1203</v>
      </c>
      <c r="F2366" s="195">
        <v>800</v>
      </c>
      <c r="G2366" s="197" t="s">
        <v>470</v>
      </c>
      <c r="H2366" s="197" t="s">
        <v>471</v>
      </c>
      <c r="J2366" s="195">
        <v>1</v>
      </c>
      <c r="K2366" s="204" t="s">
        <v>224</v>
      </c>
      <c r="L2366" s="199">
        <v>2</v>
      </c>
      <c r="M2366" s="200">
        <v>0.4</v>
      </c>
      <c r="N2366" s="201">
        <v>34</v>
      </c>
    </row>
    <row r="2367" spans="1:14">
      <c r="A2367" s="194">
        <v>41297.877743055556</v>
      </c>
      <c r="B2367" s="195">
        <v>2124</v>
      </c>
      <c r="C2367" s="194"/>
      <c r="D2367" s="194"/>
      <c r="E2367" s="196" t="s">
        <v>1343</v>
      </c>
      <c r="F2367" s="195">
        <v>800</v>
      </c>
      <c r="G2367" s="197" t="s">
        <v>470</v>
      </c>
      <c r="H2367" s="197" t="s">
        <v>471</v>
      </c>
      <c r="J2367" s="195">
        <v>1</v>
      </c>
      <c r="K2367" s="204" t="s">
        <v>224</v>
      </c>
      <c r="L2367" s="199">
        <v>1</v>
      </c>
      <c r="M2367" s="200">
        <v>0.5</v>
      </c>
      <c r="N2367" s="201">
        <v>34</v>
      </c>
    </row>
    <row r="2368" spans="1:14">
      <c r="A2368" s="194">
        <v>41281.806817129633</v>
      </c>
      <c r="B2368" s="195">
        <v>2124</v>
      </c>
      <c r="C2368" s="194"/>
      <c r="D2368" s="194"/>
      <c r="E2368" s="196" t="s">
        <v>714</v>
      </c>
      <c r="F2368" s="195">
        <v>800</v>
      </c>
      <c r="G2368" s="197" t="s">
        <v>470</v>
      </c>
      <c r="H2368" s="197" t="s">
        <v>471</v>
      </c>
      <c r="J2368" s="195">
        <v>1</v>
      </c>
      <c r="K2368" s="204" t="s">
        <v>224</v>
      </c>
      <c r="L2368" s="199">
        <v>2</v>
      </c>
      <c r="M2368" s="200">
        <v>0.6</v>
      </c>
      <c r="N2368" s="201">
        <v>34</v>
      </c>
    </row>
    <row r="2369" spans="1:14">
      <c r="A2369" s="194">
        <v>41303.669490740744</v>
      </c>
      <c r="B2369" s="195">
        <v>2124</v>
      </c>
      <c r="C2369" s="194"/>
      <c r="D2369" s="194"/>
      <c r="E2369" s="196" t="s">
        <v>1496</v>
      </c>
      <c r="F2369" s="195">
        <v>800</v>
      </c>
      <c r="G2369" s="197" t="s">
        <v>470</v>
      </c>
      <c r="H2369" s="197" t="s">
        <v>471</v>
      </c>
      <c r="J2369" s="195">
        <v>1</v>
      </c>
      <c r="K2369" s="204" t="s">
        <v>224</v>
      </c>
      <c r="L2369" s="199">
        <v>2</v>
      </c>
      <c r="M2369" s="200">
        <v>0.4</v>
      </c>
      <c r="N2369" s="201">
        <v>35</v>
      </c>
    </row>
    <row r="2370" spans="1:14">
      <c r="A2370" s="194">
        <v>41276.712500000001</v>
      </c>
      <c r="B2370" s="195">
        <v>2124</v>
      </c>
      <c r="C2370" s="194"/>
      <c r="D2370" s="194"/>
      <c r="E2370" s="196" t="s">
        <v>554</v>
      </c>
      <c r="F2370" s="195">
        <v>800</v>
      </c>
      <c r="G2370" s="197" t="s">
        <v>470</v>
      </c>
      <c r="H2370" s="197" t="s">
        <v>471</v>
      </c>
      <c r="J2370" s="195">
        <v>1</v>
      </c>
      <c r="K2370" s="204" t="s">
        <v>224</v>
      </c>
      <c r="L2370" s="199">
        <v>2</v>
      </c>
      <c r="M2370" s="200">
        <v>0.5</v>
      </c>
      <c r="N2370" s="201">
        <v>35</v>
      </c>
    </row>
    <row r="2371" spans="1:14">
      <c r="A2371" s="194">
        <v>41277.460925925923</v>
      </c>
      <c r="B2371" s="195">
        <v>2124</v>
      </c>
      <c r="C2371" s="194"/>
      <c r="D2371" s="194"/>
      <c r="E2371" s="196" t="s">
        <v>623</v>
      </c>
      <c r="F2371" s="195">
        <v>800</v>
      </c>
      <c r="G2371" s="197" t="s">
        <v>470</v>
      </c>
      <c r="H2371" s="197" t="s">
        <v>471</v>
      </c>
      <c r="J2371" s="195">
        <v>1</v>
      </c>
      <c r="K2371" s="204" t="s">
        <v>224</v>
      </c>
      <c r="L2371" s="199">
        <v>1</v>
      </c>
      <c r="M2371" s="200">
        <v>0.5</v>
      </c>
      <c r="N2371" s="201">
        <v>35</v>
      </c>
    </row>
    <row r="2372" spans="1:14">
      <c r="A2372" s="194">
        <v>41291.472210648149</v>
      </c>
      <c r="B2372" s="195">
        <v>2124</v>
      </c>
      <c r="C2372" s="194"/>
      <c r="D2372" s="194"/>
      <c r="E2372" s="196" t="s">
        <v>1109</v>
      </c>
      <c r="F2372" s="195">
        <v>800</v>
      </c>
      <c r="G2372" s="197" t="s">
        <v>470</v>
      </c>
      <c r="H2372" s="197" t="s">
        <v>471</v>
      </c>
      <c r="J2372" s="195">
        <v>1</v>
      </c>
      <c r="K2372" s="204" t="s">
        <v>224</v>
      </c>
      <c r="L2372" s="199">
        <v>1</v>
      </c>
      <c r="M2372" s="200">
        <v>1.2</v>
      </c>
      <c r="N2372" s="201">
        <v>35</v>
      </c>
    </row>
    <row r="2373" spans="1:14">
      <c r="A2373" s="194">
        <v>41278.781157407408</v>
      </c>
      <c r="B2373" s="195">
        <v>2124</v>
      </c>
      <c r="C2373" s="194"/>
      <c r="D2373" s="194"/>
      <c r="E2373" s="196" t="s">
        <v>600</v>
      </c>
      <c r="F2373" s="195">
        <v>800</v>
      </c>
      <c r="G2373" s="197" t="s">
        <v>470</v>
      </c>
      <c r="H2373" s="197" t="s">
        <v>471</v>
      </c>
      <c r="J2373" s="195">
        <v>1</v>
      </c>
      <c r="K2373" s="204" t="s">
        <v>224</v>
      </c>
      <c r="L2373" s="199">
        <v>2</v>
      </c>
      <c r="M2373" s="200">
        <v>0.4</v>
      </c>
      <c r="N2373" s="201">
        <v>36</v>
      </c>
    </row>
    <row r="2374" spans="1:14">
      <c r="A2374" s="194">
        <v>41295.512546296297</v>
      </c>
      <c r="B2374" s="195">
        <v>2124</v>
      </c>
      <c r="C2374" s="194"/>
      <c r="D2374" s="194"/>
      <c r="E2374" s="196" t="s">
        <v>1115</v>
      </c>
      <c r="F2374" s="195">
        <v>800</v>
      </c>
      <c r="G2374" s="197" t="s">
        <v>470</v>
      </c>
      <c r="H2374" s="197" t="s">
        <v>471</v>
      </c>
      <c r="J2374" s="195">
        <v>1</v>
      </c>
      <c r="K2374" s="204" t="s">
        <v>224</v>
      </c>
      <c r="L2374" s="199">
        <v>2</v>
      </c>
      <c r="M2374" s="200">
        <v>0.5</v>
      </c>
      <c r="N2374" s="201">
        <v>36</v>
      </c>
    </row>
    <row r="2375" spans="1:14">
      <c r="A2375" s="194">
        <v>41286.565844907411</v>
      </c>
      <c r="B2375" s="195">
        <v>2124</v>
      </c>
      <c r="C2375" s="194"/>
      <c r="D2375" s="194"/>
      <c r="E2375" s="196" t="s">
        <v>908</v>
      </c>
      <c r="F2375" s="195">
        <v>800</v>
      </c>
      <c r="G2375" s="197" t="s">
        <v>470</v>
      </c>
      <c r="H2375" s="197" t="s">
        <v>471</v>
      </c>
      <c r="J2375" s="195">
        <v>1</v>
      </c>
      <c r="K2375" s="204" t="s">
        <v>224</v>
      </c>
      <c r="L2375" s="199">
        <v>2</v>
      </c>
      <c r="M2375" s="200">
        <v>0.7</v>
      </c>
      <c r="N2375" s="201">
        <v>36</v>
      </c>
    </row>
    <row r="2376" spans="1:14">
      <c r="A2376" s="194">
        <v>41281.523518518516</v>
      </c>
      <c r="B2376" s="195">
        <v>2124</v>
      </c>
      <c r="C2376" s="194"/>
      <c r="D2376" s="194"/>
      <c r="E2376" s="196" t="s">
        <v>713</v>
      </c>
      <c r="F2376" s="195">
        <v>800</v>
      </c>
      <c r="G2376" s="197" t="s">
        <v>470</v>
      </c>
      <c r="H2376" s="197" t="s">
        <v>471</v>
      </c>
      <c r="J2376" s="195">
        <v>1</v>
      </c>
      <c r="K2376" s="204" t="s">
        <v>224</v>
      </c>
      <c r="L2376" s="199">
        <v>1</v>
      </c>
      <c r="M2376" s="200">
        <v>0.8</v>
      </c>
      <c r="N2376" s="201">
        <v>36</v>
      </c>
    </row>
    <row r="2377" spans="1:14">
      <c r="A2377" s="194">
        <v>41301.511145833334</v>
      </c>
      <c r="B2377" s="195">
        <v>2124</v>
      </c>
      <c r="C2377" s="194"/>
      <c r="D2377" s="194"/>
      <c r="E2377" s="196" t="s">
        <v>1412</v>
      </c>
      <c r="F2377" s="195">
        <v>800</v>
      </c>
      <c r="G2377" s="197" t="s">
        <v>470</v>
      </c>
      <c r="H2377" s="197" t="s">
        <v>471</v>
      </c>
      <c r="J2377" s="195">
        <v>1</v>
      </c>
      <c r="K2377" s="204" t="s">
        <v>224</v>
      </c>
      <c r="L2377" s="199">
        <v>2</v>
      </c>
      <c r="M2377" s="200">
        <v>0.5</v>
      </c>
      <c r="N2377" s="201">
        <v>37</v>
      </c>
    </row>
    <row r="2378" spans="1:14">
      <c r="A2378" s="194">
        <v>41299.954895833333</v>
      </c>
      <c r="B2378" s="195">
        <v>2124</v>
      </c>
      <c r="C2378" s="194"/>
      <c r="D2378" s="194"/>
      <c r="E2378" s="196" t="s">
        <v>1398</v>
      </c>
      <c r="F2378" s="195">
        <v>800</v>
      </c>
      <c r="G2378" s="197" t="s">
        <v>470</v>
      </c>
      <c r="H2378" s="197" t="s">
        <v>471</v>
      </c>
      <c r="J2378" s="195">
        <v>1</v>
      </c>
      <c r="K2378" s="204" t="s">
        <v>224</v>
      </c>
      <c r="L2378" s="199">
        <v>1</v>
      </c>
      <c r="M2378" s="200">
        <v>0.4</v>
      </c>
      <c r="N2378" s="201">
        <v>40</v>
      </c>
    </row>
    <row r="2379" spans="1:14">
      <c r="A2379" s="194">
        <v>41303.615312499998</v>
      </c>
      <c r="B2379" s="195">
        <v>2124</v>
      </c>
      <c r="C2379" s="194"/>
      <c r="D2379" s="194"/>
      <c r="E2379" s="196" t="s">
        <v>1494</v>
      </c>
      <c r="F2379" s="195">
        <v>800</v>
      </c>
      <c r="G2379" s="197" t="s">
        <v>470</v>
      </c>
      <c r="H2379" s="197" t="s">
        <v>471</v>
      </c>
      <c r="J2379" s="195">
        <v>1</v>
      </c>
      <c r="K2379" s="204" t="s">
        <v>224</v>
      </c>
      <c r="L2379" s="199">
        <v>2</v>
      </c>
      <c r="M2379" s="200">
        <v>0.5</v>
      </c>
      <c r="N2379" s="201">
        <v>40</v>
      </c>
    </row>
    <row r="2380" spans="1:14">
      <c r="A2380" s="194">
        <v>41305.869525462964</v>
      </c>
      <c r="B2380" s="195">
        <v>2124</v>
      </c>
      <c r="C2380" s="194"/>
      <c r="D2380" s="194"/>
      <c r="E2380" s="196" t="s">
        <v>1588</v>
      </c>
      <c r="F2380" s="195">
        <v>800</v>
      </c>
      <c r="G2380" s="197" t="s">
        <v>470</v>
      </c>
      <c r="H2380" s="197" t="s">
        <v>471</v>
      </c>
      <c r="J2380" s="195">
        <v>1</v>
      </c>
      <c r="K2380" s="204" t="s">
        <v>224</v>
      </c>
      <c r="L2380" s="199">
        <v>3</v>
      </c>
      <c r="M2380" s="200">
        <v>0.5</v>
      </c>
      <c r="N2380" s="201">
        <v>42</v>
      </c>
    </row>
    <row r="2381" spans="1:14">
      <c r="A2381" s="194">
        <v>41278.509641203702</v>
      </c>
      <c r="B2381" s="195">
        <v>2124</v>
      </c>
      <c r="C2381" s="194"/>
      <c r="D2381" s="194"/>
      <c r="E2381" s="196" t="s">
        <v>599</v>
      </c>
      <c r="F2381" s="195">
        <v>800</v>
      </c>
      <c r="G2381" s="197" t="s">
        <v>470</v>
      </c>
      <c r="H2381" s="197" t="s">
        <v>471</v>
      </c>
      <c r="J2381" s="195">
        <v>1</v>
      </c>
      <c r="K2381" s="204" t="s">
        <v>224</v>
      </c>
      <c r="L2381" s="199">
        <v>2</v>
      </c>
      <c r="M2381" s="200">
        <v>0.4</v>
      </c>
      <c r="N2381" s="201">
        <v>43</v>
      </c>
    </row>
    <row r="2382" spans="1:14">
      <c r="A2382" s="194">
        <v>41284.677037037036</v>
      </c>
      <c r="B2382" s="195">
        <v>2124</v>
      </c>
      <c r="C2382" s="194"/>
      <c r="D2382" s="194"/>
      <c r="E2382" s="196" t="s">
        <v>856</v>
      </c>
      <c r="F2382" s="195">
        <v>800</v>
      </c>
      <c r="G2382" s="197" t="s">
        <v>470</v>
      </c>
      <c r="H2382" s="197" t="s">
        <v>471</v>
      </c>
      <c r="J2382" s="195">
        <v>1</v>
      </c>
      <c r="K2382" s="204" t="s">
        <v>224</v>
      </c>
      <c r="L2382" s="199">
        <v>3</v>
      </c>
      <c r="M2382" s="200">
        <v>0.6</v>
      </c>
      <c r="N2382" s="201">
        <v>44</v>
      </c>
    </row>
    <row r="2383" spans="1:14">
      <c r="A2383" s="194">
        <v>41291.946481481478</v>
      </c>
      <c r="B2383" s="195">
        <v>2124</v>
      </c>
      <c r="C2383" s="194"/>
      <c r="D2383" s="194"/>
      <c r="E2383" s="196" t="s">
        <v>1112</v>
      </c>
      <c r="F2383" s="195">
        <v>800</v>
      </c>
      <c r="G2383" s="197" t="s">
        <v>470</v>
      </c>
      <c r="H2383" s="197" t="s">
        <v>471</v>
      </c>
      <c r="J2383" s="195">
        <v>1</v>
      </c>
      <c r="K2383" s="204" t="s">
        <v>224</v>
      </c>
      <c r="L2383" s="199">
        <v>3</v>
      </c>
      <c r="M2383" s="200">
        <v>0.7</v>
      </c>
      <c r="N2383" s="201">
        <v>44</v>
      </c>
    </row>
    <row r="2384" spans="1:14">
      <c r="A2384" s="194">
        <v>41282.879710648151</v>
      </c>
      <c r="B2384" s="195">
        <v>2124</v>
      </c>
      <c r="C2384" s="194"/>
      <c r="D2384" s="194"/>
      <c r="E2384" s="196" t="s">
        <v>742</v>
      </c>
      <c r="F2384" s="195">
        <v>800</v>
      </c>
      <c r="G2384" s="197" t="s">
        <v>470</v>
      </c>
      <c r="H2384" s="197" t="s">
        <v>471</v>
      </c>
      <c r="J2384" s="195">
        <v>1</v>
      </c>
      <c r="K2384" s="204" t="s">
        <v>224</v>
      </c>
      <c r="L2384" s="199">
        <v>1</v>
      </c>
      <c r="M2384" s="200">
        <v>0.3</v>
      </c>
      <c r="N2384" s="201">
        <v>51</v>
      </c>
    </row>
    <row r="2385" spans="1:14">
      <c r="A2385" s="194">
        <v>41304.542453703703</v>
      </c>
      <c r="B2385" s="195">
        <v>2124</v>
      </c>
      <c r="C2385" s="194"/>
      <c r="D2385" s="194"/>
      <c r="E2385" s="198"/>
      <c r="G2385" s="202"/>
      <c r="J2385" s="195">
        <v>2</v>
      </c>
      <c r="K2385" s="204" t="s">
        <v>32</v>
      </c>
      <c r="L2385" s="199">
        <v>2</v>
      </c>
      <c r="M2385" s="200">
        <v>1</v>
      </c>
      <c r="N2385" s="201">
        <v>23</v>
      </c>
    </row>
    <row r="2386" spans="1:14">
      <c r="A2386" s="194">
        <v>41301.502118055556</v>
      </c>
      <c r="B2386" s="195">
        <v>2124</v>
      </c>
      <c r="C2386" s="194"/>
      <c r="D2386" s="194"/>
      <c r="E2386" s="198"/>
      <c r="G2386" s="202"/>
      <c r="J2386" s="195">
        <v>2</v>
      </c>
      <c r="K2386" s="204" t="s">
        <v>32</v>
      </c>
      <c r="L2386" s="199">
        <v>1</v>
      </c>
      <c r="M2386" s="200">
        <v>0.3</v>
      </c>
      <c r="N2386" s="201">
        <v>26</v>
      </c>
    </row>
    <row r="2387" spans="1:14">
      <c r="A2387" s="194">
        <v>41286.620706018519</v>
      </c>
      <c r="B2387" s="195">
        <v>2124</v>
      </c>
      <c r="C2387" s="194"/>
      <c r="D2387" s="194"/>
      <c r="E2387" s="198"/>
      <c r="G2387" s="202"/>
      <c r="J2387" s="195">
        <v>2</v>
      </c>
      <c r="K2387" s="204" t="s">
        <v>32</v>
      </c>
      <c r="L2387" s="199">
        <v>2</v>
      </c>
      <c r="M2387" s="200">
        <v>0.4</v>
      </c>
      <c r="N2387" s="201">
        <v>28</v>
      </c>
    </row>
    <row r="2388" spans="1:14">
      <c r="A2388" s="194">
        <v>41299.754189814812</v>
      </c>
      <c r="B2388" s="195">
        <v>2124</v>
      </c>
      <c r="C2388" s="194"/>
      <c r="D2388" s="194"/>
      <c r="E2388" s="198"/>
      <c r="G2388" s="202"/>
      <c r="J2388" s="195">
        <v>2</v>
      </c>
      <c r="K2388" s="204" t="s">
        <v>32</v>
      </c>
      <c r="L2388" s="199">
        <v>2</v>
      </c>
      <c r="M2388" s="200">
        <v>0.3</v>
      </c>
      <c r="N2388" s="201">
        <v>29</v>
      </c>
    </row>
    <row r="2389" spans="1:14">
      <c r="A2389" s="194">
        <v>41303.411157407405</v>
      </c>
      <c r="B2389" s="195">
        <v>2124</v>
      </c>
      <c r="C2389" s="194"/>
      <c r="D2389" s="194"/>
      <c r="E2389" s="198"/>
      <c r="G2389" s="202"/>
      <c r="J2389" s="195">
        <v>2</v>
      </c>
      <c r="K2389" s="204" t="s">
        <v>32</v>
      </c>
      <c r="L2389" s="199">
        <v>2</v>
      </c>
      <c r="M2389" s="200">
        <v>0.3</v>
      </c>
      <c r="N2389" s="201">
        <v>32</v>
      </c>
    </row>
    <row r="2390" spans="1:14">
      <c r="A2390" s="194">
        <v>41303.556979166664</v>
      </c>
      <c r="B2390" s="195">
        <v>2124</v>
      </c>
      <c r="C2390" s="194"/>
      <c r="D2390" s="194"/>
      <c r="E2390" s="198"/>
      <c r="G2390" s="202"/>
      <c r="J2390" s="195">
        <v>2</v>
      </c>
      <c r="K2390" s="204" t="s">
        <v>32</v>
      </c>
      <c r="L2390" s="199">
        <v>2</v>
      </c>
      <c r="M2390" s="200">
        <v>0.4</v>
      </c>
      <c r="N2390" s="201">
        <v>34</v>
      </c>
    </row>
    <row r="2391" spans="1:14">
      <c r="A2391" s="194">
        <v>41299.790300925924</v>
      </c>
      <c r="B2391" s="195">
        <v>2124</v>
      </c>
      <c r="C2391" s="194"/>
      <c r="D2391" s="194"/>
      <c r="E2391" s="198"/>
      <c r="G2391" s="202"/>
      <c r="J2391" s="195">
        <v>2</v>
      </c>
      <c r="K2391" s="204" t="s">
        <v>32</v>
      </c>
      <c r="L2391" s="199">
        <v>3</v>
      </c>
      <c r="M2391" s="200">
        <v>0.3</v>
      </c>
      <c r="N2391" s="201">
        <v>36</v>
      </c>
    </row>
    <row r="2392" spans="1:14">
      <c r="A2392" s="194">
        <v>41301.611157407409</v>
      </c>
      <c r="B2392" s="195">
        <v>2124</v>
      </c>
      <c r="C2392" s="194"/>
      <c r="D2392" s="194"/>
      <c r="E2392" s="198"/>
      <c r="G2392" s="202"/>
      <c r="J2392" s="195">
        <v>2</v>
      </c>
      <c r="K2392" s="204" t="s">
        <v>32</v>
      </c>
      <c r="L2392" s="199">
        <v>3</v>
      </c>
      <c r="M2392" s="200">
        <v>0.5</v>
      </c>
      <c r="N2392" s="201">
        <v>47</v>
      </c>
    </row>
    <row r="2393" spans="1:14">
      <c r="A2393" s="194">
        <v>41283.427685185183</v>
      </c>
      <c r="B2393" s="195">
        <v>2124</v>
      </c>
      <c r="C2393" s="194"/>
      <c r="D2393" s="194"/>
      <c r="E2393" s="198"/>
      <c r="G2393" s="202"/>
      <c r="J2393" s="195">
        <v>3</v>
      </c>
      <c r="K2393" s="204" t="s">
        <v>1595</v>
      </c>
      <c r="L2393" s="199">
        <v>2</v>
      </c>
      <c r="M2393" s="200">
        <v>0.3</v>
      </c>
      <c r="N2393" s="201">
        <v>22</v>
      </c>
    </row>
    <row r="2394" spans="1:14">
      <c r="A2394" s="194">
        <v>41294.762465277781</v>
      </c>
      <c r="B2394" s="195">
        <v>2124</v>
      </c>
      <c r="C2394" s="194"/>
      <c r="D2394" s="194"/>
      <c r="E2394" s="198"/>
      <c r="G2394" s="202"/>
      <c r="J2394" s="195">
        <v>3</v>
      </c>
      <c r="K2394" s="204" t="s">
        <v>1595</v>
      </c>
      <c r="L2394" s="199">
        <v>1</v>
      </c>
      <c r="M2394" s="200">
        <v>0.5</v>
      </c>
      <c r="N2394" s="201">
        <v>38</v>
      </c>
    </row>
    <row r="2395" spans="1:14">
      <c r="A2395" s="194">
        <v>41302.655590277776</v>
      </c>
      <c r="B2395" s="195">
        <v>2124</v>
      </c>
      <c r="C2395" s="194"/>
      <c r="D2395" s="194"/>
      <c r="E2395" s="198"/>
      <c r="G2395" s="202"/>
      <c r="J2395" s="195">
        <v>4</v>
      </c>
      <c r="K2395" s="204" t="s">
        <v>8</v>
      </c>
      <c r="L2395" s="199">
        <v>1</v>
      </c>
      <c r="M2395" s="200">
        <v>0.6</v>
      </c>
      <c r="N2395" s="201">
        <v>22</v>
      </c>
    </row>
    <row r="2396" spans="1:14">
      <c r="A2396" s="194">
        <v>41287.745775462965</v>
      </c>
      <c r="B2396" s="195">
        <v>2124</v>
      </c>
      <c r="C2396" s="194"/>
      <c r="D2396" s="194"/>
      <c r="E2396" s="198"/>
      <c r="G2396" s="202"/>
      <c r="J2396" s="195">
        <v>4</v>
      </c>
      <c r="K2396" s="204" t="s">
        <v>8</v>
      </c>
      <c r="L2396" s="199">
        <v>1</v>
      </c>
      <c r="M2396" s="200">
        <v>0.5</v>
      </c>
      <c r="N2396" s="201">
        <v>23</v>
      </c>
    </row>
    <row r="2397" spans="1:14">
      <c r="A2397" s="194">
        <v>41304.520231481481</v>
      </c>
      <c r="B2397" s="195">
        <v>2124</v>
      </c>
      <c r="C2397" s="194"/>
      <c r="D2397" s="194"/>
      <c r="E2397" s="196" t="s">
        <v>1989</v>
      </c>
      <c r="G2397" s="202"/>
      <c r="J2397" s="195">
        <v>13</v>
      </c>
      <c r="K2397" s="204" t="s">
        <v>3</v>
      </c>
      <c r="L2397" s="199">
        <v>3</v>
      </c>
      <c r="M2397" s="200">
        <v>0.9</v>
      </c>
      <c r="N2397" s="201">
        <v>22</v>
      </c>
    </row>
    <row r="2398" spans="1:14">
      <c r="A2398" s="194">
        <v>41296.286134259259</v>
      </c>
      <c r="B2398" s="195">
        <v>2124</v>
      </c>
      <c r="C2398" s="194"/>
      <c r="D2398" s="194"/>
      <c r="E2398" s="198"/>
      <c r="G2398" s="202"/>
      <c r="J2398" s="195">
        <v>13</v>
      </c>
      <c r="K2398" s="204" t="s">
        <v>3</v>
      </c>
      <c r="L2398" s="199">
        <v>3</v>
      </c>
      <c r="M2398" s="200">
        <v>0.7</v>
      </c>
      <c r="N2398" s="201">
        <v>32</v>
      </c>
    </row>
    <row r="2399" spans="1:14">
      <c r="A2399" s="194">
        <v>41300.709074074075</v>
      </c>
      <c r="B2399" s="195">
        <v>2124</v>
      </c>
      <c r="C2399" s="194"/>
      <c r="D2399" s="194"/>
      <c r="E2399" s="198"/>
      <c r="G2399" s="202"/>
      <c r="J2399" s="195">
        <v>13</v>
      </c>
      <c r="K2399" s="204" t="s">
        <v>3</v>
      </c>
      <c r="L2399" s="199">
        <v>3</v>
      </c>
      <c r="M2399" s="200">
        <v>0.4</v>
      </c>
      <c r="N2399" s="201">
        <v>35</v>
      </c>
    </row>
    <row r="2400" spans="1:14">
      <c r="A2400" s="194">
        <v>41303.423668981479</v>
      </c>
      <c r="B2400" s="195">
        <v>2124</v>
      </c>
      <c r="C2400" s="194"/>
      <c r="D2400" s="194"/>
      <c r="E2400" s="198"/>
      <c r="G2400" s="202"/>
      <c r="J2400" s="195">
        <v>13</v>
      </c>
      <c r="K2400" s="204" t="s">
        <v>3</v>
      </c>
      <c r="L2400" s="199">
        <v>3</v>
      </c>
      <c r="M2400" s="200">
        <v>0.7</v>
      </c>
      <c r="N2400" s="201">
        <v>44</v>
      </c>
    </row>
    <row r="2401" spans="1:14">
      <c r="A2401" s="194">
        <v>41297.415254629632</v>
      </c>
      <c r="B2401" s="195">
        <v>2124</v>
      </c>
      <c r="C2401" s="194"/>
      <c r="D2401" s="194"/>
      <c r="E2401" s="198"/>
      <c r="G2401" s="202"/>
      <c r="J2401" s="195">
        <v>13</v>
      </c>
      <c r="K2401" s="204" t="s">
        <v>3</v>
      </c>
      <c r="L2401" s="199">
        <v>3</v>
      </c>
      <c r="M2401" s="200">
        <v>0.3</v>
      </c>
      <c r="N2401" s="201">
        <v>45</v>
      </c>
    </row>
    <row r="2402" spans="1:14">
      <c r="A2402" s="194">
        <v>41285.631145833337</v>
      </c>
      <c r="B2402" s="195">
        <v>2124</v>
      </c>
      <c r="C2402" s="194"/>
      <c r="D2402" s="194"/>
      <c r="E2402" s="198"/>
      <c r="G2402" s="202"/>
      <c r="J2402" s="195">
        <v>14</v>
      </c>
      <c r="K2402" s="204" t="s">
        <v>2</v>
      </c>
      <c r="L2402" s="199">
        <v>2</v>
      </c>
      <c r="M2402" s="200">
        <v>0.4</v>
      </c>
      <c r="N2402" s="201">
        <v>40</v>
      </c>
    </row>
    <row r="2403" spans="1:14">
      <c r="A2403" s="194">
        <v>41283.922222222223</v>
      </c>
      <c r="B2403" s="195">
        <v>2124</v>
      </c>
      <c r="C2403" s="194"/>
      <c r="D2403" s="194"/>
      <c r="E2403" s="198"/>
      <c r="G2403" s="202"/>
      <c r="J2403" s="195">
        <v>17</v>
      </c>
      <c r="K2403" s="204" t="s">
        <v>11</v>
      </c>
      <c r="L2403" s="199">
        <v>1</v>
      </c>
      <c r="M2403" s="200">
        <v>13.2</v>
      </c>
      <c r="N2403" s="201">
        <v>0</v>
      </c>
    </row>
    <row r="2404" spans="1:14">
      <c r="A2404" s="194">
        <v>41303.680613425924</v>
      </c>
      <c r="B2404" s="195">
        <v>2124</v>
      </c>
      <c r="C2404" s="194"/>
      <c r="D2404" s="194"/>
      <c r="E2404" s="198"/>
      <c r="G2404" s="202"/>
      <c r="J2404" s="195">
        <v>17</v>
      </c>
      <c r="K2404" s="204" t="s">
        <v>11</v>
      </c>
      <c r="L2404" s="199">
        <v>3</v>
      </c>
      <c r="M2404" s="200">
        <v>1.4</v>
      </c>
      <c r="N2404" s="201">
        <v>16</v>
      </c>
    </row>
    <row r="2405" spans="1:14">
      <c r="A2405" s="194">
        <v>41288.1403125</v>
      </c>
      <c r="B2405" s="195">
        <v>2124</v>
      </c>
      <c r="C2405" s="194"/>
      <c r="D2405" s="194"/>
      <c r="E2405" s="198"/>
      <c r="G2405" s="202"/>
      <c r="J2405" s="195">
        <v>17</v>
      </c>
      <c r="K2405" s="204" t="s">
        <v>11</v>
      </c>
      <c r="L2405" s="199">
        <v>1</v>
      </c>
      <c r="M2405" s="200">
        <v>12.3</v>
      </c>
      <c r="N2405" s="201">
        <v>16</v>
      </c>
    </row>
    <row r="2406" spans="1:14">
      <c r="A2406" s="194">
        <v>41279.470300925925</v>
      </c>
      <c r="B2406" s="195">
        <v>2124</v>
      </c>
      <c r="C2406" s="194"/>
      <c r="D2406" s="194"/>
      <c r="E2406" s="198"/>
      <c r="G2406" s="202"/>
      <c r="J2406" s="195">
        <v>17</v>
      </c>
      <c r="K2406" s="204" t="s">
        <v>11</v>
      </c>
      <c r="L2406" s="199">
        <v>2</v>
      </c>
      <c r="M2406" s="200">
        <v>22</v>
      </c>
      <c r="N2406" s="201">
        <v>16</v>
      </c>
    </row>
    <row r="2407" spans="1:14">
      <c r="A2407" s="194">
        <v>41304.409120370372</v>
      </c>
      <c r="B2407" s="195">
        <v>2124</v>
      </c>
      <c r="C2407" s="194"/>
      <c r="D2407" s="194"/>
      <c r="E2407" s="198"/>
      <c r="G2407" s="202"/>
      <c r="J2407" s="195">
        <v>17</v>
      </c>
      <c r="K2407" s="204" t="s">
        <v>11</v>
      </c>
      <c r="L2407" s="199">
        <v>1</v>
      </c>
      <c r="M2407" s="200">
        <v>0.8</v>
      </c>
      <c r="N2407" s="201">
        <v>17</v>
      </c>
    </row>
    <row r="2408" spans="1:14">
      <c r="A2408" s="194">
        <v>41302.090462962966</v>
      </c>
      <c r="B2408" s="195">
        <v>2124</v>
      </c>
      <c r="C2408" s="194"/>
      <c r="D2408" s="194"/>
      <c r="E2408" s="198"/>
      <c r="G2408" s="202"/>
      <c r="J2408" s="195">
        <v>17</v>
      </c>
      <c r="K2408" s="204" t="s">
        <v>11</v>
      </c>
      <c r="L2408" s="199">
        <v>1</v>
      </c>
      <c r="M2408" s="200">
        <v>11.5</v>
      </c>
      <c r="N2408" s="201">
        <v>17</v>
      </c>
    </row>
    <row r="2409" spans="1:14">
      <c r="A2409" s="194">
        <v>41293.150138888886</v>
      </c>
      <c r="B2409" s="195">
        <v>2124</v>
      </c>
      <c r="C2409" s="194"/>
      <c r="D2409" s="194"/>
      <c r="E2409" s="198"/>
      <c r="G2409" s="202"/>
      <c r="J2409" s="195">
        <v>17</v>
      </c>
      <c r="K2409" s="204" t="s">
        <v>11</v>
      </c>
      <c r="L2409" s="199">
        <v>1</v>
      </c>
      <c r="M2409" s="200">
        <v>15.8</v>
      </c>
      <c r="N2409" s="201">
        <v>17</v>
      </c>
    </row>
    <row r="2410" spans="1:14">
      <c r="A2410" s="194">
        <v>41305.151053240741</v>
      </c>
      <c r="B2410" s="195">
        <v>2124</v>
      </c>
      <c r="C2410" s="194"/>
      <c r="D2410" s="194"/>
      <c r="E2410" s="198"/>
      <c r="G2410" s="202"/>
      <c r="J2410" s="195">
        <v>17</v>
      </c>
      <c r="K2410" s="204" t="s">
        <v>11</v>
      </c>
      <c r="L2410" s="199">
        <v>1</v>
      </c>
      <c r="M2410" s="200">
        <v>25.6</v>
      </c>
      <c r="N2410" s="201">
        <v>18</v>
      </c>
    </row>
    <row r="2411" spans="1:14">
      <c r="A2411" s="194">
        <v>41299.808368055557</v>
      </c>
      <c r="B2411" s="195">
        <v>2124</v>
      </c>
      <c r="C2411" s="194"/>
      <c r="D2411" s="194"/>
      <c r="E2411" s="198"/>
      <c r="G2411" s="202"/>
      <c r="J2411" s="195">
        <v>17</v>
      </c>
      <c r="K2411" s="204" t="s">
        <v>11</v>
      </c>
      <c r="L2411" s="199">
        <v>2</v>
      </c>
      <c r="M2411" s="200">
        <v>1.4</v>
      </c>
      <c r="N2411" s="201">
        <v>19</v>
      </c>
    </row>
    <row r="2412" spans="1:14">
      <c r="A2412" s="194">
        <v>41284.730543981481</v>
      </c>
      <c r="B2412" s="195">
        <v>2124</v>
      </c>
      <c r="C2412" s="194"/>
      <c r="D2412" s="194"/>
      <c r="E2412" s="198"/>
      <c r="G2412" s="202"/>
      <c r="J2412" s="195">
        <v>17</v>
      </c>
      <c r="K2412" s="204" t="s">
        <v>11</v>
      </c>
      <c r="L2412" s="199">
        <v>3</v>
      </c>
      <c r="M2412" s="200">
        <v>1.5</v>
      </c>
      <c r="N2412" s="201">
        <v>19</v>
      </c>
    </row>
    <row r="2413" spans="1:14">
      <c r="A2413" s="194">
        <v>41277.425555555557</v>
      </c>
      <c r="B2413" s="195">
        <v>2124</v>
      </c>
      <c r="C2413" s="194"/>
      <c r="D2413" s="194"/>
      <c r="E2413" s="198"/>
      <c r="G2413" s="202"/>
      <c r="J2413" s="195">
        <v>17</v>
      </c>
      <c r="K2413" s="204" t="s">
        <v>11</v>
      </c>
      <c r="L2413" s="199">
        <v>2</v>
      </c>
      <c r="M2413" s="200">
        <v>3</v>
      </c>
      <c r="N2413" s="201">
        <v>19</v>
      </c>
    </row>
    <row r="2414" spans="1:14">
      <c r="A2414" s="194">
        <v>41282.735266203701</v>
      </c>
      <c r="B2414" s="195">
        <v>2124</v>
      </c>
      <c r="C2414" s="194"/>
      <c r="D2414" s="194"/>
      <c r="E2414" s="198"/>
      <c r="G2414" s="202"/>
      <c r="J2414" s="195">
        <v>17</v>
      </c>
      <c r="K2414" s="204" t="s">
        <v>11</v>
      </c>
      <c r="L2414" s="199">
        <v>3</v>
      </c>
      <c r="M2414" s="200">
        <v>0.5</v>
      </c>
      <c r="N2414" s="201">
        <v>20</v>
      </c>
    </row>
    <row r="2415" spans="1:14">
      <c r="A2415" s="194">
        <v>41297.546539351853</v>
      </c>
      <c r="B2415" s="195">
        <v>2124</v>
      </c>
      <c r="C2415" s="194"/>
      <c r="D2415" s="194"/>
      <c r="E2415" s="198"/>
      <c r="G2415" s="202"/>
      <c r="J2415" s="195">
        <v>17</v>
      </c>
      <c r="K2415" s="204" t="s">
        <v>11</v>
      </c>
      <c r="L2415" s="199">
        <v>1</v>
      </c>
      <c r="M2415" s="200">
        <v>2.1</v>
      </c>
      <c r="N2415" s="201">
        <v>20</v>
      </c>
    </row>
    <row r="2416" spans="1:14">
      <c r="A2416" s="194">
        <v>41297.537488425929</v>
      </c>
      <c r="B2416" s="195">
        <v>2124</v>
      </c>
      <c r="C2416" s="194"/>
      <c r="D2416" s="194"/>
      <c r="E2416" s="198"/>
      <c r="G2416" s="202"/>
      <c r="J2416" s="195">
        <v>17</v>
      </c>
      <c r="K2416" s="204" t="s">
        <v>11</v>
      </c>
      <c r="L2416" s="199">
        <v>1</v>
      </c>
      <c r="M2416" s="200">
        <v>0.6</v>
      </c>
      <c r="N2416" s="201">
        <v>21</v>
      </c>
    </row>
    <row r="2417" spans="1:14">
      <c r="A2417" s="194">
        <v>41286.365891203706</v>
      </c>
      <c r="B2417" s="195">
        <v>2124</v>
      </c>
      <c r="C2417" s="194"/>
      <c r="D2417" s="194"/>
      <c r="E2417" s="198"/>
      <c r="G2417" s="202"/>
      <c r="J2417" s="195">
        <v>17</v>
      </c>
      <c r="K2417" s="204" t="s">
        <v>11</v>
      </c>
      <c r="L2417" s="199">
        <v>3</v>
      </c>
      <c r="M2417" s="200">
        <v>2.5</v>
      </c>
      <c r="N2417" s="201">
        <v>22</v>
      </c>
    </row>
    <row r="2418" spans="1:14">
      <c r="A2418" s="194">
        <v>41285.689513888887</v>
      </c>
      <c r="B2418" s="195">
        <v>2124</v>
      </c>
      <c r="C2418" s="194"/>
      <c r="D2418" s="194"/>
      <c r="E2418" s="198"/>
      <c r="G2418" s="202"/>
      <c r="J2418" s="195">
        <v>17</v>
      </c>
      <c r="K2418" s="204" t="s">
        <v>11</v>
      </c>
      <c r="L2418" s="199">
        <v>2</v>
      </c>
      <c r="M2418" s="200">
        <v>1.4</v>
      </c>
      <c r="N2418" s="201">
        <v>26</v>
      </c>
    </row>
    <row r="2419" spans="1:14">
      <c r="A2419" s="194">
        <v>41284.474942129629</v>
      </c>
      <c r="B2419" s="195">
        <v>2124</v>
      </c>
      <c r="C2419" s="194"/>
      <c r="D2419" s="194"/>
      <c r="E2419" s="198"/>
      <c r="G2419" s="202"/>
      <c r="J2419" s="195">
        <v>17</v>
      </c>
      <c r="K2419" s="204" t="s">
        <v>11</v>
      </c>
      <c r="L2419" s="199">
        <v>3</v>
      </c>
      <c r="M2419" s="200">
        <v>0.7</v>
      </c>
      <c r="N2419" s="201">
        <v>32</v>
      </c>
    </row>
    <row r="2420" spans="1:14">
      <c r="A2420" s="194">
        <v>41293.273773148147</v>
      </c>
      <c r="B2420" s="195">
        <v>2124</v>
      </c>
      <c r="C2420" s="194"/>
      <c r="D2420" s="194"/>
      <c r="E2420" s="198"/>
      <c r="G2420" s="202"/>
      <c r="J2420" s="195">
        <v>17</v>
      </c>
      <c r="K2420" s="204" t="s">
        <v>11</v>
      </c>
      <c r="L2420" s="199">
        <v>1</v>
      </c>
      <c r="M2420" s="200">
        <v>17.8</v>
      </c>
      <c r="N2420" s="201">
        <v>34</v>
      </c>
    </row>
    <row r="2421" spans="1:14">
      <c r="A2421" s="194">
        <v>41300.513252314813</v>
      </c>
      <c r="B2421" s="195">
        <v>2124</v>
      </c>
      <c r="C2421" s="194"/>
      <c r="D2421" s="194"/>
      <c r="E2421" s="198"/>
      <c r="G2421" s="202"/>
      <c r="J2421" s="195">
        <v>17</v>
      </c>
      <c r="K2421" s="204" t="s">
        <v>11</v>
      </c>
      <c r="L2421" s="199">
        <v>3</v>
      </c>
      <c r="M2421" s="200">
        <v>0.3</v>
      </c>
      <c r="N2421" s="201">
        <v>47</v>
      </c>
    </row>
    <row r="2422" spans="1:14">
      <c r="A2422" s="194">
        <v>41292.005011574074</v>
      </c>
      <c r="B2422" s="195">
        <v>2124</v>
      </c>
      <c r="C2422" s="194"/>
      <c r="D2422" s="194"/>
      <c r="E2422" s="198"/>
      <c r="G2422" s="202"/>
      <c r="J2422" s="195">
        <v>18</v>
      </c>
      <c r="K2422" s="204" t="s">
        <v>5</v>
      </c>
      <c r="L2422" s="199">
        <v>2</v>
      </c>
      <c r="M2422" s="200">
        <v>19.2</v>
      </c>
      <c r="N2422" s="201">
        <v>16</v>
      </c>
    </row>
    <row r="2423" spans="1:14">
      <c r="A2423" s="194">
        <v>41277.543020833335</v>
      </c>
      <c r="B2423" s="195">
        <v>2124</v>
      </c>
      <c r="C2423" s="194"/>
      <c r="D2423" s="194"/>
      <c r="E2423" s="198"/>
      <c r="G2423" s="202"/>
      <c r="J2423" s="195">
        <v>18</v>
      </c>
      <c r="K2423" s="204" t="s">
        <v>5</v>
      </c>
      <c r="L2423" s="199">
        <v>2</v>
      </c>
      <c r="M2423" s="200">
        <v>14.5</v>
      </c>
      <c r="N2423" s="201">
        <v>22</v>
      </c>
    </row>
    <row r="2424" spans="1:14">
      <c r="A2424" s="194">
        <v>41282.491828703707</v>
      </c>
      <c r="B2424" s="195">
        <v>2124</v>
      </c>
      <c r="C2424" s="194"/>
      <c r="D2424" s="194"/>
      <c r="E2424" s="198"/>
      <c r="G2424" s="202"/>
      <c r="J2424" s="195">
        <v>18</v>
      </c>
      <c r="K2424" s="204" t="s">
        <v>5</v>
      </c>
      <c r="L2424" s="199">
        <v>1</v>
      </c>
      <c r="M2424" s="200">
        <v>25.1</v>
      </c>
      <c r="N2424" s="201">
        <v>23</v>
      </c>
    </row>
    <row r="2425" spans="1:14">
      <c r="A2425" s="194">
        <v>41279.790185185186</v>
      </c>
      <c r="B2425" s="195">
        <v>2124</v>
      </c>
      <c r="C2425" s="194"/>
      <c r="D2425" s="194"/>
      <c r="E2425" s="196" t="s">
        <v>1728</v>
      </c>
      <c r="G2425" s="202"/>
      <c r="J2425" s="195">
        <v>24</v>
      </c>
      <c r="K2425" s="204" t="s">
        <v>25</v>
      </c>
      <c r="L2425" s="199">
        <v>1</v>
      </c>
      <c r="M2425" s="200">
        <v>0.5</v>
      </c>
      <c r="N2425" s="201">
        <v>23</v>
      </c>
    </row>
    <row r="2426" spans="1:14">
      <c r="A2426" s="194">
        <v>41299.689618055556</v>
      </c>
      <c r="B2426" s="195">
        <v>2124</v>
      </c>
      <c r="C2426" s="194"/>
      <c r="D2426" s="194"/>
      <c r="E2426" s="196" t="s">
        <v>1611</v>
      </c>
      <c r="G2426" s="202"/>
      <c r="J2426" s="195">
        <v>24</v>
      </c>
      <c r="K2426" s="204" t="s">
        <v>25</v>
      </c>
      <c r="L2426" s="199">
        <v>2</v>
      </c>
      <c r="M2426" s="200">
        <v>0.9</v>
      </c>
      <c r="N2426" s="201">
        <v>28</v>
      </c>
    </row>
    <row r="2427" spans="1:14">
      <c r="A2427" s="194">
        <v>41283.556157407409</v>
      </c>
      <c r="B2427" s="195">
        <v>2124</v>
      </c>
      <c r="C2427" s="194"/>
      <c r="D2427" s="194"/>
      <c r="E2427" s="196" t="s">
        <v>1615</v>
      </c>
      <c r="G2427" s="202"/>
      <c r="J2427" s="195">
        <v>24</v>
      </c>
      <c r="K2427" s="204" t="s">
        <v>25</v>
      </c>
      <c r="L2427" s="199">
        <v>1</v>
      </c>
      <c r="M2427" s="200">
        <v>0.4</v>
      </c>
      <c r="N2427" s="201">
        <v>30</v>
      </c>
    </row>
    <row r="2428" spans="1:14">
      <c r="A2428" s="194">
        <v>41279.583923611113</v>
      </c>
      <c r="B2428" s="195">
        <v>2124</v>
      </c>
      <c r="C2428" s="194"/>
      <c r="D2428" s="194"/>
      <c r="E2428" s="196" t="s">
        <v>1730</v>
      </c>
      <c r="G2428" s="202"/>
      <c r="J2428" s="195">
        <v>24</v>
      </c>
      <c r="K2428" s="204" t="s">
        <v>25</v>
      </c>
      <c r="L2428" s="199">
        <v>1</v>
      </c>
      <c r="M2428" s="200">
        <v>0.3</v>
      </c>
      <c r="N2428" s="201">
        <v>37</v>
      </c>
    </row>
    <row r="2429" spans="1:14">
      <c r="A2429" s="194">
        <v>41294.500011574077</v>
      </c>
      <c r="B2429" s="195">
        <v>2124</v>
      </c>
      <c r="C2429" s="194"/>
      <c r="D2429" s="194"/>
      <c r="E2429" s="196" t="s">
        <v>1697</v>
      </c>
      <c r="G2429" s="202"/>
      <c r="J2429" s="195">
        <v>24</v>
      </c>
      <c r="K2429" s="204" t="s">
        <v>25</v>
      </c>
      <c r="L2429" s="199">
        <v>1</v>
      </c>
      <c r="M2429" s="200">
        <v>1.5</v>
      </c>
      <c r="N2429" s="201">
        <v>44</v>
      </c>
    </row>
    <row r="2430" spans="1:14">
      <c r="A2430" s="194">
        <v>41291.419432870367</v>
      </c>
      <c r="B2430" s="195">
        <v>2124</v>
      </c>
      <c r="C2430" s="194"/>
      <c r="D2430" s="194"/>
      <c r="E2430" s="196" t="s">
        <v>1783</v>
      </c>
      <c r="G2430" s="202"/>
      <c r="J2430" s="195">
        <v>24</v>
      </c>
      <c r="K2430" s="204" t="s">
        <v>25</v>
      </c>
      <c r="L2430" s="199">
        <v>2</v>
      </c>
      <c r="M2430" s="200">
        <v>0.4</v>
      </c>
      <c r="N2430" s="201">
        <v>46</v>
      </c>
    </row>
    <row r="2431" spans="1:14">
      <c r="A2431" s="194">
        <v>41293.838217592594</v>
      </c>
      <c r="B2431" s="195">
        <v>2124</v>
      </c>
      <c r="C2431" s="194"/>
      <c r="D2431" s="194"/>
      <c r="E2431" s="196" t="s">
        <v>1722</v>
      </c>
      <c r="G2431" s="202"/>
      <c r="J2431" s="195">
        <v>29</v>
      </c>
      <c r="K2431" s="204" t="s">
        <v>39</v>
      </c>
      <c r="L2431" s="199">
        <v>3</v>
      </c>
      <c r="M2431" s="200">
        <v>0.4</v>
      </c>
      <c r="N2431" s="201">
        <v>18</v>
      </c>
    </row>
    <row r="2432" spans="1:14">
      <c r="A2432" s="194">
        <v>41277.736678240741</v>
      </c>
      <c r="B2432" s="195">
        <v>2124</v>
      </c>
      <c r="C2432" s="194"/>
      <c r="D2432" s="194"/>
      <c r="E2432" s="196" t="s">
        <v>1834</v>
      </c>
      <c r="G2432" s="202"/>
      <c r="J2432" s="195">
        <v>29</v>
      </c>
      <c r="K2432" s="204" t="s">
        <v>39</v>
      </c>
      <c r="L2432" s="199">
        <v>3</v>
      </c>
      <c r="M2432" s="200">
        <v>0.6</v>
      </c>
      <c r="N2432" s="201">
        <v>28</v>
      </c>
    </row>
    <row r="2433" spans="1:14">
      <c r="A2433" s="194">
        <v>41295.582673611112</v>
      </c>
      <c r="B2433" s="195">
        <v>2124</v>
      </c>
      <c r="C2433" s="194"/>
      <c r="D2433" s="194"/>
      <c r="E2433" s="196" t="s">
        <v>2041</v>
      </c>
      <c r="G2433" s="202"/>
      <c r="J2433" s="195">
        <v>29</v>
      </c>
      <c r="K2433" s="204" t="s">
        <v>39</v>
      </c>
      <c r="L2433" s="199">
        <v>1</v>
      </c>
      <c r="M2433" s="200">
        <v>0.7</v>
      </c>
      <c r="N2433" s="201">
        <v>35</v>
      </c>
    </row>
    <row r="2434" spans="1:14">
      <c r="A2434" s="194">
        <v>41286.493622685186</v>
      </c>
      <c r="B2434" s="195">
        <v>2124</v>
      </c>
      <c r="C2434" s="194"/>
      <c r="D2434" s="194"/>
      <c r="E2434" s="196" t="s">
        <v>1859</v>
      </c>
      <c r="G2434" s="202"/>
      <c r="J2434" s="195">
        <v>29</v>
      </c>
      <c r="K2434" s="204" t="s">
        <v>39</v>
      </c>
      <c r="L2434" s="199">
        <v>2</v>
      </c>
      <c r="M2434" s="200">
        <v>0.6</v>
      </c>
      <c r="N2434" s="201">
        <v>37</v>
      </c>
    </row>
    <row r="2435" spans="1:14">
      <c r="A2435" s="194">
        <v>41299.840300925927</v>
      </c>
      <c r="B2435" s="195">
        <v>2124</v>
      </c>
      <c r="C2435" s="194"/>
      <c r="D2435" s="194"/>
      <c r="E2435" s="196" t="s">
        <v>1933</v>
      </c>
      <c r="G2435" s="202"/>
      <c r="J2435" s="195">
        <v>29</v>
      </c>
      <c r="K2435" s="204" t="s">
        <v>39</v>
      </c>
      <c r="L2435" s="199">
        <v>2</v>
      </c>
      <c r="M2435" s="200">
        <v>0.5</v>
      </c>
      <c r="N2435" s="201">
        <v>39</v>
      </c>
    </row>
    <row r="2436" spans="1:14">
      <c r="A2436" s="194">
        <v>41286.770775462966</v>
      </c>
      <c r="B2436" s="195">
        <v>2124</v>
      </c>
      <c r="C2436" s="194"/>
      <c r="D2436" s="194"/>
      <c r="E2436" s="196" t="s">
        <v>1957</v>
      </c>
      <c r="G2436" s="202"/>
      <c r="J2436" s="195">
        <v>29</v>
      </c>
      <c r="K2436" s="204" t="s">
        <v>39</v>
      </c>
      <c r="L2436" s="199">
        <v>3</v>
      </c>
      <c r="M2436" s="200">
        <v>0.5</v>
      </c>
      <c r="N2436" s="201">
        <v>48</v>
      </c>
    </row>
    <row r="2437" spans="1:14">
      <c r="A2437" s="194">
        <v>41292.276331018518</v>
      </c>
      <c r="B2437" s="195">
        <v>2124</v>
      </c>
      <c r="C2437" s="194"/>
      <c r="D2437" s="194"/>
      <c r="E2437" s="198"/>
      <c r="G2437" s="202"/>
      <c r="J2437" s="195">
        <v>43</v>
      </c>
      <c r="K2437" s="204" t="s">
        <v>1596</v>
      </c>
      <c r="L2437" s="199">
        <v>1</v>
      </c>
      <c r="M2437" s="200">
        <v>0.4</v>
      </c>
      <c r="N2437" s="201">
        <v>16</v>
      </c>
    </row>
    <row r="2438" spans="1:14">
      <c r="A2438" s="194">
        <v>41294.638159722221</v>
      </c>
      <c r="B2438" s="195">
        <v>2124</v>
      </c>
      <c r="C2438" s="194"/>
      <c r="D2438" s="194"/>
      <c r="E2438" s="198"/>
      <c r="G2438" s="202"/>
      <c r="J2438" s="195">
        <v>43</v>
      </c>
      <c r="K2438" s="204" t="s">
        <v>1596</v>
      </c>
      <c r="L2438" s="199">
        <v>1</v>
      </c>
      <c r="M2438" s="200">
        <v>0.6</v>
      </c>
      <c r="N2438" s="201">
        <v>16</v>
      </c>
    </row>
    <row r="2439" spans="1:14">
      <c r="A2439" s="194">
        <v>41292.810393518521</v>
      </c>
      <c r="B2439" s="195">
        <v>2124</v>
      </c>
      <c r="C2439" s="194"/>
      <c r="D2439" s="194"/>
      <c r="E2439" s="198"/>
      <c r="G2439" s="202"/>
      <c r="J2439" s="195">
        <v>43</v>
      </c>
      <c r="K2439" s="204" t="s">
        <v>1596</v>
      </c>
      <c r="L2439" s="199">
        <v>1</v>
      </c>
      <c r="M2439" s="200">
        <v>0.3</v>
      </c>
      <c r="N2439" s="201">
        <v>17</v>
      </c>
    </row>
    <row r="2440" spans="1:14">
      <c r="A2440" s="194">
        <v>41305.821620370371</v>
      </c>
      <c r="B2440" s="195">
        <v>2124</v>
      </c>
      <c r="C2440" s="194"/>
      <c r="D2440" s="194"/>
      <c r="E2440" s="198"/>
      <c r="G2440" s="202"/>
      <c r="J2440" s="195">
        <v>43</v>
      </c>
      <c r="K2440" s="204" t="s">
        <v>1596</v>
      </c>
      <c r="L2440" s="199">
        <v>1</v>
      </c>
      <c r="M2440" s="200">
        <v>0.8</v>
      </c>
      <c r="N2440" s="201">
        <v>17</v>
      </c>
    </row>
    <row r="2441" spans="1:14">
      <c r="A2441" s="194">
        <v>41284.784016203703</v>
      </c>
      <c r="B2441" s="195">
        <v>2124</v>
      </c>
      <c r="C2441" s="194"/>
      <c r="D2441" s="194"/>
      <c r="E2441" s="198"/>
      <c r="G2441" s="202"/>
      <c r="J2441" s="195">
        <v>43</v>
      </c>
      <c r="K2441" s="204" t="s">
        <v>1596</v>
      </c>
      <c r="L2441" s="199">
        <v>1</v>
      </c>
      <c r="M2441" s="200">
        <v>0.8</v>
      </c>
      <c r="N2441" s="201">
        <v>17</v>
      </c>
    </row>
    <row r="2442" spans="1:14">
      <c r="A2442" s="194">
        <v>41278.645057870373</v>
      </c>
      <c r="B2442" s="195">
        <v>2124</v>
      </c>
      <c r="C2442" s="194"/>
      <c r="D2442" s="194"/>
      <c r="E2442" s="198"/>
      <c r="G2442" s="202"/>
      <c r="J2442" s="195">
        <v>43</v>
      </c>
      <c r="K2442" s="204" t="s">
        <v>1596</v>
      </c>
      <c r="L2442" s="199">
        <v>1</v>
      </c>
      <c r="M2442" s="200">
        <v>1.1000000000000001</v>
      </c>
      <c r="N2442" s="201">
        <v>17</v>
      </c>
    </row>
    <row r="2443" spans="1:14">
      <c r="A2443" s="194">
        <v>41300.69935185185</v>
      </c>
      <c r="B2443" s="195">
        <v>2124</v>
      </c>
      <c r="C2443" s="194"/>
      <c r="D2443" s="194"/>
      <c r="E2443" s="198"/>
      <c r="G2443" s="202"/>
      <c r="J2443" s="195">
        <v>43</v>
      </c>
      <c r="K2443" s="204" t="s">
        <v>1596</v>
      </c>
      <c r="L2443" s="199">
        <v>1</v>
      </c>
      <c r="M2443" s="200">
        <v>0.4</v>
      </c>
      <c r="N2443" s="201">
        <v>18</v>
      </c>
    </row>
    <row r="2444" spans="1:14">
      <c r="A2444" s="194">
        <v>41302.748645833337</v>
      </c>
      <c r="B2444" s="195">
        <v>2124</v>
      </c>
      <c r="C2444" s="194"/>
      <c r="D2444" s="194"/>
      <c r="E2444" s="198"/>
      <c r="G2444" s="202"/>
      <c r="J2444" s="195">
        <v>43</v>
      </c>
      <c r="K2444" s="204" t="s">
        <v>1596</v>
      </c>
      <c r="L2444" s="199">
        <v>1</v>
      </c>
      <c r="M2444" s="200">
        <v>0.4</v>
      </c>
      <c r="N2444" s="201">
        <v>21</v>
      </c>
    </row>
    <row r="2445" spans="1:14">
      <c r="A2445" s="194">
        <v>41280.247893518521</v>
      </c>
      <c r="B2445" s="195">
        <v>2124</v>
      </c>
      <c r="C2445" s="194"/>
      <c r="D2445" s="194"/>
      <c r="E2445" s="198"/>
      <c r="G2445" s="202"/>
      <c r="J2445" s="195">
        <v>43</v>
      </c>
      <c r="K2445" s="204" t="s">
        <v>1596</v>
      </c>
      <c r="L2445" s="199">
        <v>1</v>
      </c>
      <c r="M2445" s="200">
        <v>7.3</v>
      </c>
      <c r="N2445" s="201">
        <v>22</v>
      </c>
    </row>
    <row r="2446" spans="1:14">
      <c r="A2446" s="194">
        <v>41296.303495370368</v>
      </c>
      <c r="B2446" s="195">
        <v>2124</v>
      </c>
      <c r="C2446" s="194"/>
      <c r="D2446" s="194"/>
      <c r="E2446" s="198"/>
      <c r="G2446" s="202"/>
      <c r="J2446" s="195">
        <v>4400</v>
      </c>
      <c r="K2446" s="204" t="s">
        <v>37</v>
      </c>
      <c r="L2446" s="199">
        <v>2</v>
      </c>
      <c r="M2446" s="200">
        <v>0.4</v>
      </c>
      <c r="N2446" s="201">
        <v>25</v>
      </c>
    </row>
    <row r="2447" spans="1:14">
      <c r="A2447" s="194">
        <v>41296.652094907404</v>
      </c>
      <c r="B2447" s="195">
        <v>2124</v>
      </c>
      <c r="C2447" s="194"/>
      <c r="D2447" s="194"/>
      <c r="E2447" s="198"/>
      <c r="G2447" s="202"/>
      <c r="J2447" s="195">
        <v>4400</v>
      </c>
      <c r="K2447" s="204" t="s">
        <v>37</v>
      </c>
      <c r="L2447" s="199">
        <v>2</v>
      </c>
      <c r="M2447" s="200">
        <v>0.4</v>
      </c>
      <c r="N2447" s="201">
        <v>31</v>
      </c>
    </row>
    <row r="2448" spans="1:14">
      <c r="A2448" s="194">
        <v>41303.43478009259</v>
      </c>
      <c r="B2448" s="195">
        <v>2124</v>
      </c>
      <c r="C2448" s="194"/>
      <c r="D2448" s="194"/>
      <c r="E2448" s="198"/>
      <c r="G2448" s="202"/>
      <c r="J2448" s="195">
        <v>4400</v>
      </c>
      <c r="K2448" s="204" t="s">
        <v>37</v>
      </c>
      <c r="L2448" s="199">
        <v>2</v>
      </c>
      <c r="M2448" s="200">
        <v>0.9</v>
      </c>
      <c r="N2448" s="201">
        <v>42</v>
      </c>
    </row>
    <row r="2449" spans="1:14">
      <c r="A2449" s="194">
        <v>41297.74490740741</v>
      </c>
      <c r="B2449" s="195">
        <v>2131</v>
      </c>
      <c r="C2449" s="194"/>
      <c r="D2449" s="194"/>
      <c r="E2449" s="196" t="s">
        <v>1344</v>
      </c>
      <c r="F2449" s="195">
        <v>800</v>
      </c>
      <c r="G2449" s="197" t="s">
        <v>470</v>
      </c>
      <c r="H2449" s="197" t="s">
        <v>471</v>
      </c>
      <c r="J2449" s="195">
        <v>1</v>
      </c>
      <c r="K2449" s="204" t="s">
        <v>224</v>
      </c>
      <c r="L2449" s="199">
        <v>1</v>
      </c>
      <c r="M2449" s="200">
        <v>1.4</v>
      </c>
      <c r="N2449" s="201">
        <v>17</v>
      </c>
    </row>
    <row r="2450" spans="1:14">
      <c r="A2450" s="194">
        <v>41292.830266203702</v>
      </c>
      <c r="B2450" s="195">
        <v>2131</v>
      </c>
      <c r="C2450" s="194"/>
      <c r="D2450" s="194"/>
      <c r="E2450" s="196" t="s">
        <v>1167</v>
      </c>
      <c r="F2450" s="195">
        <v>800</v>
      </c>
      <c r="G2450" s="197" t="s">
        <v>470</v>
      </c>
      <c r="H2450" s="197" t="s">
        <v>471</v>
      </c>
      <c r="J2450" s="195">
        <v>1</v>
      </c>
      <c r="K2450" s="204" t="s">
        <v>224</v>
      </c>
      <c r="L2450" s="199">
        <v>1</v>
      </c>
      <c r="M2450" s="200">
        <v>0.4</v>
      </c>
      <c r="N2450" s="201">
        <v>18</v>
      </c>
    </row>
    <row r="2451" spans="1:14">
      <c r="A2451" s="194">
        <v>41279.244942129626</v>
      </c>
      <c r="B2451" s="195">
        <v>2131</v>
      </c>
      <c r="C2451" s="194"/>
      <c r="D2451" s="194"/>
      <c r="E2451" s="196" t="s">
        <v>650</v>
      </c>
      <c r="F2451" s="195">
        <v>800</v>
      </c>
      <c r="G2451" s="197" t="s">
        <v>470</v>
      </c>
      <c r="H2451" s="197" t="s">
        <v>471</v>
      </c>
      <c r="J2451" s="195">
        <v>1</v>
      </c>
      <c r="K2451" s="204" t="s">
        <v>224</v>
      </c>
      <c r="L2451" s="199">
        <v>2</v>
      </c>
      <c r="M2451" s="200">
        <v>24.4</v>
      </c>
      <c r="N2451" s="201">
        <v>26</v>
      </c>
    </row>
    <row r="2452" spans="1:14">
      <c r="A2452" s="194">
        <v>41293.537916666668</v>
      </c>
      <c r="B2452" s="195">
        <v>2131</v>
      </c>
      <c r="C2452" s="194"/>
      <c r="D2452" s="194"/>
      <c r="E2452" s="198"/>
      <c r="G2452" s="202"/>
      <c r="J2452" s="195">
        <v>2</v>
      </c>
      <c r="K2452" s="204" t="s">
        <v>32</v>
      </c>
      <c r="L2452" s="199">
        <v>1</v>
      </c>
      <c r="M2452" s="200">
        <v>0.9</v>
      </c>
      <c r="N2452" s="201">
        <v>23</v>
      </c>
    </row>
    <row r="2453" spans="1:14">
      <c r="A2453" s="194">
        <v>41275.37871527778</v>
      </c>
      <c r="B2453" s="195">
        <v>2131</v>
      </c>
      <c r="C2453" s="194"/>
      <c r="D2453" s="194"/>
      <c r="E2453" s="198"/>
      <c r="G2453" s="202"/>
      <c r="J2453" s="195">
        <v>2</v>
      </c>
      <c r="K2453" s="204" t="s">
        <v>32</v>
      </c>
      <c r="L2453" s="199">
        <v>2</v>
      </c>
      <c r="M2453" s="200">
        <v>6.7</v>
      </c>
      <c r="N2453" s="201">
        <v>24</v>
      </c>
    </row>
    <row r="2454" spans="1:14">
      <c r="A2454" s="194">
        <v>41296.942118055558</v>
      </c>
      <c r="B2454" s="195">
        <v>2131</v>
      </c>
      <c r="C2454" s="194"/>
      <c r="D2454" s="194"/>
      <c r="E2454" s="198"/>
      <c r="G2454" s="202"/>
      <c r="J2454" s="195">
        <v>2</v>
      </c>
      <c r="K2454" s="204" t="s">
        <v>32</v>
      </c>
      <c r="L2454" s="199">
        <v>1</v>
      </c>
      <c r="M2454" s="200">
        <v>0.4</v>
      </c>
      <c r="N2454" s="201">
        <v>31</v>
      </c>
    </row>
    <row r="2455" spans="1:14">
      <c r="A2455" s="194">
        <v>41295.680289351854</v>
      </c>
      <c r="B2455" s="195">
        <v>2131</v>
      </c>
      <c r="C2455" s="194"/>
      <c r="D2455" s="194"/>
      <c r="E2455" s="198"/>
      <c r="G2455" s="202"/>
      <c r="J2455" s="195">
        <v>3</v>
      </c>
      <c r="K2455" s="204" t="s">
        <v>1595</v>
      </c>
      <c r="L2455" s="199">
        <v>1</v>
      </c>
      <c r="M2455" s="200">
        <v>0.5</v>
      </c>
      <c r="N2455" s="201">
        <v>22</v>
      </c>
    </row>
    <row r="2456" spans="1:14">
      <c r="A2456" s="194">
        <v>41286.071157407408</v>
      </c>
      <c r="B2456" s="195">
        <v>2131</v>
      </c>
      <c r="C2456" s="194"/>
      <c r="D2456" s="194"/>
      <c r="E2456" s="196" t="s">
        <v>1641</v>
      </c>
      <c r="G2456" s="202"/>
      <c r="J2456" s="195">
        <v>12</v>
      </c>
      <c r="K2456" s="204" t="s">
        <v>7</v>
      </c>
      <c r="L2456" s="199">
        <v>1</v>
      </c>
      <c r="M2456" s="200">
        <v>1.2</v>
      </c>
      <c r="N2456" s="201">
        <v>20</v>
      </c>
    </row>
    <row r="2457" spans="1:14">
      <c r="A2457" s="194">
        <v>41302.736273148148</v>
      </c>
      <c r="B2457" s="195">
        <v>2131</v>
      </c>
      <c r="C2457" s="194"/>
      <c r="D2457" s="194"/>
      <c r="E2457" s="198"/>
      <c r="G2457" s="202"/>
      <c r="J2457" s="195">
        <v>15</v>
      </c>
      <c r="K2457" s="204" t="s">
        <v>4</v>
      </c>
      <c r="L2457" s="199">
        <v>1</v>
      </c>
      <c r="M2457" s="200">
        <v>29.2</v>
      </c>
      <c r="N2457" s="201">
        <v>16</v>
      </c>
    </row>
    <row r="2458" spans="1:14">
      <c r="A2458" s="194">
        <v>41278.588402777779</v>
      </c>
      <c r="B2458" s="195">
        <v>2131</v>
      </c>
      <c r="C2458" s="194"/>
      <c r="D2458" s="194"/>
      <c r="E2458" s="198"/>
      <c r="G2458" s="202"/>
      <c r="J2458" s="195">
        <v>15</v>
      </c>
      <c r="K2458" s="204" t="s">
        <v>4</v>
      </c>
      <c r="L2458" s="199">
        <v>1</v>
      </c>
      <c r="M2458" s="200">
        <v>0.5</v>
      </c>
      <c r="N2458" s="201">
        <v>39</v>
      </c>
    </row>
    <row r="2459" spans="1:14">
      <c r="A2459" s="194">
        <v>41293.011793981481</v>
      </c>
      <c r="B2459" s="195">
        <v>2131</v>
      </c>
      <c r="C2459" s="194"/>
      <c r="D2459" s="194"/>
      <c r="E2459" s="198"/>
      <c r="G2459" s="202"/>
      <c r="J2459" s="195">
        <v>17</v>
      </c>
      <c r="K2459" s="204" t="s">
        <v>11</v>
      </c>
      <c r="L2459" s="199">
        <v>1</v>
      </c>
      <c r="M2459" s="200">
        <v>24.7</v>
      </c>
      <c r="N2459" s="201">
        <v>0</v>
      </c>
    </row>
    <row r="2460" spans="1:14">
      <c r="A2460" s="194">
        <v>41285.634340277778</v>
      </c>
      <c r="B2460" s="195">
        <v>2131</v>
      </c>
      <c r="C2460" s="194"/>
      <c r="D2460" s="194"/>
      <c r="E2460" s="198"/>
      <c r="G2460" s="202"/>
      <c r="J2460" s="195">
        <v>17</v>
      </c>
      <c r="K2460" s="204" t="s">
        <v>11</v>
      </c>
      <c r="L2460" s="199">
        <v>2</v>
      </c>
      <c r="M2460" s="200">
        <v>0.5</v>
      </c>
      <c r="N2460" s="201">
        <v>17</v>
      </c>
    </row>
    <row r="2461" spans="1:14">
      <c r="A2461" s="194">
        <v>41277.103009259263</v>
      </c>
      <c r="B2461" s="195">
        <v>2131</v>
      </c>
      <c r="C2461" s="194"/>
      <c r="D2461" s="194"/>
      <c r="E2461" s="198"/>
      <c r="G2461" s="202"/>
      <c r="J2461" s="195">
        <v>17</v>
      </c>
      <c r="K2461" s="204" t="s">
        <v>11</v>
      </c>
      <c r="L2461" s="199">
        <v>1</v>
      </c>
      <c r="M2461" s="200">
        <v>3.7</v>
      </c>
      <c r="N2461" s="201">
        <v>17</v>
      </c>
    </row>
    <row r="2462" spans="1:14">
      <c r="A2462" s="194">
        <v>41295.220821759256</v>
      </c>
      <c r="B2462" s="195">
        <v>2131</v>
      </c>
      <c r="C2462" s="194"/>
      <c r="D2462" s="194"/>
      <c r="E2462" s="198"/>
      <c r="G2462" s="202"/>
      <c r="J2462" s="195">
        <v>17</v>
      </c>
      <c r="K2462" s="204" t="s">
        <v>11</v>
      </c>
      <c r="L2462" s="199">
        <v>1</v>
      </c>
      <c r="M2462" s="200">
        <v>23</v>
      </c>
      <c r="N2462" s="201">
        <v>17</v>
      </c>
    </row>
    <row r="2463" spans="1:14">
      <c r="A2463" s="194">
        <v>41291.436608796299</v>
      </c>
      <c r="B2463" s="195">
        <v>2131</v>
      </c>
      <c r="C2463" s="194"/>
      <c r="D2463" s="194"/>
      <c r="E2463" s="198"/>
      <c r="G2463" s="202"/>
      <c r="J2463" s="195">
        <v>17</v>
      </c>
      <c r="K2463" s="204" t="s">
        <v>11</v>
      </c>
      <c r="L2463" s="199">
        <v>2</v>
      </c>
      <c r="M2463" s="200">
        <v>10.5</v>
      </c>
      <c r="N2463" s="201">
        <v>18</v>
      </c>
    </row>
    <row r="2464" spans="1:14">
      <c r="A2464" s="194">
        <v>41294.597650462965</v>
      </c>
      <c r="B2464" s="195">
        <v>2131</v>
      </c>
      <c r="C2464" s="194"/>
      <c r="D2464" s="194"/>
      <c r="E2464" s="198"/>
      <c r="G2464" s="202"/>
      <c r="J2464" s="195">
        <v>17</v>
      </c>
      <c r="K2464" s="204" t="s">
        <v>11</v>
      </c>
      <c r="L2464" s="199">
        <v>1</v>
      </c>
      <c r="M2464" s="200">
        <v>1.5</v>
      </c>
      <c r="N2464" s="201">
        <v>19</v>
      </c>
    </row>
    <row r="2465" spans="1:14">
      <c r="A2465" s="194">
        <v>41296.865162037036</v>
      </c>
      <c r="B2465" s="195">
        <v>2131</v>
      </c>
      <c r="C2465" s="194"/>
      <c r="D2465" s="194"/>
      <c r="E2465" s="198"/>
      <c r="G2465" s="202"/>
      <c r="J2465" s="195">
        <v>18</v>
      </c>
      <c r="K2465" s="204" t="s">
        <v>5</v>
      </c>
      <c r="L2465" s="199">
        <v>1</v>
      </c>
      <c r="M2465" s="200">
        <v>11.5</v>
      </c>
      <c r="N2465" s="201">
        <v>14</v>
      </c>
    </row>
    <row r="2466" spans="1:14">
      <c r="A2466" s="194">
        <v>41285.644097222219</v>
      </c>
      <c r="B2466" s="195">
        <v>2131</v>
      </c>
      <c r="C2466" s="194"/>
      <c r="D2466" s="194"/>
      <c r="E2466" s="198"/>
      <c r="G2466" s="202"/>
      <c r="J2466" s="195">
        <v>18</v>
      </c>
      <c r="K2466" s="204" t="s">
        <v>5</v>
      </c>
      <c r="L2466" s="199">
        <v>1</v>
      </c>
      <c r="M2466" s="200">
        <v>3.6</v>
      </c>
      <c r="N2466" s="201">
        <v>16</v>
      </c>
    </row>
    <row r="2467" spans="1:14">
      <c r="A2467" s="194">
        <v>41303.792268518519</v>
      </c>
      <c r="B2467" s="195">
        <v>2131</v>
      </c>
      <c r="C2467" s="194"/>
      <c r="D2467" s="194"/>
      <c r="E2467" s="198"/>
      <c r="G2467" s="202"/>
      <c r="J2467" s="195">
        <v>18</v>
      </c>
      <c r="K2467" s="204" t="s">
        <v>5</v>
      </c>
      <c r="L2467" s="199">
        <v>1</v>
      </c>
      <c r="M2467" s="200">
        <v>5.7</v>
      </c>
      <c r="N2467" s="201">
        <v>16</v>
      </c>
    </row>
    <row r="2468" spans="1:14">
      <c r="A2468" s="194">
        <v>41279.001030092593</v>
      </c>
      <c r="B2468" s="195">
        <v>2131</v>
      </c>
      <c r="C2468" s="194"/>
      <c r="D2468" s="194"/>
      <c r="E2468" s="198"/>
      <c r="G2468" s="202"/>
      <c r="J2468" s="195">
        <v>18</v>
      </c>
      <c r="K2468" s="204" t="s">
        <v>5</v>
      </c>
      <c r="L2468" s="199">
        <v>1</v>
      </c>
      <c r="M2468" s="200">
        <v>10.6</v>
      </c>
      <c r="N2468" s="201">
        <v>16</v>
      </c>
    </row>
    <row r="2469" spans="1:14">
      <c r="A2469" s="194">
        <v>41298.037418981483</v>
      </c>
      <c r="B2469" s="195">
        <v>2131</v>
      </c>
      <c r="C2469" s="194"/>
      <c r="D2469" s="194"/>
      <c r="E2469" s="198"/>
      <c r="G2469" s="202"/>
      <c r="J2469" s="195">
        <v>18</v>
      </c>
      <c r="K2469" s="204" t="s">
        <v>5</v>
      </c>
      <c r="L2469" s="199">
        <v>2</v>
      </c>
      <c r="M2469" s="200">
        <v>13.6</v>
      </c>
      <c r="N2469" s="201">
        <v>16</v>
      </c>
    </row>
    <row r="2470" spans="1:14">
      <c r="A2470" s="194">
        <v>41296.380509259259</v>
      </c>
      <c r="B2470" s="195">
        <v>2131</v>
      </c>
      <c r="C2470" s="194"/>
      <c r="D2470" s="194"/>
      <c r="E2470" s="198"/>
      <c r="G2470" s="202"/>
      <c r="J2470" s="195">
        <v>18</v>
      </c>
      <c r="K2470" s="204" t="s">
        <v>5</v>
      </c>
      <c r="L2470" s="199">
        <v>1</v>
      </c>
      <c r="M2470" s="200">
        <v>18.5</v>
      </c>
      <c r="N2470" s="201">
        <v>16</v>
      </c>
    </row>
    <row r="2471" spans="1:14">
      <c r="A2471" s="194">
        <v>41290.190196759257</v>
      </c>
      <c r="B2471" s="195">
        <v>2131</v>
      </c>
      <c r="C2471" s="194"/>
      <c r="D2471" s="194"/>
      <c r="E2471" s="198"/>
      <c r="G2471" s="202"/>
      <c r="J2471" s="195">
        <v>18</v>
      </c>
      <c r="K2471" s="204" t="s">
        <v>5</v>
      </c>
      <c r="L2471" s="199">
        <v>1</v>
      </c>
      <c r="M2471" s="200">
        <v>22.1</v>
      </c>
      <c r="N2471" s="201">
        <v>16</v>
      </c>
    </row>
    <row r="2472" spans="1:14">
      <c r="A2472" s="194">
        <v>41279.355358796296</v>
      </c>
      <c r="B2472" s="195">
        <v>2131</v>
      </c>
      <c r="C2472" s="194"/>
      <c r="D2472" s="194"/>
      <c r="E2472" s="198"/>
      <c r="G2472" s="202"/>
      <c r="J2472" s="195">
        <v>18</v>
      </c>
      <c r="K2472" s="204" t="s">
        <v>5</v>
      </c>
      <c r="L2472" s="199">
        <v>1</v>
      </c>
      <c r="M2472" s="200">
        <v>24.4</v>
      </c>
      <c r="N2472" s="201">
        <v>16</v>
      </c>
    </row>
    <row r="2473" spans="1:14">
      <c r="A2473" s="194">
        <v>41296.751458333332</v>
      </c>
      <c r="B2473" s="195">
        <v>2131</v>
      </c>
      <c r="C2473" s="194"/>
      <c r="D2473" s="194"/>
      <c r="E2473" s="198"/>
      <c r="G2473" s="202"/>
      <c r="J2473" s="195">
        <v>18</v>
      </c>
      <c r="K2473" s="204" t="s">
        <v>5</v>
      </c>
      <c r="L2473" s="199">
        <v>2</v>
      </c>
      <c r="M2473" s="200">
        <v>27.8</v>
      </c>
      <c r="N2473" s="201">
        <v>16</v>
      </c>
    </row>
    <row r="2474" spans="1:14">
      <c r="A2474" s="194">
        <v>41302.539733796293</v>
      </c>
      <c r="B2474" s="195">
        <v>2131</v>
      </c>
      <c r="C2474" s="194"/>
      <c r="D2474" s="194"/>
      <c r="E2474" s="198"/>
      <c r="G2474" s="202"/>
      <c r="J2474" s="195">
        <v>18</v>
      </c>
      <c r="K2474" s="204" t="s">
        <v>5</v>
      </c>
      <c r="L2474" s="199">
        <v>1</v>
      </c>
      <c r="M2474" s="200">
        <v>29.1</v>
      </c>
      <c r="N2474" s="201">
        <v>16</v>
      </c>
    </row>
    <row r="2475" spans="1:14">
      <c r="A2475" s="194">
        <v>41305.426932870374</v>
      </c>
      <c r="B2475" s="195">
        <v>2131</v>
      </c>
      <c r="C2475" s="194"/>
      <c r="D2475" s="194"/>
      <c r="E2475" s="198"/>
      <c r="G2475" s="202"/>
      <c r="J2475" s="195">
        <v>18</v>
      </c>
      <c r="K2475" s="204" t="s">
        <v>5</v>
      </c>
      <c r="L2475" s="199">
        <v>1</v>
      </c>
      <c r="M2475" s="200">
        <v>0.5</v>
      </c>
      <c r="N2475" s="201">
        <v>17</v>
      </c>
    </row>
    <row r="2476" spans="1:14">
      <c r="A2476" s="194">
        <v>41275.019016203703</v>
      </c>
      <c r="B2476" s="195">
        <v>2131</v>
      </c>
      <c r="C2476" s="194"/>
      <c r="D2476" s="194"/>
      <c r="E2476" s="198"/>
      <c r="G2476" s="202"/>
      <c r="J2476" s="195">
        <v>18</v>
      </c>
      <c r="K2476" s="204" t="s">
        <v>5</v>
      </c>
      <c r="L2476" s="199">
        <v>2</v>
      </c>
      <c r="M2476" s="200">
        <v>9.3000000000000007</v>
      </c>
      <c r="N2476" s="201">
        <v>17</v>
      </c>
    </row>
    <row r="2477" spans="1:14">
      <c r="A2477" s="194">
        <v>41283.927511574075</v>
      </c>
      <c r="B2477" s="195">
        <v>2131</v>
      </c>
      <c r="C2477" s="194"/>
      <c r="D2477" s="194"/>
      <c r="E2477" s="198"/>
      <c r="G2477" s="202"/>
      <c r="J2477" s="195">
        <v>18</v>
      </c>
      <c r="K2477" s="204" t="s">
        <v>5</v>
      </c>
      <c r="L2477" s="199">
        <v>1</v>
      </c>
      <c r="M2477" s="200">
        <v>12.5</v>
      </c>
      <c r="N2477" s="201">
        <v>17</v>
      </c>
    </row>
    <row r="2478" spans="1:14">
      <c r="A2478" s="194">
        <v>41282.596956018519</v>
      </c>
      <c r="B2478" s="195">
        <v>2131</v>
      </c>
      <c r="C2478" s="194"/>
      <c r="D2478" s="194"/>
      <c r="E2478" s="198"/>
      <c r="G2478" s="202"/>
      <c r="J2478" s="195">
        <v>18</v>
      </c>
      <c r="K2478" s="204" t="s">
        <v>5</v>
      </c>
      <c r="L2478" s="199">
        <v>1</v>
      </c>
      <c r="M2478" s="200">
        <v>14.8</v>
      </c>
      <c r="N2478" s="201">
        <v>17</v>
      </c>
    </row>
    <row r="2479" spans="1:14">
      <c r="A2479" s="194">
        <v>41292.123495370368</v>
      </c>
      <c r="B2479" s="195">
        <v>2131</v>
      </c>
      <c r="C2479" s="194"/>
      <c r="D2479" s="194"/>
      <c r="E2479" s="198"/>
      <c r="G2479" s="202"/>
      <c r="J2479" s="195">
        <v>18</v>
      </c>
      <c r="K2479" s="204" t="s">
        <v>5</v>
      </c>
      <c r="L2479" s="199">
        <v>2</v>
      </c>
      <c r="M2479" s="200">
        <v>15.8</v>
      </c>
      <c r="N2479" s="201">
        <v>17</v>
      </c>
    </row>
    <row r="2480" spans="1:14">
      <c r="A2480" s="194">
        <v>41300.198414351849</v>
      </c>
      <c r="B2480" s="195">
        <v>2131</v>
      </c>
      <c r="C2480" s="194"/>
      <c r="D2480" s="194"/>
      <c r="E2480" s="198"/>
      <c r="G2480" s="202"/>
      <c r="J2480" s="195">
        <v>18</v>
      </c>
      <c r="K2480" s="204" t="s">
        <v>5</v>
      </c>
      <c r="L2480" s="199">
        <v>2</v>
      </c>
      <c r="M2480" s="200">
        <v>1.5</v>
      </c>
      <c r="N2480" s="201">
        <v>18</v>
      </c>
    </row>
    <row r="2481" spans="1:14">
      <c r="A2481" s="194">
        <v>41300.904710648145</v>
      </c>
      <c r="B2481" s="195">
        <v>2131</v>
      </c>
      <c r="C2481" s="194"/>
      <c r="D2481" s="194"/>
      <c r="E2481" s="198"/>
      <c r="G2481" s="202"/>
      <c r="J2481" s="195">
        <v>18</v>
      </c>
      <c r="K2481" s="204" t="s">
        <v>5</v>
      </c>
      <c r="L2481" s="199">
        <v>1</v>
      </c>
      <c r="M2481" s="200">
        <v>4.5</v>
      </c>
      <c r="N2481" s="201">
        <v>18</v>
      </c>
    </row>
    <row r="2482" spans="1:14">
      <c r="A2482" s="194">
        <v>41279.84542824074</v>
      </c>
      <c r="B2482" s="195">
        <v>2131</v>
      </c>
      <c r="C2482" s="194"/>
      <c r="D2482" s="194"/>
      <c r="E2482" s="198"/>
      <c r="G2482" s="202"/>
      <c r="J2482" s="195">
        <v>18</v>
      </c>
      <c r="K2482" s="204" t="s">
        <v>5</v>
      </c>
      <c r="L2482" s="199">
        <v>1</v>
      </c>
      <c r="M2482" s="200">
        <v>5</v>
      </c>
      <c r="N2482" s="201">
        <v>18</v>
      </c>
    </row>
    <row r="2483" spans="1:14">
      <c r="A2483" s="194">
        <v>41300.542280092595</v>
      </c>
      <c r="B2483" s="195">
        <v>2131</v>
      </c>
      <c r="C2483" s="194"/>
      <c r="D2483" s="194"/>
      <c r="E2483" s="198"/>
      <c r="G2483" s="202"/>
      <c r="J2483" s="195">
        <v>18</v>
      </c>
      <c r="K2483" s="204" t="s">
        <v>5</v>
      </c>
      <c r="L2483" s="199">
        <v>1</v>
      </c>
      <c r="M2483" s="200">
        <v>11.3</v>
      </c>
      <c r="N2483" s="201">
        <v>18</v>
      </c>
    </row>
    <row r="2484" spans="1:14">
      <c r="A2484" s="194">
        <v>41290.190081018518</v>
      </c>
      <c r="B2484" s="195">
        <v>2131</v>
      </c>
      <c r="C2484" s="194"/>
      <c r="D2484" s="194"/>
      <c r="E2484" s="198"/>
      <c r="G2484" s="202"/>
      <c r="J2484" s="195">
        <v>18</v>
      </c>
      <c r="K2484" s="204" t="s">
        <v>5</v>
      </c>
      <c r="L2484" s="199">
        <v>1</v>
      </c>
      <c r="M2484" s="200">
        <v>11.9</v>
      </c>
      <c r="N2484" s="201">
        <v>18</v>
      </c>
    </row>
    <row r="2485" spans="1:14">
      <c r="A2485" s="194">
        <v>41292.645011574074</v>
      </c>
      <c r="B2485" s="195">
        <v>2131</v>
      </c>
      <c r="C2485" s="194"/>
      <c r="D2485" s="194"/>
      <c r="E2485" s="198"/>
      <c r="G2485" s="202"/>
      <c r="J2485" s="195">
        <v>18</v>
      </c>
      <c r="K2485" s="204" t="s">
        <v>5</v>
      </c>
      <c r="L2485" s="199">
        <v>1</v>
      </c>
      <c r="M2485" s="200">
        <v>15.2</v>
      </c>
      <c r="N2485" s="201">
        <v>18</v>
      </c>
    </row>
    <row r="2486" spans="1:14">
      <c r="A2486" s="194">
        <v>41279.026284722226</v>
      </c>
      <c r="B2486" s="195">
        <v>2131</v>
      </c>
      <c r="C2486" s="194"/>
      <c r="D2486" s="194"/>
      <c r="E2486" s="198"/>
      <c r="G2486" s="202"/>
      <c r="J2486" s="195">
        <v>18</v>
      </c>
      <c r="K2486" s="204" t="s">
        <v>5</v>
      </c>
      <c r="L2486" s="199">
        <v>1</v>
      </c>
      <c r="M2486" s="200">
        <v>32</v>
      </c>
      <c r="N2486" s="201">
        <v>18</v>
      </c>
    </row>
    <row r="2487" spans="1:14">
      <c r="A2487" s="194">
        <v>41302.446747685186</v>
      </c>
      <c r="B2487" s="195">
        <v>2131</v>
      </c>
      <c r="C2487" s="194"/>
      <c r="D2487" s="194"/>
      <c r="E2487" s="198"/>
      <c r="G2487" s="202"/>
      <c r="J2487" s="195">
        <v>18</v>
      </c>
      <c r="K2487" s="204" t="s">
        <v>5</v>
      </c>
      <c r="L2487" s="199">
        <v>1</v>
      </c>
      <c r="M2487" s="200">
        <v>35.6</v>
      </c>
      <c r="N2487" s="201">
        <v>18</v>
      </c>
    </row>
    <row r="2488" spans="1:14">
      <c r="A2488" s="194">
        <v>41286.748391203706</v>
      </c>
      <c r="B2488" s="195">
        <v>2131</v>
      </c>
      <c r="C2488" s="194"/>
      <c r="D2488" s="194"/>
      <c r="E2488" s="198"/>
      <c r="G2488" s="202"/>
      <c r="J2488" s="195">
        <v>18</v>
      </c>
      <c r="K2488" s="204" t="s">
        <v>5</v>
      </c>
      <c r="L2488" s="199">
        <v>2</v>
      </c>
      <c r="M2488" s="200">
        <v>13</v>
      </c>
      <c r="N2488" s="201">
        <v>19</v>
      </c>
    </row>
    <row r="2489" spans="1:14">
      <c r="A2489" s="194">
        <v>41295.143113425926</v>
      </c>
      <c r="B2489" s="195">
        <v>2131</v>
      </c>
      <c r="C2489" s="194"/>
      <c r="D2489" s="194"/>
      <c r="E2489" s="198"/>
      <c r="G2489" s="202"/>
      <c r="J2489" s="195">
        <v>18</v>
      </c>
      <c r="K2489" s="204" t="s">
        <v>5</v>
      </c>
      <c r="L2489" s="199">
        <v>1</v>
      </c>
      <c r="M2489" s="200">
        <v>28.2</v>
      </c>
      <c r="N2489" s="201">
        <v>19</v>
      </c>
    </row>
    <row r="2490" spans="1:14">
      <c r="A2490" s="194">
        <v>41279.384305555555</v>
      </c>
      <c r="B2490" s="195">
        <v>2131</v>
      </c>
      <c r="C2490" s="194"/>
      <c r="D2490" s="194"/>
      <c r="E2490" s="198"/>
      <c r="G2490" s="202"/>
      <c r="J2490" s="195">
        <v>18</v>
      </c>
      <c r="K2490" s="204" t="s">
        <v>5</v>
      </c>
      <c r="L2490" s="199">
        <v>1</v>
      </c>
      <c r="M2490" s="200">
        <v>5.6</v>
      </c>
      <c r="N2490" s="201">
        <v>20</v>
      </c>
    </row>
    <row r="2491" spans="1:14">
      <c r="A2491" s="194">
        <v>41298.534803240742</v>
      </c>
      <c r="B2491" s="195">
        <v>2131</v>
      </c>
      <c r="C2491" s="194"/>
      <c r="D2491" s="194"/>
      <c r="E2491" s="198"/>
      <c r="G2491" s="202"/>
      <c r="J2491" s="195">
        <v>18</v>
      </c>
      <c r="K2491" s="204" t="s">
        <v>5</v>
      </c>
      <c r="L2491" s="199">
        <v>1</v>
      </c>
      <c r="M2491" s="200">
        <v>27.1</v>
      </c>
      <c r="N2491" s="201">
        <v>20</v>
      </c>
    </row>
    <row r="2492" spans="1:14">
      <c r="A2492" s="194">
        <v>41279.026226851849</v>
      </c>
      <c r="B2492" s="195">
        <v>2131</v>
      </c>
      <c r="C2492" s="194"/>
      <c r="D2492" s="194"/>
      <c r="E2492" s="198"/>
      <c r="G2492" s="202"/>
      <c r="J2492" s="195">
        <v>18</v>
      </c>
      <c r="K2492" s="204" t="s">
        <v>5</v>
      </c>
      <c r="L2492" s="199">
        <v>2</v>
      </c>
      <c r="M2492" s="200">
        <v>27.4</v>
      </c>
      <c r="N2492" s="201">
        <v>20</v>
      </c>
    </row>
    <row r="2493" spans="1:14">
      <c r="A2493" s="194">
        <v>41299.324120370373</v>
      </c>
      <c r="B2493" s="195">
        <v>2131</v>
      </c>
      <c r="C2493" s="194"/>
      <c r="D2493" s="194"/>
      <c r="E2493" s="198"/>
      <c r="G2493" s="202"/>
      <c r="J2493" s="195">
        <v>18</v>
      </c>
      <c r="K2493" s="204" t="s">
        <v>5</v>
      </c>
      <c r="L2493" s="199">
        <v>1</v>
      </c>
      <c r="M2493" s="200">
        <v>4</v>
      </c>
      <c r="N2493" s="201">
        <v>21</v>
      </c>
    </row>
    <row r="2494" spans="1:14">
      <c r="A2494" s="194">
        <v>41285.516319444447</v>
      </c>
      <c r="B2494" s="195">
        <v>2131</v>
      </c>
      <c r="C2494" s="194"/>
      <c r="D2494" s="194"/>
      <c r="E2494" s="198"/>
      <c r="G2494" s="202"/>
      <c r="J2494" s="195">
        <v>18</v>
      </c>
      <c r="K2494" s="204" t="s">
        <v>5</v>
      </c>
      <c r="L2494" s="199">
        <v>1</v>
      </c>
      <c r="M2494" s="200">
        <v>4.3</v>
      </c>
      <c r="N2494" s="201">
        <v>21</v>
      </c>
    </row>
    <row r="2495" spans="1:14">
      <c r="A2495" s="194">
        <v>41305.047974537039</v>
      </c>
      <c r="B2495" s="195">
        <v>2131</v>
      </c>
      <c r="C2495" s="194"/>
      <c r="D2495" s="194"/>
      <c r="E2495" s="198"/>
      <c r="G2495" s="202"/>
      <c r="J2495" s="195">
        <v>18</v>
      </c>
      <c r="K2495" s="204" t="s">
        <v>5</v>
      </c>
      <c r="L2495" s="199">
        <v>1</v>
      </c>
      <c r="M2495" s="200">
        <v>17.8</v>
      </c>
      <c r="N2495" s="201">
        <v>21</v>
      </c>
    </row>
    <row r="2496" spans="1:14">
      <c r="A2496" s="194">
        <v>41303.79241898148</v>
      </c>
      <c r="B2496" s="195">
        <v>2131</v>
      </c>
      <c r="C2496" s="194"/>
      <c r="D2496" s="194"/>
      <c r="E2496" s="198"/>
      <c r="G2496" s="202"/>
      <c r="J2496" s="195">
        <v>18</v>
      </c>
      <c r="K2496" s="204" t="s">
        <v>5</v>
      </c>
      <c r="L2496" s="199">
        <v>1</v>
      </c>
      <c r="M2496" s="200">
        <v>18.3</v>
      </c>
      <c r="N2496" s="201">
        <v>21</v>
      </c>
    </row>
    <row r="2497" spans="1:14">
      <c r="A2497" s="194">
        <v>41296.815138888887</v>
      </c>
      <c r="B2497" s="195">
        <v>2131</v>
      </c>
      <c r="C2497" s="194"/>
      <c r="D2497" s="194"/>
      <c r="E2497" s="198"/>
      <c r="G2497" s="202"/>
      <c r="J2497" s="195">
        <v>18</v>
      </c>
      <c r="K2497" s="204" t="s">
        <v>5</v>
      </c>
      <c r="L2497" s="199">
        <v>1</v>
      </c>
      <c r="M2497" s="200">
        <v>9.9</v>
      </c>
      <c r="N2497" s="201">
        <v>22</v>
      </c>
    </row>
    <row r="2498" spans="1:14">
      <c r="A2498" s="194">
        <v>41291.699236111112</v>
      </c>
      <c r="B2498" s="195">
        <v>2131</v>
      </c>
      <c r="C2498" s="194"/>
      <c r="D2498" s="194"/>
      <c r="E2498" s="198"/>
      <c r="G2498" s="202"/>
      <c r="J2498" s="195">
        <v>18</v>
      </c>
      <c r="K2498" s="204" t="s">
        <v>5</v>
      </c>
      <c r="L2498" s="199">
        <v>1</v>
      </c>
      <c r="M2498" s="200">
        <v>20.9</v>
      </c>
      <c r="N2498" s="201">
        <v>23</v>
      </c>
    </row>
    <row r="2499" spans="1:14">
      <c r="A2499" s="194">
        <v>41300.977824074071</v>
      </c>
      <c r="B2499" s="195">
        <v>2131</v>
      </c>
      <c r="C2499" s="194"/>
      <c r="D2499" s="194"/>
      <c r="E2499" s="198"/>
      <c r="G2499" s="202"/>
      <c r="J2499" s="195">
        <v>18</v>
      </c>
      <c r="K2499" s="204" t="s">
        <v>5</v>
      </c>
      <c r="L2499" s="199">
        <v>1</v>
      </c>
      <c r="M2499" s="200">
        <v>22</v>
      </c>
      <c r="N2499" s="201">
        <v>23</v>
      </c>
    </row>
    <row r="2500" spans="1:14">
      <c r="A2500" s="194">
        <v>41299.69568287037</v>
      </c>
      <c r="B2500" s="195">
        <v>2131</v>
      </c>
      <c r="C2500" s="194"/>
      <c r="D2500" s="194"/>
      <c r="E2500" s="198"/>
      <c r="G2500" s="202"/>
      <c r="J2500" s="195">
        <v>18</v>
      </c>
      <c r="K2500" s="204" t="s">
        <v>5</v>
      </c>
      <c r="L2500" s="199">
        <v>2</v>
      </c>
      <c r="M2500" s="200">
        <v>6</v>
      </c>
      <c r="N2500" s="201">
        <v>24</v>
      </c>
    </row>
    <row r="2501" spans="1:14">
      <c r="A2501" s="194">
        <v>41291.603854166664</v>
      </c>
      <c r="B2501" s="195">
        <v>2131</v>
      </c>
      <c r="C2501" s="194"/>
      <c r="D2501" s="194"/>
      <c r="E2501" s="198"/>
      <c r="G2501" s="202"/>
      <c r="J2501" s="195">
        <v>18</v>
      </c>
      <c r="K2501" s="204" t="s">
        <v>5</v>
      </c>
      <c r="L2501" s="199">
        <v>2</v>
      </c>
      <c r="M2501" s="200">
        <v>0.4</v>
      </c>
      <c r="N2501" s="201">
        <v>26</v>
      </c>
    </row>
    <row r="2502" spans="1:14">
      <c r="A2502" s="194">
        <v>41282.709305555552</v>
      </c>
      <c r="B2502" s="195">
        <v>2131</v>
      </c>
      <c r="C2502" s="194"/>
      <c r="D2502" s="194"/>
      <c r="E2502" s="198"/>
      <c r="G2502" s="202"/>
      <c r="J2502" s="195">
        <v>18</v>
      </c>
      <c r="K2502" s="204" t="s">
        <v>5</v>
      </c>
      <c r="L2502" s="199">
        <v>1</v>
      </c>
      <c r="M2502" s="200">
        <v>1.2</v>
      </c>
      <c r="N2502" s="201">
        <v>26</v>
      </c>
    </row>
    <row r="2503" spans="1:14">
      <c r="A2503" s="194">
        <v>41305.930636574078</v>
      </c>
      <c r="B2503" s="195">
        <v>2131</v>
      </c>
      <c r="C2503" s="194"/>
      <c r="D2503" s="194"/>
      <c r="E2503" s="198"/>
      <c r="G2503" s="202"/>
      <c r="J2503" s="195">
        <v>18</v>
      </c>
      <c r="K2503" s="204" t="s">
        <v>5</v>
      </c>
      <c r="L2503" s="199">
        <v>2</v>
      </c>
      <c r="M2503" s="200">
        <v>20.3</v>
      </c>
      <c r="N2503" s="201">
        <v>35</v>
      </c>
    </row>
    <row r="2504" spans="1:14">
      <c r="A2504" s="194">
        <v>41298.163657407407</v>
      </c>
      <c r="B2504" s="195">
        <v>2131</v>
      </c>
      <c r="C2504" s="194"/>
      <c r="D2504" s="194"/>
      <c r="E2504" s="198"/>
      <c r="G2504" s="202"/>
      <c r="J2504" s="195">
        <v>18</v>
      </c>
      <c r="K2504" s="204" t="s">
        <v>5</v>
      </c>
      <c r="L2504" s="199">
        <v>1</v>
      </c>
      <c r="M2504" s="200">
        <v>0.3</v>
      </c>
      <c r="N2504" s="201">
        <v>39</v>
      </c>
    </row>
    <row r="2505" spans="1:14">
      <c r="A2505" s="194">
        <v>41296.693506944444</v>
      </c>
      <c r="B2505" s="195">
        <v>2131</v>
      </c>
      <c r="C2505" s="194"/>
      <c r="D2505" s="194"/>
      <c r="E2505" s="196" t="s">
        <v>1659</v>
      </c>
      <c r="G2505" s="202"/>
      <c r="J2505" s="195">
        <v>24</v>
      </c>
      <c r="K2505" s="204" t="s">
        <v>25</v>
      </c>
      <c r="L2505" s="199">
        <v>1</v>
      </c>
      <c r="M2505" s="200">
        <v>1</v>
      </c>
      <c r="N2505" s="201">
        <v>17</v>
      </c>
    </row>
    <row r="2506" spans="1:14">
      <c r="A2506" s="194">
        <v>41299.360891203702</v>
      </c>
      <c r="B2506" s="195">
        <v>2131</v>
      </c>
      <c r="C2506" s="194"/>
      <c r="D2506" s="194"/>
      <c r="E2506" s="198"/>
      <c r="G2506" s="202"/>
      <c r="J2506" s="195">
        <v>4400</v>
      </c>
      <c r="K2506" s="204" t="s">
        <v>37</v>
      </c>
      <c r="L2506" s="199">
        <v>2</v>
      </c>
      <c r="M2506" s="200">
        <v>0.8</v>
      </c>
      <c r="N2506" s="201">
        <v>16</v>
      </c>
    </row>
    <row r="2507" spans="1:14">
      <c r="A2507" s="194">
        <v>41275.388622685183</v>
      </c>
      <c r="B2507" s="195">
        <v>2132</v>
      </c>
      <c r="C2507" s="194"/>
      <c r="D2507" s="194"/>
      <c r="E2507" s="196" t="s">
        <v>236</v>
      </c>
      <c r="F2507" s="195">
        <v>456</v>
      </c>
      <c r="G2507" s="197" t="s">
        <v>141</v>
      </c>
      <c r="H2507" s="197" t="s">
        <v>223</v>
      </c>
      <c r="I2507" s="196" t="s">
        <v>226</v>
      </c>
      <c r="J2507" s="195">
        <v>1</v>
      </c>
      <c r="K2507" s="204" t="s">
        <v>224</v>
      </c>
      <c r="L2507" s="199">
        <v>1</v>
      </c>
      <c r="M2507" s="200">
        <v>2.4</v>
      </c>
      <c r="N2507" s="201">
        <v>16</v>
      </c>
    </row>
    <row r="2508" spans="1:14">
      <c r="A2508" s="194">
        <v>41291.598564814813</v>
      </c>
      <c r="B2508" s="195">
        <v>2132</v>
      </c>
      <c r="C2508" s="194"/>
      <c r="D2508" s="194"/>
      <c r="E2508" s="196" t="s">
        <v>324</v>
      </c>
      <c r="F2508" s="195">
        <v>456</v>
      </c>
      <c r="G2508" s="197" t="s">
        <v>141</v>
      </c>
      <c r="H2508" s="197" t="s">
        <v>223</v>
      </c>
      <c r="I2508" s="196" t="s">
        <v>226</v>
      </c>
      <c r="J2508" s="195">
        <v>1</v>
      </c>
      <c r="K2508" s="204" t="s">
        <v>224</v>
      </c>
      <c r="L2508" s="199">
        <v>1</v>
      </c>
      <c r="M2508" s="200">
        <v>0.3</v>
      </c>
      <c r="N2508" s="201">
        <v>20</v>
      </c>
    </row>
    <row r="2509" spans="1:14">
      <c r="A2509" s="194">
        <v>41292.738171296296</v>
      </c>
      <c r="B2509" s="195">
        <v>2132</v>
      </c>
      <c r="C2509" s="194"/>
      <c r="D2509" s="194"/>
      <c r="E2509" s="196" t="s">
        <v>330</v>
      </c>
      <c r="F2509" s="195">
        <v>456</v>
      </c>
      <c r="G2509" s="197" t="s">
        <v>141</v>
      </c>
      <c r="H2509" s="197" t="s">
        <v>223</v>
      </c>
      <c r="I2509" s="196" t="s">
        <v>226</v>
      </c>
      <c r="J2509" s="195">
        <v>1</v>
      </c>
      <c r="K2509" s="204" t="s">
        <v>224</v>
      </c>
      <c r="L2509" s="199">
        <v>1</v>
      </c>
      <c r="M2509" s="200">
        <v>0.4</v>
      </c>
      <c r="N2509" s="201">
        <v>21</v>
      </c>
    </row>
    <row r="2510" spans="1:14">
      <c r="A2510" s="194">
        <v>41278.872685185182</v>
      </c>
      <c r="B2510" s="195">
        <v>2132</v>
      </c>
      <c r="C2510" s="194"/>
      <c r="D2510" s="194"/>
      <c r="E2510" s="196" t="s">
        <v>264</v>
      </c>
      <c r="F2510" s="195">
        <v>456</v>
      </c>
      <c r="G2510" s="197" t="s">
        <v>141</v>
      </c>
      <c r="H2510" s="197" t="s">
        <v>223</v>
      </c>
      <c r="I2510" s="196" t="s">
        <v>226</v>
      </c>
      <c r="J2510" s="195">
        <v>1</v>
      </c>
      <c r="K2510" s="204" t="s">
        <v>224</v>
      </c>
      <c r="L2510" s="199">
        <v>1</v>
      </c>
      <c r="M2510" s="200">
        <v>0.5</v>
      </c>
      <c r="N2510" s="201">
        <v>21</v>
      </c>
    </row>
    <row r="2511" spans="1:14">
      <c r="A2511" s="194">
        <v>41288.653379629628</v>
      </c>
      <c r="B2511" s="195">
        <v>2132</v>
      </c>
      <c r="C2511" s="194"/>
      <c r="D2511" s="194"/>
      <c r="E2511" s="196" t="s">
        <v>310</v>
      </c>
      <c r="F2511" s="195">
        <v>456</v>
      </c>
      <c r="G2511" s="197" t="s">
        <v>141</v>
      </c>
      <c r="H2511" s="197" t="s">
        <v>223</v>
      </c>
      <c r="I2511" s="196" t="s">
        <v>226</v>
      </c>
      <c r="J2511" s="195">
        <v>1</v>
      </c>
      <c r="K2511" s="204" t="s">
        <v>224</v>
      </c>
      <c r="L2511" s="199">
        <v>1</v>
      </c>
      <c r="M2511" s="200">
        <v>0.3</v>
      </c>
      <c r="N2511" s="201">
        <v>22</v>
      </c>
    </row>
    <row r="2512" spans="1:14">
      <c r="A2512" s="194">
        <v>41283.65053240741</v>
      </c>
      <c r="B2512" s="195">
        <v>2132</v>
      </c>
      <c r="C2512" s="194"/>
      <c r="D2512" s="194"/>
      <c r="E2512" s="196" t="s">
        <v>287</v>
      </c>
      <c r="F2512" s="195">
        <v>456</v>
      </c>
      <c r="G2512" s="197" t="s">
        <v>141</v>
      </c>
      <c r="H2512" s="197" t="s">
        <v>223</v>
      </c>
      <c r="I2512" s="196" t="s">
        <v>226</v>
      </c>
      <c r="J2512" s="195">
        <v>1</v>
      </c>
      <c r="K2512" s="204" t="s">
        <v>224</v>
      </c>
      <c r="L2512" s="199">
        <v>1</v>
      </c>
      <c r="M2512" s="200">
        <v>0.4</v>
      </c>
      <c r="N2512" s="201">
        <v>22</v>
      </c>
    </row>
    <row r="2513" spans="1:14">
      <c r="A2513" s="194">
        <v>41284.345671296294</v>
      </c>
      <c r="B2513" s="195">
        <v>2132</v>
      </c>
      <c r="C2513" s="194"/>
      <c r="D2513" s="194"/>
      <c r="E2513" s="196" t="s">
        <v>299</v>
      </c>
      <c r="F2513" s="195">
        <v>456</v>
      </c>
      <c r="G2513" s="197" t="s">
        <v>141</v>
      </c>
      <c r="H2513" s="197" t="s">
        <v>223</v>
      </c>
      <c r="I2513" s="196" t="s">
        <v>226</v>
      </c>
      <c r="J2513" s="195">
        <v>1</v>
      </c>
      <c r="K2513" s="204" t="s">
        <v>224</v>
      </c>
      <c r="L2513" s="199">
        <v>1</v>
      </c>
      <c r="M2513" s="200">
        <v>0.3</v>
      </c>
      <c r="N2513" s="201">
        <v>26</v>
      </c>
    </row>
    <row r="2514" spans="1:14">
      <c r="A2514" s="194">
        <v>41291.436064814814</v>
      </c>
      <c r="B2514" s="195">
        <v>2132</v>
      </c>
      <c r="C2514" s="194"/>
      <c r="D2514" s="194"/>
      <c r="E2514" s="196" t="s">
        <v>323</v>
      </c>
      <c r="F2514" s="195">
        <v>456</v>
      </c>
      <c r="G2514" s="197" t="s">
        <v>141</v>
      </c>
      <c r="H2514" s="197" t="s">
        <v>223</v>
      </c>
      <c r="I2514" s="196" t="s">
        <v>226</v>
      </c>
      <c r="J2514" s="195">
        <v>1</v>
      </c>
      <c r="K2514" s="204" t="s">
        <v>224</v>
      </c>
      <c r="L2514" s="199">
        <v>1</v>
      </c>
      <c r="M2514" s="200">
        <v>0.5</v>
      </c>
      <c r="N2514" s="201">
        <v>29</v>
      </c>
    </row>
    <row r="2515" spans="1:14">
      <c r="A2515" s="194">
        <v>41291.891631944447</v>
      </c>
      <c r="B2515" s="195">
        <v>2132</v>
      </c>
      <c r="C2515" s="194"/>
      <c r="D2515" s="194"/>
      <c r="E2515" s="196" t="s">
        <v>325</v>
      </c>
      <c r="F2515" s="195">
        <v>456</v>
      </c>
      <c r="G2515" s="197" t="s">
        <v>141</v>
      </c>
      <c r="H2515" s="197" t="s">
        <v>223</v>
      </c>
      <c r="I2515" s="196" t="s">
        <v>226</v>
      </c>
      <c r="J2515" s="195">
        <v>1</v>
      </c>
      <c r="K2515" s="204" t="s">
        <v>224</v>
      </c>
      <c r="L2515" s="199">
        <v>2</v>
      </c>
      <c r="M2515" s="200">
        <v>0.4</v>
      </c>
      <c r="N2515" s="201">
        <v>34</v>
      </c>
    </row>
    <row r="2516" spans="1:14">
      <c r="A2516" s="194">
        <v>41290.59716435185</v>
      </c>
      <c r="B2516" s="195">
        <v>2132</v>
      </c>
      <c r="C2516" s="194"/>
      <c r="D2516" s="194"/>
      <c r="E2516" s="196" t="s">
        <v>315</v>
      </c>
      <c r="F2516" s="195">
        <v>456</v>
      </c>
      <c r="G2516" s="197" t="s">
        <v>141</v>
      </c>
      <c r="H2516" s="197" t="s">
        <v>223</v>
      </c>
      <c r="I2516" s="196" t="s">
        <v>226</v>
      </c>
      <c r="J2516" s="195">
        <v>1</v>
      </c>
      <c r="K2516" s="204" t="s">
        <v>224</v>
      </c>
      <c r="L2516" s="199">
        <v>1</v>
      </c>
      <c r="M2516" s="200">
        <v>0.4</v>
      </c>
      <c r="N2516" s="201">
        <v>38</v>
      </c>
    </row>
    <row r="2517" spans="1:14">
      <c r="A2517" s="194">
        <v>41277.580300925925</v>
      </c>
      <c r="B2517" s="195">
        <v>2132</v>
      </c>
      <c r="C2517" s="194"/>
      <c r="D2517" s="194"/>
      <c r="E2517" s="196" t="s">
        <v>625</v>
      </c>
      <c r="F2517" s="195">
        <v>800</v>
      </c>
      <c r="G2517" s="197" t="s">
        <v>470</v>
      </c>
      <c r="H2517" s="197" t="s">
        <v>471</v>
      </c>
      <c r="J2517" s="195">
        <v>1</v>
      </c>
      <c r="K2517" s="204" t="s">
        <v>224</v>
      </c>
      <c r="L2517" s="199">
        <v>1</v>
      </c>
      <c r="M2517" s="200">
        <v>1.1000000000000001</v>
      </c>
      <c r="N2517" s="201">
        <v>16</v>
      </c>
    </row>
    <row r="2518" spans="1:14">
      <c r="A2518" s="194">
        <v>41283.54011574074</v>
      </c>
      <c r="B2518" s="195">
        <v>2132</v>
      </c>
      <c r="C2518" s="194"/>
      <c r="D2518" s="194"/>
      <c r="E2518" s="196" t="s">
        <v>767</v>
      </c>
      <c r="F2518" s="195">
        <v>800</v>
      </c>
      <c r="G2518" s="197" t="s">
        <v>470</v>
      </c>
      <c r="H2518" s="197" t="s">
        <v>471</v>
      </c>
      <c r="J2518" s="195">
        <v>1</v>
      </c>
      <c r="K2518" s="204" t="s">
        <v>224</v>
      </c>
      <c r="L2518" s="199">
        <v>2</v>
      </c>
      <c r="M2518" s="200">
        <v>1.4</v>
      </c>
      <c r="N2518" s="201">
        <v>16</v>
      </c>
    </row>
    <row r="2519" spans="1:14">
      <c r="A2519" s="194">
        <v>41289.762430555558</v>
      </c>
      <c r="B2519" s="195">
        <v>2132</v>
      </c>
      <c r="C2519" s="194"/>
      <c r="D2519" s="194"/>
      <c r="E2519" s="196" t="s">
        <v>1013</v>
      </c>
      <c r="F2519" s="195">
        <v>800</v>
      </c>
      <c r="G2519" s="197" t="s">
        <v>470</v>
      </c>
      <c r="H2519" s="197" t="s">
        <v>471</v>
      </c>
      <c r="J2519" s="195">
        <v>1</v>
      </c>
      <c r="K2519" s="204" t="s">
        <v>224</v>
      </c>
      <c r="L2519" s="199">
        <v>1</v>
      </c>
      <c r="M2519" s="200">
        <v>0.6</v>
      </c>
      <c r="N2519" s="201">
        <v>17</v>
      </c>
    </row>
    <row r="2520" spans="1:14">
      <c r="A2520" s="194">
        <v>41303.548055555555</v>
      </c>
      <c r="B2520" s="195">
        <v>2132</v>
      </c>
      <c r="C2520" s="194"/>
      <c r="D2520" s="194"/>
      <c r="E2520" s="196" t="s">
        <v>1499</v>
      </c>
      <c r="F2520" s="195">
        <v>800</v>
      </c>
      <c r="G2520" s="197" t="s">
        <v>470</v>
      </c>
      <c r="H2520" s="197" t="s">
        <v>471</v>
      </c>
      <c r="J2520" s="195">
        <v>1</v>
      </c>
      <c r="K2520" s="204" t="s">
        <v>224</v>
      </c>
      <c r="L2520" s="199">
        <v>1</v>
      </c>
      <c r="M2520" s="200">
        <v>1.2</v>
      </c>
      <c r="N2520" s="201">
        <v>17</v>
      </c>
    </row>
    <row r="2521" spans="1:14">
      <c r="A2521" s="194">
        <v>41289.379780092589</v>
      </c>
      <c r="B2521" s="195">
        <v>2132</v>
      </c>
      <c r="C2521" s="194"/>
      <c r="D2521" s="194"/>
      <c r="E2521" s="196" t="s">
        <v>1011</v>
      </c>
      <c r="F2521" s="195">
        <v>800</v>
      </c>
      <c r="G2521" s="197" t="s">
        <v>470</v>
      </c>
      <c r="H2521" s="197" t="s">
        <v>471</v>
      </c>
      <c r="J2521" s="195">
        <v>1</v>
      </c>
      <c r="K2521" s="204" t="s">
        <v>224</v>
      </c>
      <c r="L2521" s="199">
        <v>1</v>
      </c>
      <c r="M2521" s="200">
        <v>0.6</v>
      </c>
      <c r="N2521" s="201">
        <v>21</v>
      </c>
    </row>
    <row r="2522" spans="1:14">
      <c r="A2522" s="194">
        <v>41291.556898148148</v>
      </c>
      <c r="B2522" s="195">
        <v>2132</v>
      </c>
      <c r="C2522" s="194"/>
      <c r="D2522" s="194"/>
      <c r="E2522" s="196" t="s">
        <v>1113</v>
      </c>
      <c r="F2522" s="195">
        <v>800</v>
      </c>
      <c r="G2522" s="197" t="s">
        <v>470</v>
      </c>
      <c r="H2522" s="197" t="s">
        <v>471</v>
      </c>
      <c r="J2522" s="195">
        <v>1</v>
      </c>
      <c r="K2522" s="204" t="s">
        <v>224</v>
      </c>
      <c r="L2522" s="199">
        <v>1</v>
      </c>
      <c r="M2522" s="200">
        <v>0.6</v>
      </c>
      <c r="N2522" s="201">
        <v>28</v>
      </c>
    </row>
    <row r="2523" spans="1:14">
      <c r="A2523" s="194">
        <v>41292.113865740743</v>
      </c>
      <c r="B2523" s="195">
        <v>2132</v>
      </c>
      <c r="C2523" s="194"/>
      <c r="D2523" s="194"/>
      <c r="E2523" s="196" t="s">
        <v>1168</v>
      </c>
      <c r="F2523" s="195">
        <v>800</v>
      </c>
      <c r="G2523" s="197" t="s">
        <v>470</v>
      </c>
      <c r="H2523" s="197" t="s">
        <v>471</v>
      </c>
      <c r="J2523" s="195">
        <v>1</v>
      </c>
      <c r="K2523" s="204" t="s">
        <v>224</v>
      </c>
      <c r="L2523" s="199">
        <v>1</v>
      </c>
      <c r="M2523" s="200">
        <v>0.8</v>
      </c>
      <c r="N2523" s="201">
        <v>31</v>
      </c>
    </row>
    <row r="2524" spans="1:14">
      <c r="A2524" s="194">
        <v>41284.332488425927</v>
      </c>
      <c r="B2524" s="195">
        <v>2132</v>
      </c>
      <c r="C2524" s="194"/>
      <c r="D2524" s="194"/>
      <c r="E2524" s="196" t="s">
        <v>857</v>
      </c>
      <c r="F2524" s="195">
        <v>800</v>
      </c>
      <c r="G2524" s="197" t="s">
        <v>470</v>
      </c>
      <c r="H2524" s="197" t="s">
        <v>471</v>
      </c>
      <c r="J2524" s="195">
        <v>1</v>
      </c>
      <c r="K2524" s="204" t="s">
        <v>224</v>
      </c>
      <c r="L2524" s="199">
        <v>2</v>
      </c>
      <c r="M2524" s="200">
        <v>1.4</v>
      </c>
      <c r="N2524" s="201">
        <v>36</v>
      </c>
    </row>
    <row r="2525" spans="1:14">
      <c r="A2525" s="194">
        <v>41300.00513888889</v>
      </c>
      <c r="B2525" s="195">
        <v>2132</v>
      </c>
      <c r="C2525" s="194"/>
      <c r="D2525" s="194"/>
      <c r="E2525" s="198"/>
      <c r="G2525" s="202"/>
      <c r="J2525" s="195">
        <v>2</v>
      </c>
      <c r="K2525" s="204" t="s">
        <v>32</v>
      </c>
      <c r="L2525" s="199">
        <v>2</v>
      </c>
      <c r="M2525" s="200">
        <v>17</v>
      </c>
      <c r="N2525" s="201">
        <v>12</v>
      </c>
    </row>
    <row r="2526" spans="1:14">
      <c r="A2526" s="194">
        <v>41295.646539351852</v>
      </c>
      <c r="B2526" s="195">
        <v>2132</v>
      </c>
      <c r="C2526" s="194"/>
      <c r="D2526" s="194"/>
      <c r="E2526" s="198"/>
      <c r="G2526" s="202"/>
      <c r="J2526" s="195">
        <v>2</v>
      </c>
      <c r="K2526" s="204" t="s">
        <v>32</v>
      </c>
      <c r="L2526" s="199">
        <v>1</v>
      </c>
      <c r="M2526" s="200">
        <v>0.3</v>
      </c>
      <c r="N2526" s="201">
        <v>18</v>
      </c>
    </row>
    <row r="2527" spans="1:14">
      <c r="A2527" s="194">
        <v>41285.681111111109</v>
      </c>
      <c r="B2527" s="195">
        <v>2132</v>
      </c>
      <c r="C2527" s="194"/>
      <c r="D2527" s="194"/>
      <c r="E2527" s="198"/>
      <c r="G2527" s="202"/>
      <c r="J2527" s="195">
        <v>2</v>
      </c>
      <c r="K2527" s="204" t="s">
        <v>32</v>
      </c>
      <c r="L2527" s="199">
        <v>2</v>
      </c>
      <c r="M2527" s="200">
        <v>0.3</v>
      </c>
      <c r="N2527" s="201">
        <v>18</v>
      </c>
    </row>
    <row r="2528" spans="1:14">
      <c r="A2528" s="194">
        <v>41290.497858796298</v>
      </c>
      <c r="B2528" s="195">
        <v>2132</v>
      </c>
      <c r="C2528" s="194"/>
      <c r="D2528" s="194"/>
      <c r="E2528" s="198"/>
      <c r="G2528" s="202"/>
      <c r="J2528" s="195">
        <v>2</v>
      </c>
      <c r="K2528" s="204" t="s">
        <v>32</v>
      </c>
      <c r="L2528" s="199">
        <v>1</v>
      </c>
      <c r="M2528" s="200">
        <v>0.5</v>
      </c>
      <c r="N2528" s="201">
        <v>20</v>
      </c>
    </row>
    <row r="2529" spans="1:14">
      <c r="A2529" s="194">
        <v>41297.564629629633</v>
      </c>
      <c r="B2529" s="195">
        <v>2132</v>
      </c>
      <c r="C2529" s="194"/>
      <c r="D2529" s="194"/>
      <c r="E2529" s="198"/>
      <c r="G2529" s="202"/>
      <c r="J2529" s="195">
        <v>2</v>
      </c>
      <c r="K2529" s="204" t="s">
        <v>32</v>
      </c>
      <c r="L2529" s="199">
        <v>2</v>
      </c>
      <c r="M2529" s="200">
        <v>0.8</v>
      </c>
      <c r="N2529" s="201">
        <v>20</v>
      </c>
    </row>
    <row r="2530" spans="1:14">
      <c r="A2530" s="194">
        <v>41284.68109953704</v>
      </c>
      <c r="B2530" s="195">
        <v>2132</v>
      </c>
      <c r="C2530" s="194"/>
      <c r="D2530" s="194"/>
      <c r="E2530" s="198"/>
      <c r="G2530" s="202"/>
      <c r="J2530" s="195">
        <v>2</v>
      </c>
      <c r="K2530" s="204" t="s">
        <v>32</v>
      </c>
      <c r="L2530" s="199">
        <v>1</v>
      </c>
      <c r="M2530" s="200">
        <v>0.4</v>
      </c>
      <c r="N2530" s="201">
        <v>21</v>
      </c>
    </row>
    <row r="2531" spans="1:14">
      <c r="A2531" s="194">
        <v>41294.493067129632</v>
      </c>
      <c r="B2531" s="195">
        <v>2132</v>
      </c>
      <c r="C2531" s="194"/>
      <c r="D2531" s="194"/>
      <c r="E2531" s="198"/>
      <c r="G2531" s="202"/>
      <c r="J2531" s="195">
        <v>2</v>
      </c>
      <c r="K2531" s="204" t="s">
        <v>32</v>
      </c>
      <c r="L2531" s="199">
        <v>1</v>
      </c>
      <c r="M2531" s="200">
        <v>1.8</v>
      </c>
      <c r="N2531" s="201">
        <v>24</v>
      </c>
    </row>
    <row r="2532" spans="1:14">
      <c r="A2532" s="194">
        <v>41289.702708333331</v>
      </c>
      <c r="B2532" s="195">
        <v>2132</v>
      </c>
      <c r="C2532" s="194"/>
      <c r="D2532" s="194"/>
      <c r="E2532" s="198"/>
      <c r="G2532" s="202"/>
      <c r="J2532" s="195">
        <v>2</v>
      </c>
      <c r="K2532" s="204" t="s">
        <v>32</v>
      </c>
      <c r="L2532" s="199">
        <v>1</v>
      </c>
      <c r="M2532" s="200">
        <v>0.4</v>
      </c>
      <c r="N2532" s="201">
        <v>25</v>
      </c>
    </row>
    <row r="2533" spans="1:14">
      <c r="A2533" s="194">
        <v>41293.775682870371</v>
      </c>
      <c r="B2533" s="195">
        <v>2132</v>
      </c>
      <c r="C2533" s="194"/>
      <c r="D2533" s="194"/>
      <c r="E2533" s="198"/>
      <c r="G2533" s="202"/>
      <c r="J2533" s="195">
        <v>2</v>
      </c>
      <c r="K2533" s="204" t="s">
        <v>32</v>
      </c>
      <c r="L2533" s="199">
        <v>1</v>
      </c>
      <c r="M2533" s="200">
        <v>0.6</v>
      </c>
      <c r="N2533" s="201">
        <v>28</v>
      </c>
    </row>
    <row r="2534" spans="1:14">
      <c r="A2534" s="194">
        <v>41276.421944444446</v>
      </c>
      <c r="B2534" s="195">
        <v>2132</v>
      </c>
      <c r="C2534" s="194"/>
      <c r="D2534" s="194"/>
      <c r="E2534" s="198"/>
      <c r="G2534" s="202"/>
      <c r="J2534" s="195">
        <v>2</v>
      </c>
      <c r="K2534" s="204" t="s">
        <v>32</v>
      </c>
      <c r="L2534" s="199">
        <v>2</v>
      </c>
      <c r="M2534" s="200">
        <v>0.6</v>
      </c>
      <c r="N2534" s="201">
        <v>29</v>
      </c>
    </row>
    <row r="2535" spans="1:14">
      <c r="A2535" s="194">
        <v>41283.594988425924</v>
      </c>
      <c r="B2535" s="195">
        <v>2132</v>
      </c>
      <c r="C2535" s="194"/>
      <c r="D2535" s="194"/>
      <c r="E2535" s="198"/>
      <c r="G2535" s="202"/>
      <c r="J2535" s="195">
        <v>2</v>
      </c>
      <c r="K2535" s="204" t="s">
        <v>32</v>
      </c>
      <c r="L2535" s="199">
        <v>1</v>
      </c>
      <c r="M2535" s="200">
        <v>1.4</v>
      </c>
      <c r="N2535" s="201">
        <v>32</v>
      </c>
    </row>
    <row r="2536" spans="1:14">
      <c r="A2536" s="194">
        <v>41280.661597222221</v>
      </c>
      <c r="B2536" s="195">
        <v>2132</v>
      </c>
      <c r="C2536" s="194"/>
      <c r="D2536" s="194"/>
      <c r="E2536" s="198"/>
      <c r="G2536" s="202"/>
      <c r="J2536" s="195">
        <v>3</v>
      </c>
      <c r="K2536" s="204" t="s">
        <v>1595</v>
      </c>
      <c r="L2536" s="199">
        <v>2</v>
      </c>
      <c r="M2536" s="200">
        <v>0.4</v>
      </c>
      <c r="N2536" s="201">
        <v>16</v>
      </c>
    </row>
    <row r="2537" spans="1:14">
      <c r="A2537" s="194">
        <v>41296.327800925923</v>
      </c>
      <c r="B2537" s="195">
        <v>2132</v>
      </c>
      <c r="C2537" s="194"/>
      <c r="D2537" s="194"/>
      <c r="E2537" s="198"/>
      <c r="G2537" s="202"/>
      <c r="J2537" s="195">
        <v>3</v>
      </c>
      <c r="K2537" s="204" t="s">
        <v>1595</v>
      </c>
      <c r="L2537" s="199">
        <v>1</v>
      </c>
      <c r="M2537" s="200">
        <v>0.6</v>
      </c>
      <c r="N2537" s="201">
        <v>17</v>
      </c>
    </row>
    <row r="2538" spans="1:14">
      <c r="A2538" s="194">
        <v>41279.660196759258</v>
      </c>
      <c r="B2538" s="195">
        <v>2132</v>
      </c>
      <c r="C2538" s="194"/>
      <c r="D2538" s="194"/>
      <c r="E2538" s="198"/>
      <c r="G2538" s="202"/>
      <c r="J2538" s="195">
        <v>3</v>
      </c>
      <c r="K2538" s="204" t="s">
        <v>1595</v>
      </c>
      <c r="L2538" s="199">
        <v>2</v>
      </c>
      <c r="M2538" s="200">
        <v>0.8</v>
      </c>
      <c r="N2538" s="201">
        <v>18</v>
      </c>
    </row>
    <row r="2539" spans="1:14">
      <c r="A2539" s="194">
        <v>41278.614340277774</v>
      </c>
      <c r="B2539" s="195">
        <v>2132</v>
      </c>
      <c r="C2539" s="194"/>
      <c r="D2539" s="194"/>
      <c r="E2539" s="198"/>
      <c r="G2539" s="202"/>
      <c r="J2539" s="195">
        <v>3</v>
      </c>
      <c r="K2539" s="204" t="s">
        <v>1595</v>
      </c>
      <c r="L2539" s="199">
        <v>1</v>
      </c>
      <c r="M2539" s="200">
        <v>0.4</v>
      </c>
      <c r="N2539" s="201">
        <v>20</v>
      </c>
    </row>
    <row r="2540" spans="1:14">
      <c r="A2540" s="194">
        <v>41280.46665509259</v>
      </c>
      <c r="B2540" s="195">
        <v>2132</v>
      </c>
      <c r="C2540" s="194"/>
      <c r="D2540" s="194"/>
      <c r="E2540" s="198"/>
      <c r="G2540" s="202"/>
      <c r="J2540" s="195">
        <v>3</v>
      </c>
      <c r="K2540" s="204" t="s">
        <v>1595</v>
      </c>
      <c r="L2540" s="199">
        <v>1</v>
      </c>
      <c r="M2540" s="200">
        <v>18</v>
      </c>
      <c r="N2540" s="201">
        <v>21</v>
      </c>
    </row>
    <row r="2541" spans="1:14">
      <c r="A2541" s="194">
        <v>41303.780706018515</v>
      </c>
      <c r="B2541" s="195">
        <v>2132</v>
      </c>
      <c r="C2541" s="194"/>
      <c r="D2541" s="194"/>
      <c r="E2541" s="198"/>
      <c r="G2541" s="202"/>
      <c r="J2541" s="195">
        <v>3</v>
      </c>
      <c r="K2541" s="204" t="s">
        <v>1595</v>
      </c>
      <c r="L2541" s="199">
        <v>1</v>
      </c>
      <c r="M2541" s="200">
        <v>0.7</v>
      </c>
      <c r="N2541" s="201">
        <v>25</v>
      </c>
    </row>
    <row r="2542" spans="1:14">
      <c r="A2542" s="194">
        <v>41281.403263888889</v>
      </c>
      <c r="B2542" s="195">
        <v>2132</v>
      </c>
      <c r="C2542" s="194"/>
      <c r="D2542" s="194"/>
      <c r="E2542" s="198"/>
      <c r="G2542" s="202"/>
      <c r="J2542" s="195">
        <v>7</v>
      </c>
      <c r="K2542" s="204" t="s">
        <v>30</v>
      </c>
      <c r="L2542" s="199">
        <v>2</v>
      </c>
      <c r="M2542" s="200">
        <v>0.3</v>
      </c>
      <c r="N2542" s="201">
        <v>16</v>
      </c>
    </row>
    <row r="2543" spans="1:14">
      <c r="A2543" s="194">
        <v>41301.313298611109</v>
      </c>
      <c r="B2543" s="195">
        <v>2132</v>
      </c>
      <c r="C2543" s="194"/>
      <c r="D2543" s="194"/>
      <c r="E2543" s="196" t="s">
        <v>1629</v>
      </c>
      <c r="G2543" s="202"/>
      <c r="J2543" s="195">
        <v>7</v>
      </c>
      <c r="K2543" s="204" t="s">
        <v>30</v>
      </c>
      <c r="L2543" s="199">
        <v>2</v>
      </c>
      <c r="M2543" s="200">
        <v>1.5</v>
      </c>
      <c r="N2543" s="201">
        <v>17</v>
      </c>
    </row>
    <row r="2544" spans="1:14">
      <c r="A2544" s="194">
        <v>41293.609710648147</v>
      </c>
      <c r="B2544" s="195">
        <v>2132</v>
      </c>
      <c r="C2544" s="194"/>
      <c r="D2544" s="194"/>
      <c r="E2544" s="196" t="s">
        <v>1831</v>
      </c>
      <c r="G2544" s="202"/>
      <c r="J2544" s="195">
        <v>10</v>
      </c>
      <c r="K2544" s="204" t="s">
        <v>31</v>
      </c>
      <c r="L2544" s="199">
        <v>2</v>
      </c>
      <c r="M2544" s="200">
        <v>0.8</v>
      </c>
      <c r="N2544" s="201">
        <v>16</v>
      </c>
    </row>
    <row r="2545" spans="1:14">
      <c r="A2545" s="194">
        <v>41296.581979166665</v>
      </c>
      <c r="B2545" s="195">
        <v>2132</v>
      </c>
      <c r="C2545" s="194"/>
      <c r="D2545" s="194"/>
      <c r="E2545" s="198"/>
      <c r="G2545" s="202"/>
      <c r="J2545" s="195">
        <v>10</v>
      </c>
      <c r="K2545" s="204" t="s">
        <v>31</v>
      </c>
      <c r="L2545" s="199">
        <v>1</v>
      </c>
      <c r="M2545" s="200">
        <v>0.7</v>
      </c>
      <c r="N2545" s="201">
        <v>17</v>
      </c>
    </row>
    <row r="2546" spans="1:14">
      <c r="A2546" s="194">
        <v>41278.688645833332</v>
      </c>
      <c r="B2546" s="195">
        <v>2132</v>
      </c>
      <c r="C2546" s="194"/>
      <c r="D2546" s="194"/>
      <c r="E2546" s="198"/>
      <c r="G2546" s="202"/>
      <c r="J2546" s="195">
        <v>10</v>
      </c>
      <c r="K2546" s="204" t="s">
        <v>31</v>
      </c>
      <c r="L2546" s="199">
        <v>1</v>
      </c>
      <c r="M2546" s="200">
        <v>0.7</v>
      </c>
      <c r="N2546" s="201">
        <v>18</v>
      </c>
    </row>
    <row r="2547" spans="1:14">
      <c r="A2547" s="194">
        <v>41297.52784722222</v>
      </c>
      <c r="B2547" s="195">
        <v>2132</v>
      </c>
      <c r="C2547" s="194"/>
      <c r="D2547" s="194"/>
      <c r="E2547" s="198"/>
      <c r="G2547" s="202"/>
      <c r="J2547" s="195">
        <v>10</v>
      </c>
      <c r="K2547" s="204" t="s">
        <v>31</v>
      </c>
      <c r="L2547" s="199">
        <v>2</v>
      </c>
      <c r="M2547" s="200">
        <v>2.6</v>
      </c>
      <c r="N2547" s="201">
        <v>20</v>
      </c>
    </row>
    <row r="2548" spans="1:14">
      <c r="A2548" s="194">
        <v>41296.6250462963</v>
      </c>
      <c r="B2548" s="195">
        <v>2132</v>
      </c>
      <c r="C2548" s="194"/>
      <c r="D2548" s="194"/>
      <c r="E2548" s="198"/>
      <c r="G2548" s="202"/>
      <c r="J2548" s="195">
        <v>10</v>
      </c>
      <c r="K2548" s="204" t="s">
        <v>31</v>
      </c>
      <c r="L2548" s="199">
        <v>1</v>
      </c>
      <c r="M2548" s="200">
        <v>2</v>
      </c>
      <c r="N2548" s="201">
        <v>22</v>
      </c>
    </row>
    <row r="2549" spans="1:14">
      <c r="A2549" s="194">
        <v>41286.315150462964</v>
      </c>
      <c r="B2549" s="195">
        <v>2132</v>
      </c>
      <c r="C2549" s="194"/>
      <c r="D2549" s="194"/>
      <c r="E2549" s="198"/>
      <c r="G2549" s="202"/>
      <c r="J2549" s="195">
        <v>11</v>
      </c>
      <c r="K2549" s="204" t="s">
        <v>1</v>
      </c>
      <c r="L2549" s="199">
        <v>1</v>
      </c>
      <c r="M2549" s="200">
        <v>0.3</v>
      </c>
      <c r="N2549" s="201">
        <v>38</v>
      </c>
    </row>
    <row r="2550" spans="1:14">
      <c r="A2550" s="194">
        <v>41293.030543981484</v>
      </c>
      <c r="B2550" s="195">
        <v>2132</v>
      </c>
      <c r="C2550" s="194"/>
      <c r="D2550" s="194"/>
      <c r="E2550" s="198"/>
      <c r="G2550" s="202"/>
      <c r="J2550" s="195">
        <v>12</v>
      </c>
      <c r="K2550" s="204" t="s">
        <v>7</v>
      </c>
      <c r="L2550" s="199">
        <v>2</v>
      </c>
      <c r="M2550" s="200">
        <v>0.9</v>
      </c>
      <c r="N2550" s="201">
        <v>16</v>
      </c>
    </row>
    <row r="2551" spans="1:14">
      <c r="A2551" s="194">
        <v>41285.612372685187</v>
      </c>
      <c r="B2551" s="195">
        <v>2132</v>
      </c>
      <c r="C2551" s="194"/>
      <c r="D2551" s="194"/>
      <c r="E2551" s="198"/>
      <c r="G2551" s="202"/>
      <c r="J2551" s="195">
        <v>12</v>
      </c>
      <c r="K2551" s="204" t="s">
        <v>7</v>
      </c>
      <c r="L2551" s="199">
        <v>2</v>
      </c>
      <c r="M2551" s="200">
        <v>1.3</v>
      </c>
      <c r="N2551" s="201">
        <v>17</v>
      </c>
    </row>
    <row r="2552" spans="1:14">
      <c r="A2552" s="194">
        <v>41277.756018518521</v>
      </c>
      <c r="B2552" s="195">
        <v>2132</v>
      </c>
      <c r="C2552" s="194"/>
      <c r="D2552" s="194"/>
      <c r="E2552" s="198"/>
      <c r="G2552" s="202"/>
      <c r="J2552" s="195">
        <v>12</v>
      </c>
      <c r="K2552" s="204" t="s">
        <v>7</v>
      </c>
      <c r="L2552" s="199">
        <v>1</v>
      </c>
      <c r="M2552" s="200">
        <v>2.2000000000000002</v>
      </c>
      <c r="N2552" s="201">
        <v>17</v>
      </c>
    </row>
    <row r="2553" spans="1:14">
      <c r="A2553" s="194">
        <v>41299.461180555554</v>
      </c>
      <c r="B2553" s="195">
        <v>2132</v>
      </c>
      <c r="C2553" s="194"/>
      <c r="D2553" s="194"/>
      <c r="E2553" s="196" t="s">
        <v>2069</v>
      </c>
      <c r="G2553" s="202"/>
      <c r="J2553" s="195">
        <v>12</v>
      </c>
      <c r="K2553" s="204" t="s">
        <v>7</v>
      </c>
      <c r="L2553" s="199">
        <v>2</v>
      </c>
      <c r="M2553" s="200">
        <v>0.8</v>
      </c>
      <c r="N2553" s="201">
        <v>19</v>
      </c>
    </row>
    <row r="2554" spans="1:14">
      <c r="A2554" s="194">
        <v>41283.604004629633</v>
      </c>
      <c r="B2554" s="195">
        <v>2132</v>
      </c>
      <c r="C2554" s="194"/>
      <c r="D2554" s="194"/>
      <c r="E2554" s="198"/>
      <c r="G2554" s="202"/>
      <c r="J2554" s="195">
        <v>12</v>
      </c>
      <c r="K2554" s="204" t="s">
        <v>7</v>
      </c>
      <c r="L2554" s="199">
        <v>1</v>
      </c>
      <c r="M2554" s="200">
        <v>0.4</v>
      </c>
      <c r="N2554" s="201">
        <v>22</v>
      </c>
    </row>
    <row r="2555" spans="1:14">
      <c r="A2555" s="194">
        <v>41303.499432870369</v>
      </c>
      <c r="B2555" s="195">
        <v>2132</v>
      </c>
      <c r="C2555" s="194"/>
      <c r="D2555" s="194"/>
      <c r="E2555" s="196" t="s">
        <v>1987</v>
      </c>
      <c r="G2555" s="202"/>
      <c r="J2555" s="195">
        <v>12</v>
      </c>
      <c r="K2555" s="204" t="s">
        <v>7</v>
      </c>
      <c r="L2555" s="199">
        <v>2</v>
      </c>
      <c r="M2555" s="200">
        <v>0.4</v>
      </c>
      <c r="N2555" s="201">
        <v>28</v>
      </c>
    </row>
    <row r="2556" spans="1:14">
      <c r="A2556" s="194">
        <v>41279.485891203702</v>
      </c>
      <c r="B2556" s="195">
        <v>2132</v>
      </c>
      <c r="C2556" s="194"/>
      <c r="D2556" s="194"/>
      <c r="E2556" s="198"/>
      <c r="G2556" s="202"/>
      <c r="J2556" s="195">
        <v>12</v>
      </c>
      <c r="K2556" s="204" t="s">
        <v>7</v>
      </c>
      <c r="L2556" s="199">
        <v>1</v>
      </c>
      <c r="M2556" s="200">
        <v>0.8</v>
      </c>
      <c r="N2556" s="201">
        <v>28</v>
      </c>
    </row>
    <row r="2557" spans="1:14">
      <c r="A2557" s="194">
        <v>41291.740243055552</v>
      </c>
      <c r="B2557" s="195">
        <v>2132</v>
      </c>
      <c r="C2557" s="194"/>
      <c r="D2557" s="194"/>
      <c r="E2557" s="198"/>
      <c r="G2557" s="202"/>
      <c r="J2557" s="195">
        <v>14</v>
      </c>
      <c r="K2557" s="204" t="s">
        <v>2</v>
      </c>
      <c r="L2557" s="199">
        <v>1</v>
      </c>
      <c r="M2557" s="200">
        <v>0.3</v>
      </c>
      <c r="N2557" s="201">
        <v>18</v>
      </c>
    </row>
    <row r="2558" spans="1:14">
      <c r="A2558" s="194">
        <v>41296.566006944442</v>
      </c>
      <c r="B2558" s="195">
        <v>2132</v>
      </c>
      <c r="C2558" s="194"/>
      <c r="D2558" s="194"/>
      <c r="E2558" s="198"/>
      <c r="G2558" s="202"/>
      <c r="J2558" s="195">
        <v>14</v>
      </c>
      <c r="K2558" s="204" t="s">
        <v>2</v>
      </c>
      <c r="L2558" s="199">
        <v>1</v>
      </c>
      <c r="M2558" s="200">
        <v>0.7</v>
      </c>
      <c r="N2558" s="201">
        <v>29</v>
      </c>
    </row>
    <row r="2559" spans="1:14">
      <c r="A2559" s="194">
        <v>41301.76121527778</v>
      </c>
      <c r="B2559" s="195">
        <v>2132</v>
      </c>
      <c r="C2559" s="194"/>
      <c r="D2559" s="194"/>
      <c r="E2559" s="198"/>
      <c r="G2559" s="202"/>
      <c r="J2559" s="195">
        <v>15</v>
      </c>
      <c r="K2559" s="204" t="s">
        <v>4</v>
      </c>
      <c r="L2559" s="199">
        <v>2</v>
      </c>
      <c r="M2559" s="200">
        <v>0.5</v>
      </c>
      <c r="N2559" s="201">
        <v>16</v>
      </c>
    </row>
    <row r="2560" spans="1:14">
      <c r="A2560" s="194">
        <v>41285.415138888886</v>
      </c>
      <c r="B2560" s="195">
        <v>2132</v>
      </c>
      <c r="C2560" s="194"/>
      <c r="D2560" s="194"/>
      <c r="E2560" s="198"/>
      <c r="G2560" s="202"/>
      <c r="J2560" s="195">
        <v>15</v>
      </c>
      <c r="K2560" s="204" t="s">
        <v>4</v>
      </c>
      <c r="L2560" s="199">
        <v>2</v>
      </c>
      <c r="M2560" s="200">
        <v>0.3</v>
      </c>
      <c r="N2560" s="201">
        <v>17</v>
      </c>
    </row>
    <row r="2561" spans="1:14">
      <c r="A2561" s="194">
        <v>41277.379594907405</v>
      </c>
      <c r="B2561" s="195">
        <v>2132</v>
      </c>
      <c r="C2561" s="194"/>
      <c r="D2561" s="194"/>
      <c r="E2561" s="198"/>
      <c r="G2561" s="202"/>
      <c r="J2561" s="195">
        <v>15</v>
      </c>
      <c r="K2561" s="204" t="s">
        <v>4</v>
      </c>
      <c r="L2561" s="199">
        <v>1</v>
      </c>
      <c r="M2561" s="200">
        <v>0.4</v>
      </c>
      <c r="N2561" s="201">
        <v>18</v>
      </c>
    </row>
    <row r="2562" spans="1:14">
      <c r="A2562" s="194">
        <v>41305.786296296297</v>
      </c>
      <c r="B2562" s="195">
        <v>2132</v>
      </c>
      <c r="C2562" s="194"/>
      <c r="D2562" s="194"/>
      <c r="E2562" s="198"/>
      <c r="G2562" s="202"/>
      <c r="J2562" s="195">
        <v>15</v>
      </c>
      <c r="K2562" s="204" t="s">
        <v>4</v>
      </c>
      <c r="L2562" s="199">
        <v>1</v>
      </c>
      <c r="M2562" s="200">
        <v>0.4</v>
      </c>
      <c r="N2562" s="201">
        <v>20</v>
      </c>
    </row>
    <row r="2563" spans="1:14">
      <c r="A2563" s="194">
        <v>41299.353587962964</v>
      </c>
      <c r="B2563" s="195">
        <v>2132</v>
      </c>
      <c r="C2563" s="194"/>
      <c r="D2563" s="194"/>
      <c r="E2563" s="198"/>
      <c r="G2563" s="202"/>
      <c r="J2563" s="195">
        <v>15</v>
      </c>
      <c r="K2563" s="204" t="s">
        <v>4</v>
      </c>
      <c r="L2563" s="199">
        <v>1</v>
      </c>
      <c r="M2563" s="200">
        <v>4.2</v>
      </c>
      <c r="N2563" s="201">
        <v>20</v>
      </c>
    </row>
    <row r="2564" spans="1:14">
      <c r="A2564" s="194">
        <v>41292.399965277778</v>
      </c>
      <c r="B2564" s="195">
        <v>2132</v>
      </c>
      <c r="C2564" s="194"/>
      <c r="D2564" s="194"/>
      <c r="E2564" s="198"/>
      <c r="G2564" s="202"/>
      <c r="J2564" s="195">
        <v>15</v>
      </c>
      <c r="K2564" s="204" t="s">
        <v>4</v>
      </c>
      <c r="L2564" s="199">
        <v>1</v>
      </c>
      <c r="M2564" s="200">
        <v>0.5</v>
      </c>
      <c r="N2564" s="201">
        <v>22</v>
      </c>
    </row>
    <row r="2565" spans="1:14">
      <c r="A2565" s="194">
        <v>41302.591793981483</v>
      </c>
      <c r="B2565" s="195">
        <v>2132</v>
      </c>
      <c r="C2565" s="194"/>
      <c r="D2565" s="194"/>
      <c r="E2565" s="198"/>
      <c r="G2565" s="202"/>
      <c r="J2565" s="195">
        <v>15</v>
      </c>
      <c r="K2565" s="204" t="s">
        <v>4</v>
      </c>
      <c r="L2565" s="199">
        <v>1</v>
      </c>
      <c r="M2565" s="200">
        <v>0.8</v>
      </c>
      <c r="N2565" s="201">
        <v>23</v>
      </c>
    </row>
    <row r="2566" spans="1:14">
      <c r="A2566" s="194">
        <v>41305.145300925928</v>
      </c>
      <c r="B2566" s="195">
        <v>2132</v>
      </c>
      <c r="C2566" s="194"/>
      <c r="D2566" s="194"/>
      <c r="E2566" s="198"/>
      <c r="G2566" s="202"/>
      <c r="J2566" s="195">
        <v>17</v>
      </c>
      <c r="K2566" s="204" t="s">
        <v>11</v>
      </c>
      <c r="L2566" s="199">
        <v>1</v>
      </c>
      <c r="M2566" s="200">
        <v>0.4</v>
      </c>
      <c r="N2566" s="201">
        <v>0</v>
      </c>
    </row>
    <row r="2567" spans="1:14">
      <c r="A2567" s="194">
        <v>41285.649988425925</v>
      </c>
      <c r="B2567" s="195">
        <v>2132</v>
      </c>
      <c r="C2567" s="194"/>
      <c r="D2567" s="194"/>
      <c r="E2567" s="198"/>
      <c r="G2567" s="202"/>
      <c r="J2567" s="195">
        <v>17</v>
      </c>
      <c r="K2567" s="204" t="s">
        <v>11</v>
      </c>
      <c r="L2567" s="199">
        <v>2</v>
      </c>
      <c r="M2567" s="200">
        <v>11.4</v>
      </c>
      <c r="N2567" s="201">
        <v>0</v>
      </c>
    </row>
    <row r="2568" spans="1:14">
      <c r="A2568" s="194">
        <v>41278.036747685182</v>
      </c>
      <c r="B2568" s="195">
        <v>2132</v>
      </c>
      <c r="C2568" s="194"/>
      <c r="D2568" s="194"/>
      <c r="E2568" s="198"/>
      <c r="G2568" s="202"/>
      <c r="J2568" s="195">
        <v>17</v>
      </c>
      <c r="K2568" s="204" t="s">
        <v>11</v>
      </c>
      <c r="L2568" s="199">
        <v>1</v>
      </c>
      <c r="M2568" s="200">
        <v>16.3</v>
      </c>
      <c r="N2568" s="201">
        <v>0</v>
      </c>
    </row>
    <row r="2569" spans="1:14">
      <c r="A2569" s="194">
        <v>41290.852731481478</v>
      </c>
      <c r="B2569" s="195">
        <v>2132</v>
      </c>
      <c r="C2569" s="194"/>
      <c r="D2569" s="194"/>
      <c r="E2569" s="198"/>
      <c r="G2569" s="202"/>
      <c r="J2569" s="195">
        <v>17</v>
      </c>
      <c r="K2569" s="204" t="s">
        <v>11</v>
      </c>
      <c r="L2569" s="199">
        <v>2</v>
      </c>
      <c r="M2569" s="200">
        <v>0.5</v>
      </c>
      <c r="N2569" s="201">
        <v>15</v>
      </c>
    </row>
    <row r="2570" spans="1:14">
      <c r="A2570" s="194">
        <v>41294.974317129629</v>
      </c>
      <c r="B2570" s="195">
        <v>2132</v>
      </c>
      <c r="C2570" s="194"/>
      <c r="D2570" s="194"/>
      <c r="E2570" s="198"/>
      <c r="G2570" s="202"/>
      <c r="J2570" s="195">
        <v>17</v>
      </c>
      <c r="K2570" s="204" t="s">
        <v>11</v>
      </c>
      <c r="L2570" s="199">
        <v>2</v>
      </c>
      <c r="M2570" s="200">
        <v>0.4</v>
      </c>
      <c r="N2570" s="201">
        <v>16</v>
      </c>
    </row>
    <row r="2571" spans="1:14">
      <c r="A2571" s="194">
        <v>41277.717106481483</v>
      </c>
      <c r="B2571" s="195">
        <v>2132</v>
      </c>
      <c r="C2571" s="194"/>
      <c r="D2571" s="194"/>
      <c r="E2571" s="198"/>
      <c r="G2571" s="202"/>
      <c r="J2571" s="195">
        <v>17</v>
      </c>
      <c r="K2571" s="204" t="s">
        <v>11</v>
      </c>
      <c r="L2571" s="199">
        <v>2</v>
      </c>
      <c r="M2571" s="200">
        <v>0.4</v>
      </c>
      <c r="N2571" s="201">
        <v>16</v>
      </c>
    </row>
    <row r="2572" spans="1:14">
      <c r="A2572" s="194">
        <v>41296.577280092592</v>
      </c>
      <c r="B2572" s="195">
        <v>2132</v>
      </c>
      <c r="C2572" s="194"/>
      <c r="D2572" s="194"/>
      <c r="E2572" s="198"/>
      <c r="G2572" s="202"/>
      <c r="J2572" s="195">
        <v>17</v>
      </c>
      <c r="K2572" s="204" t="s">
        <v>11</v>
      </c>
      <c r="L2572" s="199">
        <v>1</v>
      </c>
      <c r="M2572" s="200">
        <v>14.9</v>
      </c>
      <c r="N2572" s="201">
        <v>16</v>
      </c>
    </row>
    <row r="2573" spans="1:14">
      <c r="A2573" s="194">
        <v>41283.308854166666</v>
      </c>
      <c r="B2573" s="195">
        <v>2132</v>
      </c>
      <c r="C2573" s="194"/>
      <c r="D2573" s="194"/>
      <c r="E2573" s="198"/>
      <c r="G2573" s="202"/>
      <c r="J2573" s="195">
        <v>17</v>
      </c>
      <c r="K2573" s="204" t="s">
        <v>11</v>
      </c>
      <c r="L2573" s="199">
        <v>2</v>
      </c>
      <c r="M2573" s="200">
        <v>0.4</v>
      </c>
      <c r="N2573" s="201">
        <v>17</v>
      </c>
    </row>
    <row r="2574" spans="1:14">
      <c r="A2574" s="194">
        <v>41302.628148148149</v>
      </c>
      <c r="B2574" s="195">
        <v>2132</v>
      </c>
      <c r="C2574" s="194"/>
      <c r="D2574" s="194"/>
      <c r="E2574" s="198"/>
      <c r="G2574" s="202"/>
      <c r="J2574" s="195">
        <v>17</v>
      </c>
      <c r="K2574" s="204" t="s">
        <v>11</v>
      </c>
      <c r="L2574" s="199">
        <v>1</v>
      </c>
      <c r="M2574" s="200">
        <v>1.3</v>
      </c>
      <c r="N2574" s="201">
        <v>17</v>
      </c>
    </row>
    <row r="2575" spans="1:14">
      <c r="A2575" s="194">
        <v>41280.864085648151</v>
      </c>
      <c r="B2575" s="195">
        <v>2132</v>
      </c>
      <c r="C2575" s="194"/>
      <c r="D2575" s="194"/>
      <c r="E2575" s="198"/>
      <c r="G2575" s="202"/>
      <c r="J2575" s="195">
        <v>17</v>
      </c>
      <c r="K2575" s="204" t="s">
        <v>11</v>
      </c>
      <c r="L2575" s="199">
        <v>2</v>
      </c>
      <c r="M2575" s="200">
        <v>35.1</v>
      </c>
      <c r="N2575" s="201">
        <v>18</v>
      </c>
    </row>
    <row r="2576" spans="1:14">
      <c r="A2576" s="194">
        <v>41288.33185185185</v>
      </c>
      <c r="B2576" s="195">
        <v>2132</v>
      </c>
      <c r="C2576" s="194"/>
      <c r="D2576" s="194"/>
      <c r="E2576" s="198"/>
      <c r="G2576" s="202"/>
      <c r="J2576" s="195">
        <v>17</v>
      </c>
      <c r="K2576" s="204" t="s">
        <v>11</v>
      </c>
      <c r="L2576" s="199">
        <v>1</v>
      </c>
      <c r="M2576" s="200">
        <v>0.9</v>
      </c>
      <c r="N2576" s="201">
        <v>20</v>
      </c>
    </row>
    <row r="2577" spans="1:14">
      <c r="A2577" s="194">
        <v>41296.934884259259</v>
      </c>
      <c r="B2577" s="195">
        <v>2132</v>
      </c>
      <c r="C2577" s="194"/>
      <c r="D2577" s="194"/>
      <c r="E2577" s="198"/>
      <c r="G2577" s="202"/>
      <c r="J2577" s="195">
        <v>17</v>
      </c>
      <c r="K2577" s="204" t="s">
        <v>11</v>
      </c>
      <c r="L2577" s="199">
        <v>2</v>
      </c>
      <c r="M2577" s="200">
        <v>11.5</v>
      </c>
      <c r="N2577" s="201">
        <v>21</v>
      </c>
    </row>
    <row r="2578" spans="1:14">
      <c r="A2578" s="194">
        <v>41276.863935185182</v>
      </c>
      <c r="B2578" s="195">
        <v>2132</v>
      </c>
      <c r="C2578" s="194"/>
      <c r="D2578" s="194"/>
      <c r="E2578" s="198"/>
      <c r="G2578" s="202"/>
      <c r="J2578" s="195">
        <v>17</v>
      </c>
      <c r="K2578" s="204" t="s">
        <v>11</v>
      </c>
      <c r="L2578" s="199">
        <v>2</v>
      </c>
      <c r="M2578" s="200">
        <v>27.1</v>
      </c>
      <c r="N2578" s="201">
        <v>23</v>
      </c>
    </row>
    <row r="2579" spans="1:14">
      <c r="A2579" s="194">
        <v>41300.410092592596</v>
      </c>
      <c r="B2579" s="195">
        <v>2132</v>
      </c>
      <c r="C2579" s="194"/>
      <c r="D2579" s="194"/>
      <c r="E2579" s="198"/>
      <c r="G2579" s="202"/>
      <c r="J2579" s="195">
        <v>17</v>
      </c>
      <c r="K2579" s="204" t="s">
        <v>11</v>
      </c>
      <c r="L2579" s="199">
        <v>2</v>
      </c>
      <c r="M2579" s="200">
        <v>25.1</v>
      </c>
      <c r="N2579" s="201">
        <v>24</v>
      </c>
    </row>
    <row r="2580" spans="1:14">
      <c r="A2580" s="194">
        <v>41289.253055555557</v>
      </c>
      <c r="B2580" s="195">
        <v>2132</v>
      </c>
      <c r="C2580" s="194"/>
      <c r="D2580" s="194"/>
      <c r="E2580" s="198"/>
      <c r="G2580" s="202"/>
      <c r="J2580" s="195">
        <v>17</v>
      </c>
      <c r="K2580" s="204" t="s">
        <v>11</v>
      </c>
      <c r="L2580" s="199">
        <v>2</v>
      </c>
      <c r="M2580" s="200">
        <v>10.6</v>
      </c>
      <c r="N2580" s="201">
        <v>25</v>
      </c>
    </row>
    <row r="2581" spans="1:14">
      <c r="A2581" s="194">
        <v>41277.997210648151</v>
      </c>
      <c r="B2581" s="195">
        <v>2132</v>
      </c>
      <c r="C2581" s="194"/>
      <c r="D2581" s="194"/>
      <c r="E2581" s="198"/>
      <c r="G2581" s="202"/>
      <c r="J2581" s="195">
        <v>17</v>
      </c>
      <c r="K2581" s="204" t="s">
        <v>11</v>
      </c>
      <c r="L2581" s="199">
        <v>2</v>
      </c>
      <c r="M2581" s="200">
        <v>21.1</v>
      </c>
      <c r="N2581" s="201">
        <v>25</v>
      </c>
    </row>
    <row r="2582" spans="1:14">
      <c r="A2582" s="194">
        <v>41297.568101851852</v>
      </c>
      <c r="B2582" s="195">
        <v>2132</v>
      </c>
      <c r="C2582" s="194"/>
      <c r="D2582" s="194"/>
      <c r="E2582" s="198"/>
      <c r="G2582" s="202"/>
      <c r="J2582" s="195">
        <v>17</v>
      </c>
      <c r="K2582" s="204" t="s">
        <v>11</v>
      </c>
      <c r="L2582" s="199">
        <v>1</v>
      </c>
      <c r="M2582" s="200">
        <v>0.7</v>
      </c>
      <c r="N2582" s="201">
        <v>29</v>
      </c>
    </row>
    <row r="2583" spans="1:14">
      <c r="A2583" s="194">
        <v>41305.923391203702</v>
      </c>
      <c r="B2583" s="195">
        <v>2132</v>
      </c>
      <c r="C2583" s="194"/>
      <c r="D2583" s="194"/>
      <c r="E2583" s="198"/>
      <c r="G2583" s="202"/>
      <c r="J2583" s="195">
        <v>17</v>
      </c>
      <c r="K2583" s="204" t="s">
        <v>11</v>
      </c>
      <c r="L2583" s="199">
        <v>2</v>
      </c>
      <c r="M2583" s="200">
        <v>27.1</v>
      </c>
      <c r="N2583" s="201">
        <v>42</v>
      </c>
    </row>
    <row r="2584" spans="1:14">
      <c r="A2584" s="194">
        <v>41294.638414351852</v>
      </c>
      <c r="B2584" s="195">
        <v>2132</v>
      </c>
      <c r="C2584" s="194"/>
      <c r="D2584" s="194"/>
      <c r="E2584" s="198"/>
      <c r="G2584" s="202"/>
      <c r="J2584" s="195">
        <v>17</v>
      </c>
      <c r="K2584" s="204" t="s">
        <v>11</v>
      </c>
      <c r="L2584" s="199">
        <v>2</v>
      </c>
      <c r="M2584" s="200">
        <v>19.100000000000001</v>
      </c>
      <c r="N2584" s="201">
        <v>43</v>
      </c>
    </row>
    <row r="2585" spans="1:14">
      <c r="A2585" s="194">
        <v>41286.949432870373</v>
      </c>
      <c r="B2585" s="195">
        <v>2132</v>
      </c>
      <c r="C2585" s="194"/>
      <c r="D2585" s="194"/>
      <c r="E2585" s="198"/>
      <c r="G2585" s="202"/>
      <c r="J2585" s="195">
        <v>17</v>
      </c>
      <c r="K2585" s="204" t="s">
        <v>11</v>
      </c>
      <c r="L2585" s="199">
        <v>1</v>
      </c>
      <c r="M2585" s="200">
        <v>20.5</v>
      </c>
      <c r="N2585" s="201">
        <v>43</v>
      </c>
    </row>
    <row r="2586" spans="1:14">
      <c r="A2586" s="194">
        <v>41278.733819444446</v>
      </c>
      <c r="B2586" s="195">
        <v>2132</v>
      </c>
      <c r="C2586" s="194"/>
      <c r="D2586" s="194"/>
      <c r="E2586" s="198"/>
      <c r="G2586" s="202"/>
      <c r="J2586" s="195">
        <v>18</v>
      </c>
      <c r="K2586" s="204" t="s">
        <v>5</v>
      </c>
      <c r="L2586" s="199">
        <v>2</v>
      </c>
      <c r="M2586" s="200">
        <v>2.7</v>
      </c>
      <c r="N2586" s="201">
        <v>12</v>
      </c>
    </row>
    <row r="2587" spans="1:14">
      <c r="A2587" s="194">
        <v>41278.733981481484</v>
      </c>
      <c r="B2587" s="195">
        <v>2132</v>
      </c>
      <c r="C2587" s="194"/>
      <c r="D2587" s="194"/>
      <c r="E2587" s="198"/>
      <c r="G2587" s="202"/>
      <c r="J2587" s="195">
        <v>18</v>
      </c>
      <c r="K2587" s="204" t="s">
        <v>5</v>
      </c>
      <c r="L2587" s="199">
        <v>1</v>
      </c>
      <c r="M2587" s="200">
        <v>17.399999999999999</v>
      </c>
      <c r="N2587" s="201">
        <v>15</v>
      </c>
    </row>
    <row r="2588" spans="1:14">
      <c r="A2588" s="194">
        <v>41301.789039351854</v>
      </c>
      <c r="B2588" s="195">
        <v>2132</v>
      </c>
      <c r="C2588" s="194"/>
      <c r="D2588" s="194"/>
      <c r="E2588" s="198"/>
      <c r="G2588" s="202"/>
      <c r="J2588" s="195">
        <v>18</v>
      </c>
      <c r="K2588" s="204" t="s">
        <v>5</v>
      </c>
      <c r="L2588" s="199">
        <v>2</v>
      </c>
      <c r="M2588" s="200">
        <v>4.2</v>
      </c>
      <c r="N2588" s="201">
        <v>16</v>
      </c>
    </row>
    <row r="2589" spans="1:14">
      <c r="A2589" s="194">
        <v>41301.443229166667</v>
      </c>
      <c r="B2589" s="195">
        <v>2132</v>
      </c>
      <c r="C2589" s="194"/>
      <c r="D2589" s="194"/>
      <c r="E2589" s="198"/>
      <c r="G2589" s="202"/>
      <c r="J2589" s="195">
        <v>18</v>
      </c>
      <c r="K2589" s="204" t="s">
        <v>5</v>
      </c>
      <c r="L2589" s="199">
        <v>1</v>
      </c>
      <c r="M2589" s="200">
        <v>7.4</v>
      </c>
      <c r="N2589" s="201">
        <v>16</v>
      </c>
    </row>
    <row r="2590" spans="1:14">
      <c r="A2590" s="194">
        <v>41302.891192129631</v>
      </c>
      <c r="B2590" s="195">
        <v>2132</v>
      </c>
      <c r="C2590" s="194"/>
      <c r="D2590" s="194"/>
      <c r="E2590" s="198"/>
      <c r="G2590" s="202"/>
      <c r="J2590" s="195">
        <v>18</v>
      </c>
      <c r="K2590" s="204" t="s">
        <v>5</v>
      </c>
      <c r="L2590" s="199">
        <v>1</v>
      </c>
      <c r="M2590" s="200">
        <v>8.6</v>
      </c>
      <c r="N2590" s="201">
        <v>16</v>
      </c>
    </row>
    <row r="2591" spans="1:14">
      <c r="A2591" s="194">
        <v>41290.504224537035</v>
      </c>
      <c r="B2591" s="195">
        <v>2132</v>
      </c>
      <c r="C2591" s="194"/>
      <c r="D2591" s="194"/>
      <c r="E2591" s="198"/>
      <c r="G2591" s="202"/>
      <c r="J2591" s="195">
        <v>18</v>
      </c>
      <c r="K2591" s="204" t="s">
        <v>5</v>
      </c>
      <c r="L2591" s="199">
        <v>1</v>
      </c>
      <c r="M2591" s="200">
        <v>10.5</v>
      </c>
      <c r="N2591" s="201">
        <v>16</v>
      </c>
    </row>
    <row r="2592" spans="1:14">
      <c r="A2592" s="194">
        <v>41278.733946759261</v>
      </c>
      <c r="B2592" s="195">
        <v>2132</v>
      </c>
      <c r="C2592" s="194"/>
      <c r="D2592" s="194"/>
      <c r="E2592" s="198"/>
      <c r="G2592" s="202"/>
      <c r="J2592" s="195">
        <v>18</v>
      </c>
      <c r="K2592" s="204" t="s">
        <v>5</v>
      </c>
      <c r="L2592" s="199">
        <v>1</v>
      </c>
      <c r="M2592" s="200">
        <v>14</v>
      </c>
      <c r="N2592" s="201">
        <v>16</v>
      </c>
    </row>
    <row r="2593" spans="1:14">
      <c r="A2593" s="194">
        <v>41289.972233796296</v>
      </c>
      <c r="B2593" s="195">
        <v>2132</v>
      </c>
      <c r="C2593" s="194"/>
      <c r="D2593" s="194"/>
      <c r="E2593" s="198"/>
      <c r="G2593" s="202"/>
      <c r="J2593" s="195">
        <v>18</v>
      </c>
      <c r="K2593" s="204" t="s">
        <v>5</v>
      </c>
      <c r="L2593" s="199">
        <v>1</v>
      </c>
      <c r="M2593" s="200">
        <v>6.7</v>
      </c>
      <c r="N2593" s="201">
        <v>17</v>
      </c>
    </row>
    <row r="2594" spans="1:14">
      <c r="A2594" s="194">
        <v>41288.987766203703</v>
      </c>
      <c r="B2594" s="195">
        <v>2132</v>
      </c>
      <c r="C2594" s="194"/>
      <c r="D2594" s="194"/>
      <c r="E2594" s="198"/>
      <c r="G2594" s="202"/>
      <c r="J2594" s="195">
        <v>18</v>
      </c>
      <c r="K2594" s="204" t="s">
        <v>5</v>
      </c>
      <c r="L2594" s="199">
        <v>1</v>
      </c>
      <c r="M2594" s="200">
        <v>30.7</v>
      </c>
      <c r="N2594" s="201">
        <v>17</v>
      </c>
    </row>
    <row r="2595" spans="1:14">
      <c r="A2595" s="194">
        <v>41281.183344907404</v>
      </c>
      <c r="B2595" s="195">
        <v>2132</v>
      </c>
      <c r="C2595" s="194"/>
      <c r="D2595" s="194"/>
      <c r="E2595" s="198"/>
      <c r="G2595" s="202"/>
      <c r="J2595" s="195">
        <v>18</v>
      </c>
      <c r="K2595" s="204" t="s">
        <v>5</v>
      </c>
      <c r="L2595" s="199">
        <v>2</v>
      </c>
      <c r="M2595" s="200">
        <v>18.8</v>
      </c>
      <c r="N2595" s="201">
        <v>18</v>
      </c>
    </row>
    <row r="2596" spans="1:14">
      <c r="A2596" s="194">
        <v>41280.936203703706</v>
      </c>
      <c r="B2596" s="195">
        <v>2132</v>
      </c>
      <c r="C2596" s="194"/>
      <c r="D2596" s="194"/>
      <c r="E2596" s="198"/>
      <c r="G2596" s="202"/>
      <c r="J2596" s="195">
        <v>18</v>
      </c>
      <c r="K2596" s="204" t="s">
        <v>5</v>
      </c>
      <c r="L2596" s="199">
        <v>1</v>
      </c>
      <c r="M2596" s="200">
        <v>26.2</v>
      </c>
      <c r="N2596" s="201">
        <v>18</v>
      </c>
    </row>
    <row r="2597" spans="1:14">
      <c r="A2597" s="194">
        <v>41282.307824074072</v>
      </c>
      <c r="B2597" s="195">
        <v>2132</v>
      </c>
      <c r="C2597" s="194"/>
      <c r="D2597" s="194"/>
      <c r="E2597" s="198"/>
      <c r="G2597" s="202"/>
      <c r="J2597" s="195">
        <v>18</v>
      </c>
      <c r="K2597" s="204" t="s">
        <v>5</v>
      </c>
      <c r="L2597" s="199">
        <v>2</v>
      </c>
      <c r="M2597" s="200">
        <v>32.799999999999997</v>
      </c>
      <c r="N2597" s="201">
        <v>18</v>
      </c>
    </row>
    <row r="2598" spans="1:14">
      <c r="A2598" s="194">
        <v>41289.515960648147</v>
      </c>
      <c r="B2598" s="195">
        <v>2132</v>
      </c>
      <c r="C2598" s="194"/>
      <c r="D2598" s="194"/>
      <c r="E2598" s="198"/>
      <c r="G2598" s="202"/>
      <c r="J2598" s="195">
        <v>18</v>
      </c>
      <c r="K2598" s="204" t="s">
        <v>5</v>
      </c>
      <c r="L2598" s="199">
        <v>1</v>
      </c>
      <c r="M2598" s="200">
        <v>6.2</v>
      </c>
      <c r="N2598" s="201">
        <v>19</v>
      </c>
    </row>
    <row r="2599" spans="1:14">
      <c r="A2599" s="194">
        <v>41278.734131944446</v>
      </c>
      <c r="B2599" s="195">
        <v>2132</v>
      </c>
      <c r="C2599" s="194"/>
      <c r="D2599" s="194"/>
      <c r="E2599" s="198"/>
      <c r="G2599" s="202"/>
      <c r="J2599" s="195">
        <v>18</v>
      </c>
      <c r="K2599" s="204" t="s">
        <v>5</v>
      </c>
      <c r="L2599" s="199">
        <v>1</v>
      </c>
      <c r="M2599" s="200">
        <v>30.5</v>
      </c>
      <c r="N2599" s="201">
        <v>20</v>
      </c>
    </row>
    <row r="2600" spans="1:14">
      <c r="A2600" s="194">
        <v>41301.473715277774</v>
      </c>
      <c r="B2600" s="195">
        <v>2132</v>
      </c>
      <c r="C2600" s="194"/>
      <c r="D2600" s="194"/>
      <c r="E2600" s="198"/>
      <c r="G2600" s="202"/>
      <c r="J2600" s="195">
        <v>18</v>
      </c>
      <c r="K2600" s="204" t="s">
        <v>5</v>
      </c>
      <c r="L2600" s="199">
        <v>2</v>
      </c>
      <c r="M2600" s="200">
        <v>0.7</v>
      </c>
      <c r="N2600" s="201">
        <v>21</v>
      </c>
    </row>
    <row r="2601" spans="1:14">
      <c r="A2601" s="194">
        <v>41278.746990740743</v>
      </c>
      <c r="B2601" s="195">
        <v>2132</v>
      </c>
      <c r="C2601" s="194"/>
      <c r="D2601" s="194"/>
      <c r="E2601" s="198"/>
      <c r="G2601" s="202"/>
      <c r="J2601" s="195">
        <v>18</v>
      </c>
      <c r="K2601" s="204" t="s">
        <v>5</v>
      </c>
      <c r="L2601" s="199">
        <v>2</v>
      </c>
      <c r="M2601" s="200">
        <v>1.1000000000000001</v>
      </c>
      <c r="N2601" s="201">
        <v>22</v>
      </c>
    </row>
    <row r="2602" spans="1:14">
      <c r="A2602" s="194">
        <v>41280.936296296299</v>
      </c>
      <c r="B2602" s="195">
        <v>2132</v>
      </c>
      <c r="C2602" s="194"/>
      <c r="D2602" s="194"/>
      <c r="E2602" s="198"/>
      <c r="G2602" s="202"/>
      <c r="J2602" s="195">
        <v>18</v>
      </c>
      <c r="K2602" s="204" t="s">
        <v>5</v>
      </c>
      <c r="L2602" s="199">
        <v>1</v>
      </c>
      <c r="M2602" s="200">
        <v>33.6</v>
      </c>
      <c r="N2602" s="201">
        <v>22</v>
      </c>
    </row>
    <row r="2603" spans="1:14">
      <c r="A2603" s="194">
        <v>41291.120092592595</v>
      </c>
      <c r="B2603" s="195">
        <v>2132</v>
      </c>
      <c r="C2603" s="194"/>
      <c r="D2603" s="194"/>
      <c r="E2603" s="198"/>
      <c r="G2603" s="202"/>
      <c r="J2603" s="195">
        <v>18</v>
      </c>
      <c r="K2603" s="204" t="s">
        <v>5</v>
      </c>
      <c r="L2603" s="199">
        <v>2</v>
      </c>
      <c r="M2603" s="200">
        <v>0.6</v>
      </c>
      <c r="N2603" s="201">
        <v>30</v>
      </c>
    </row>
    <row r="2604" spans="1:14">
      <c r="A2604" s="194">
        <v>41276.439317129632</v>
      </c>
      <c r="B2604" s="195">
        <v>2132</v>
      </c>
      <c r="C2604" s="194"/>
      <c r="D2604" s="194"/>
      <c r="E2604" s="198"/>
      <c r="G2604" s="202"/>
      <c r="J2604" s="195">
        <v>18</v>
      </c>
      <c r="K2604" s="204" t="s">
        <v>5</v>
      </c>
      <c r="L2604" s="199">
        <v>1</v>
      </c>
      <c r="M2604" s="200">
        <v>1.5</v>
      </c>
      <c r="N2604" s="201">
        <v>31</v>
      </c>
    </row>
    <row r="2605" spans="1:14">
      <c r="A2605" s="194">
        <v>41291.494398148148</v>
      </c>
      <c r="B2605" s="195">
        <v>2132</v>
      </c>
      <c r="C2605" s="194"/>
      <c r="D2605" s="194"/>
      <c r="E2605" s="196" t="s">
        <v>2060</v>
      </c>
      <c r="G2605" s="202"/>
      <c r="J2605" s="195">
        <v>24</v>
      </c>
      <c r="K2605" s="204" t="s">
        <v>25</v>
      </c>
      <c r="L2605" s="199">
        <v>1</v>
      </c>
      <c r="M2605" s="200">
        <v>0.3</v>
      </c>
      <c r="N2605" s="201">
        <v>18</v>
      </c>
    </row>
    <row r="2606" spans="1:14">
      <c r="A2606" s="194">
        <v>41292.543020833335</v>
      </c>
      <c r="B2606" s="195">
        <v>2132</v>
      </c>
      <c r="C2606" s="194"/>
      <c r="D2606" s="194"/>
      <c r="E2606" s="196" t="s">
        <v>2006</v>
      </c>
      <c r="G2606" s="202"/>
      <c r="J2606" s="195">
        <v>24</v>
      </c>
      <c r="K2606" s="204" t="s">
        <v>25</v>
      </c>
      <c r="L2606" s="199">
        <v>1</v>
      </c>
      <c r="M2606" s="200">
        <v>0.3</v>
      </c>
      <c r="N2606" s="201">
        <v>19</v>
      </c>
    </row>
    <row r="2607" spans="1:14">
      <c r="A2607" s="194">
        <v>41305.892534722225</v>
      </c>
      <c r="B2607" s="195">
        <v>2132</v>
      </c>
      <c r="C2607" s="194"/>
      <c r="D2607" s="194"/>
      <c r="E2607" s="196" t="s">
        <v>1923</v>
      </c>
      <c r="G2607" s="202"/>
      <c r="J2607" s="195">
        <v>24</v>
      </c>
      <c r="K2607" s="204" t="s">
        <v>25</v>
      </c>
      <c r="L2607" s="199">
        <v>1</v>
      </c>
      <c r="M2607" s="200">
        <v>1.2</v>
      </c>
      <c r="N2607" s="201">
        <v>21</v>
      </c>
    </row>
    <row r="2608" spans="1:14">
      <c r="A2608" s="194">
        <v>41297.344490740739</v>
      </c>
      <c r="B2608" s="195">
        <v>2132</v>
      </c>
      <c r="C2608" s="194"/>
      <c r="D2608" s="194"/>
      <c r="E2608" s="196" t="s">
        <v>1877</v>
      </c>
      <c r="G2608" s="202"/>
      <c r="J2608" s="195">
        <v>24</v>
      </c>
      <c r="K2608" s="204" t="s">
        <v>25</v>
      </c>
      <c r="L2608" s="199">
        <v>1</v>
      </c>
      <c r="M2608" s="200">
        <v>1</v>
      </c>
      <c r="N2608" s="201">
        <v>23</v>
      </c>
    </row>
    <row r="2609" spans="1:14">
      <c r="A2609" s="194">
        <v>41304.649456018517</v>
      </c>
      <c r="B2609" s="195">
        <v>2132</v>
      </c>
      <c r="C2609" s="194"/>
      <c r="D2609" s="194"/>
      <c r="E2609" s="196" t="s">
        <v>1904</v>
      </c>
      <c r="G2609" s="202"/>
      <c r="J2609" s="195">
        <v>24</v>
      </c>
      <c r="K2609" s="204" t="s">
        <v>25</v>
      </c>
      <c r="L2609" s="199">
        <v>1</v>
      </c>
      <c r="M2609" s="200">
        <v>0.6</v>
      </c>
      <c r="N2609" s="201">
        <v>29</v>
      </c>
    </row>
    <row r="2610" spans="1:14">
      <c r="A2610" s="194">
        <v>41300.072314814817</v>
      </c>
      <c r="B2610" s="195">
        <v>2132</v>
      </c>
      <c r="C2610" s="194"/>
      <c r="D2610" s="194"/>
      <c r="E2610" s="196" t="s">
        <v>1685</v>
      </c>
      <c r="G2610" s="202"/>
      <c r="J2610" s="195">
        <v>24</v>
      </c>
      <c r="K2610" s="204" t="s">
        <v>25</v>
      </c>
      <c r="L2610" s="199">
        <v>1</v>
      </c>
      <c r="M2610" s="200">
        <v>0.8</v>
      </c>
      <c r="N2610" s="201">
        <v>29</v>
      </c>
    </row>
    <row r="2611" spans="1:14">
      <c r="A2611" s="194">
        <v>41300.110497685186</v>
      </c>
      <c r="B2611" s="195">
        <v>2132</v>
      </c>
      <c r="C2611" s="194"/>
      <c r="D2611" s="194"/>
      <c r="E2611" s="196" t="s">
        <v>1878</v>
      </c>
      <c r="G2611" s="202"/>
      <c r="J2611" s="195">
        <v>29</v>
      </c>
      <c r="K2611" s="204" t="s">
        <v>39</v>
      </c>
      <c r="L2611" s="199">
        <v>2</v>
      </c>
      <c r="M2611" s="200">
        <v>0.5</v>
      </c>
      <c r="N2611" s="201">
        <v>23</v>
      </c>
    </row>
    <row r="2612" spans="1:14">
      <c r="A2612" s="194">
        <v>41304.993900462963</v>
      </c>
      <c r="B2612" s="195">
        <v>2132</v>
      </c>
      <c r="C2612" s="194"/>
      <c r="D2612" s="194"/>
      <c r="E2612" s="196" t="s">
        <v>1882</v>
      </c>
      <c r="G2612" s="202"/>
      <c r="J2612" s="195">
        <v>29</v>
      </c>
      <c r="K2612" s="204" t="s">
        <v>39</v>
      </c>
      <c r="L2612" s="199">
        <v>1</v>
      </c>
      <c r="M2612" s="200">
        <v>0.3</v>
      </c>
      <c r="N2612" s="201">
        <v>26</v>
      </c>
    </row>
    <row r="2613" spans="1:14">
      <c r="A2613" s="194">
        <v>41305.700173611112</v>
      </c>
      <c r="B2613" s="195">
        <v>2132</v>
      </c>
      <c r="C2613" s="194"/>
      <c r="D2613" s="194"/>
      <c r="E2613" s="196" t="s">
        <v>1795</v>
      </c>
      <c r="G2613" s="202"/>
      <c r="J2613" s="195">
        <v>29</v>
      </c>
      <c r="K2613" s="204" t="s">
        <v>39</v>
      </c>
      <c r="L2613" s="199">
        <v>1</v>
      </c>
      <c r="M2613" s="200">
        <v>0.8</v>
      </c>
      <c r="N2613" s="201">
        <v>28</v>
      </c>
    </row>
    <row r="2614" spans="1:14">
      <c r="A2614" s="194">
        <v>41281.95884259259</v>
      </c>
      <c r="B2614" s="195">
        <v>2132</v>
      </c>
      <c r="C2614" s="194"/>
      <c r="D2614" s="194"/>
      <c r="E2614" s="198"/>
      <c r="G2614" s="202"/>
      <c r="J2614" s="195">
        <v>43</v>
      </c>
      <c r="K2614" s="204" t="s">
        <v>1596</v>
      </c>
      <c r="L2614" s="199">
        <v>2</v>
      </c>
      <c r="M2614" s="200">
        <v>0.5</v>
      </c>
      <c r="N2614" s="201">
        <v>16</v>
      </c>
    </row>
    <row r="2615" spans="1:14">
      <c r="A2615" s="194">
        <v>41284.587361111109</v>
      </c>
      <c r="B2615" s="195">
        <v>2132</v>
      </c>
      <c r="C2615" s="194"/>
      <c r="D2615" s="194"/>
      <c r="E2615" s="198"/>
      <c r="G2615" s="202"/>
      <c r="J2615" s="195">
        <v>43</v>
      </c>
      <c r="K2615" s="204" t="s">
        <v>1596</v>
      </c>
      <c r="L2615" s="199">
        <v>2</v>
      </c>
      <c r="M2615" s="200">
        <v>2</v>
      </c>
      <c r="N2615" s="201">
        <v>16</v>
      </c>
    </row>
    <row r="2616" spans="1:14">
      <c r="A2616" s="194">
        <v>41290.864537037036</v>
      </c>
      <c r="B2616" s="195">
        <v>2132</v>
      </c>
      <c r="C2616" s="194"/>
      <c r="D2616" s="194"/>
      <c r="E2616" s="198"/>
      <c r="G2616" s="202"/>
      <c r="J2616" s="195">
        <v>43</v>
      </c>
      <c r="K2616" s="204" t="s">
        <v>1596</v>
      </c>
      <c r="L2616" s="199">
        <v>1</v>
      </c>
      <c r="M2616" s="200">
        <v>0.6</v>
      </c>
      <c r="N2616" s="201">
        <v>17</v>
      </c>
    </row>
    <row r="2617" spans="1:14">
      <c r="A2617" s="194">
        <v>41297.525046296294</v>
      </c>
      <c r="B2617" s="195">
        <v>2132</v>
      </c>
      <c r="C2617" s="194"/>
      <c r="D2617" s="194"/>
      <c r="E2617" s="198"/>
      <c r="G2617" s="202"/>
      <c r="J2617" s="195">
        <v>43</v>
      </c>
      <c r="K2617" s="204" t="s">
        <v>1596</v>
      </c>
      <c r="L2617" s="199">
        <v>2</v>
      </c>
      <c r="M2617" s="200">
        <v>0.7</v>
      </c>
      <c r="N2617" s="201">
        <v>17</v>
      </c>
    </row>
    <row r="2618" spans="1:14">
      <c r="A2618" s="194">
        <v>41288.912037037036</v>
      </c>
      <c r="B2618" s="195">
        <v>2132</v>
      </c>
      <c r="C2618" s="194"/>
      <c r="D2618" s="194"/>
      <c r="E2618" s="198"/>
      <c r="G2618" s="202"/>
      <c r="J2618" s="195">
        <v>43</v>
      </c>
      <c r="K2618" s="204" t="s">
        <v>1596</v>
      </c>
      <c r="L2618" s="199">
        <v>2</v>
      </c>
      <c r="M2618" s="200">
        <v>27.8</v>
      </c>
      <c r="N2618" s="201">
        <v>17</v>
      </c>
    </row>
    <row r="2619" spans="1:14">
      <c r="A2619" s="194">
        <v>41282.80190972222</v>
      </c>
      <c r="B2619" s="195">
        <v>2132</v>
      </c>
      <c r="C2619" s="194"/>
      <c r="D2619" s="194"/>
      <c r="E2619" s="198"/>
      <c r="G2619" s="202"/>
      <c r="J2619" s="195">
        <v>6200</v>
      </c>
      <c r="K2619" s="204" t="s">
        <v>36</v>
      </c>
      <c r="L2619" s="199">
        <v>2</v>
      </c>
      <c r="M2619" s="200">
        <v>0.6</v>
      </c>
      <c r="N2619" s="201">
        <v>17</v>
      </c>
    </row>
    <row r="2620" spans="1:14">
      <c r="A2620" s="194">
        <v>41283.395162037035</v>
      </c>
      <c r="B2620" s="195">
        <v>2134</v>
      </c>
      <c r="C2620" s="194"/>
      <c r="D2620" s="194"/>
      <c r="E2620" s="196" t="s">
        <v>768</v>
      </c>
      <c r="F2620" s="195">
        <v>800</v>
      </c>
      <c r="G2620" s="197" t="s">
        <v>470</v>
      </c>
      <c r="H2620" s="197" t="s">
        <v>471</v>
      </c>
      <c r="J2620" s="195">
        <v>1</v>
      </c>
      <c r="K2620" s="204" t="s">
        <v>224</v>
      </c>
      <c r="L2620" s="199">
        <v>1</v>
      </c>
      <c r="M2620" s="200">
        <v>0.6</v>
      </c>
      <c r="N2620" s="201">
        <v>17</v>
      </c>
    </row>
    <row r="2621" spans="1:14">
      <c r="A2621" s="194">
        <v>41290.902789351851</v>
      </c>
      <c r="B2621" s="195">
        <v>2134</v>
      </c>
      <c r="C2621" s="194"/>
      <c r="D2621" s="194"/>
      <c r="E2621" s="196" t="s">
        <v>1048</v>
      </c>
      <c r="F2621" s="195">
        <v>800</v>
      </c>
      <c r="G2621" s="197" t="s">
        <v>470</v>
      </c>
      <c r="H2621" s="197" t="s">
        <v>471</v>
      </c>
      <c r="J2621" s="195">
        <v>1</v>
      </c>
      <c r="K2621" s="204" t="s">
        <v>224</v>
      </c>
      <c r="L2621" s="199">
        <v>2</v>
      </c>
      <c r="M2621" s="200">
        <v>0.7</v>
      </c>
      <c r="N2621" s="201">
        <v>18</v>
      </c>
    </row>
    <row r="2622" spans="1:14">
      <c r="A2622" s="194">
        <v>41293.150717592594</v>
      </c>
      <c r="B2622" s="195">
        <v>2134</v>
      </c>
      <c r="C2622" s="194"/>
      <c r="D2622" s="194"/>
      <c r="E2622" s="196" t="s">
        <v>1204</v>
      </c>
      <c r="F2622" s="195">
        <v>800</v>
      </c>
      <c r="G2622" s="197" t="s">
        <v>470</v>
      </c>
      <c r="H2622" s="197" t="s">
        <v>471</v>
      </c>
      <c r="J2622" s="195">
        <v>1</v>
      </c>
      <c r="K2622" s="204" t="s">
        <v>224</v>
      </c>
      <c r="L2622" s="199">
        <v>2</v>
      </c>
      <c r="M2622" s="200">
        <v>2.2999999999999998</v>
      </c>
      <c r="N2622" s="201">
        <v>18</v>
      </c>
    </row>
    <row r="2623" spans="1:14">
      <c r="A2623" s="194">
        <v>41289.76667824074</v>
      </c>
      <c r="B2623" s="195">
        <v>2134</v>
      </c>
      <c r="C2623" s="194"/>
      <c r="D2623" s="194"/>
      <c r="E2623" s="196" t="s">
        <v>1014</v>
      </c>
      <c r="F2623" s="195">
        <v>800</v>
      </c>
      <c r="G2623" s="197" t="s">
        <v>470</v>
      </c>
      <c r="H2623" s="197" t="s">
        <v>471</v>
      </c>
      <c r="J2623" s="195">
        <v>1</v>
      </c>
      <c r="K2623" s="204" t="s">
        <v>224</v>
      </c>
      <c r="L2623" s="199">
        <v>1</v>
      </c>
      <c r="M2623" s="200">
        <v>0.3</v>
      </c>
      <c r="N2623" s="201">
        <v>22</v>
      </c>
    </row>
    <row r="2624" spans="1:14">
      <c r="A2624" s="194">
        <v>41288.747245370374</v>
      </c>
      <c r="B2624" s="195">
        <v>2134</v>
      </c>
      <c r="C2624" s="194"/>
      <c r="D2624" s="194"/>
      <c r="E2624" s="196" t="s">
        <v>980</v>
      </c>
      <c r="F2624" s="195">
        <v>800</v>
      </c>
      <c r="G2624" s="197" t="s">
        <v>470</v>
      </c>
      <c r="H2624" s="197" t="s">
        <v>471</v>
      </c>
      <c r="J2624" s="195">
        <v>1</v>
      </c>
      <c r="K2624" s="204" t="s">
        <v>224</v>
      </c>
      <c r="L2624" s="199">
        <v>2</v>
      </c>
      <c r="M2624" s="200">
        <v>0.6</v>
      </c>
      <c r="N2624" s="201">
        <v>22</v>
      </c>
    </row>
    <row r="2625" spans="1:14">
      <c r="A2625" s="194">
        <v>41299.524282407408</v>
      </c>
      <c r="B2625" s="195">
        <v>2134</v>
      </c>
      <c r="C2625" s="194"/>
      <c r="D2625" s="194"/>
      <c r="E2625" s="196" t="s">
        <v>1401</v>
      </c>
      <c r="F2625" s="195">
        <v>800</v>
      </c>
      <c r="G2625" s="197" t="s">
        <v>470</v>
      </c>
      <c r="H2625" s="197" t="s">
        <v>471</v>
      </c>
      <c r="J2625" s="195">
        <v>1</v>
      </c>
      <c r="K2625" s="204" t="s">
        <v>224</v>
      </c>
      <c r="L2625" s="199">
        <v>2</v>
      </c>
      <c r="M2625" s="200">
        <v>0.7</v>
      </c>
      <c r="N2625" s="201">
        <v>22</v>
      </c>
    </row>
    <row r="2626" spans="1:14">
      <c r="A2626" s="194">
        <v>41295.546527777777</v>
      </c>
      <c r="B2626" s="195">
        <v>2134</v>
      </c>
      <c r="C2626" s="194"/>
      <c r="D2626" s="194"/>
      <c r="E2626" s="196" t="s">
        <v>1118</v>
      </c>
      <c r="F2626" s="195">
        <v>800</v>
      </c>
      <c r="G2626" s="197" t="s">
        <v>470</v>
      </c>
      <c r="H2626" s="197" t="s">
        <v>471</v>
      </c>
      <c r="J2626" s="195">
        <v>1</v>
      </c>
      <c r="K2626" s="204" t="s">
        <v>224</v>
      </c>
      <c r="L2626" s="199">
        <v>2</v>
      </c>
      <c r="M2626" s="200">
        <v>1.5</v>
      </c>
      <c r="N2626" s="201">
        <v>22</v>
      </c>
    </row>
    <row r="2627" spans="1:14">
      <c r="A2627" s="194">
        <v>41299.783310185187</v>
      </c>
      <c r="B2627" s="195">
        <v>2134</v>
      </c>
      <c r="C2627" s="194"/>
      <c r="D2627" s="194"/>
      <c r="E2627" s="196" t="s">
        <v>1404</v>
      </c>
      <c r="F2627" s="195">
        <v>800</v>
      </c>
      <c r="G2627" s="197" t="s">
        <v>470</v>
      </c>
      <c r="H2627" s="197" t="s">
        <v>471</v>
      </c>
      <c r="J2627" s="195">
        <v>1</v>
      </c>
      <c r="K2627" s="204" t="s">
        <v>224</v>
      </c>
      <c r="L2627" s="199">
        <v>1</v>
      </c>
      <c r="M2627" s="200">
        <v>0.3</v>
      </c>
      <c r="N2627" s="201">
        <v>23</v>
      </c>
    </row>
    <row r="2628" spans="1:14">
      <c r="A2628" s="194">
        <v>41305.152060185188</v>
      </c>
      <c r="B2628" s="195">
        <v>2134</v>
      </c>
      <c r="C2628" s="194"/>
      <c r="D2628" s="194"/>
      <c r="E2628" s="196" t="s">
        <v>1512</v>
      </c>
      <c r="F2628" s="195">
        <v>800</v>
      </c>
      <c r="G2628" s="197" t="s">
        <v>470</v>
      </c>
      <c r="H2628" s="197" t="s">
        <v>471</v>
      </c>
      <c r="J2628" s="195">
        <v>1</v>
      </c>
      <c r="K2628" s="204" t="s">
        <v>224</v>
      </c>
      <c r="L2628" s="199">
        <v>2</v>
      </c>
      <c r="M2628" s="200">
        <v>1.1000000000000001</v>
      </c>
      <c r="N2628" s="201">
        <v>24</v>
      </c>
    </row>
    <row r="2629" spans="1:14">
      <c r="A2629" s="194">
        <v>41292.511122685188</v>
      </c>
      <c r="B2629" s="195">
        <v>2134</v>
      </c>
      <c r="C2629" s="194"/>
      <c r="D2629" s="194"/>
      <c r="E2629" s="196" t="s">
        <v>1169</v>
      </c>
      <c r="F2629" s="195">
        <v>800</v>
      </c>
      <c r="G2629" s="197" t="s">
        <v>470</v>
      </c>
      <c r="H2629" s="197" t="s">
        <v>471</v>
      </c>
      <c r="J2629" s="195">
        <v>1</v>
      </c>
      <c r="K2629" s="204" t="s">
        <v>224</v>
      </c>
      <c r="L2629" s="199">
        <v>1</v>
      </c>
      <c r="M2629" s="200">
        <v>1.7</v>
      </c>
      <c r="N2629" s="201">
        <v>24</v>
      </c>
    </row>
    <row r="2630" spans="1:14">
      <c r="A2630" s="194">
        <v>41301.508298611108</v>
      </c>
      <c r="B2630" s="195">
        <v>2134</v>
      </c>
      <c r="C2630" s="194"/>
      <c r="D2630" s="194"/>
      <c r="E2630" s="196" t="s">
        <v>1414</v>
      </c>
      <c r="F2630" s="195">
        <v>800</v>
      </c>
      <c r="G2630" s="197" t="s">
        <v>470</v>
      </c>
      <c r="H2630" s="197" t="s">
        <v>471</v>
      </c>
      <c r="J2630" s="195">
        <v>1</v>
      </c>
      <c r="K2630" s="204" t="s">
        <v>224</v>
      </c>
      <c r="L2630" s="199">
        <v>1</v>
      </c>
      <c r="M2630" s="200">
        <v>0.5</v>
      </c>
      <c r="N2630" s="201">
        <v>27</v>
      </c>
    </row>
    <row r="2631" spans="1:14">
      <c r="A2631" s="194">
        <v>41285.597233796296</v>
      </c>
      <c r="B2631" s="195">
        <v>2134</v>
      </c>
      <c r="C2631" s="194"/>
      <c r="D2631" s="194"/>
      <c r="E2631" s="196" t="s">
        <v>928</v>
      </c>
      <c r="F2631" s="195">
        <v>800</v>
      </c>
      <c r="G2631" s="197" t="s">
        <v>470</v>
      </c>
      <c r="H2631" s="197" t="s">
        <v>471</v>
      </c>
      <c r="J2631" s="195">
        <v>1</v>
      </c>
      <c r="K2631" s="204" t="s">
        <v>224</v>
      </c>
      <c r="L2631" s="199">
        <v>1</v>
      </c>
      <c r="M2631" s="200">
        <v>0.6</v>
      </c>
      <c r="N2631" s="201">
        <v>27</v>
      </c>
    </row>
    <row r="2632" spans="1:14">
      <c r="A2632" s="194">
        <v>41293.625694444447</v>
      </c>
      <c r="B2632" s="195">
        <v>2134</v>
      </c>
      <c r="C2632" s="194"/>
      <c r="D2632" s="194"/>
      <c r="E2632" s="196" t="s">
        <v>1205</v>
      </c>
      <c r="F2632" s="195">
        <v>800</v>
      </c>
      <c r="G2632" s="197" t="s">
        <v>470</v>
      </c>
      <c r="H2632" s="197" t="s">
        <v>471</v>
      </c>
      <c r="J2632" s="195">
        <v>1</v>
      </c>
      <c r="K2632" s="204" t="s">
        <v>224</v>
      </c>
      <c r="L2632" s="199">
        <v>2</v>
      </c>
      <c r="M2632" s="200">
        <v>0.6</v>
      </c>
      <c r="N2632" s="201">
        <v>27</v>
      </c>
    </row>
    <row r="2633" spans="1:14">
      <c r="A2633" s="194">
        <v>41294.754166666666</v>
      </c>
      <c r="B2633" s="195">
        <v>2134</v>
      </c>
      <c r="C2633" s="194"/>
      <c r="D2633" s="194"/>
      <c r="E2633" s="196" t="s">
        <v>1173</v>
      </c>
      <c r="F2633" s="195">
        <v>800</v>
      </c>
      <c r="G2633" s="197" t="s">
        <v>470</v>
      </c>
      <c r="H2633" s="197" t="s">
        <v>471</v>
      </c>
      <c r="J2633" s="195">
        <v>1</v>
      </c>
      <c r="K2633" s="204" t="s">
        <v>224</v>
      </c>
      <c r="L2633" s="199">
        <v>2</v>
      </c>
      <c r="M2633" s="200">
        <v>0.7</v>
      </c>
      <c r="N2633" s="201">
        <v>27</v>
      </c>
    </row>
    <row r="2634" spans="1:14">
      <c r="A2634" s="194">
        <v>41295.492349537039</v>
      </c>
      <c r="B2634" s="195">
        <v>2134</v>
      </c>
      <c r="C2634" s="194"/>
      <c r="D2634" s="194"/>
      <c r="E2634" s="196" t="s">
        <v>1117</v>
      </c>
      <c r="F2634" s="195">
        <v>800</v>
      </c>
      <c r="G2634" s="197" t="s">
        <v>470</v>
      </c>
      <c r="H2634" s="197" t="s">
        <v>471</v>
      </c>
      <c r="J2634" s="195">
        <v>1</v>
      </c>
      <c r="K2634" s="204" t="s">
        <v>224</v>
      </c>
      <c r="L2634" s="199">
        <v>1</v>
      </c>
      <c r="M2634" s="200">
        <v>0.8</v>
      </c>
      <c r="N2634" s="201">
        <v>28</v>
      </c>
    </row>
    <row r="2635" spans="1:14">
      <c r="A2635" s="194">
        <v>41305.288865740738</v>
      </c>
      <c r="B2635" s="195">
        <v>2134</v>
      </c>
      <c r="C2635" s="194"/>
      <c r="D2635" s="194"/>
      <c r="E2635" s="196" t="s">
        <v>1513</v>
      </c>
      <c r="F2635" s="195">
        <v>800</v>
      </c>
      <c r="G2635" s="197" t="s">
        <v>470</v>
      </c>
      <c r="H2635" s="197" t="s">
        <v>471</v>
      </c>
      <c r="J2635" s="195">
        <v>1</v>
      </c>
      <c r="K2635" s="204" t="s">
        <v>224</v>
      </c>
      <c r="L2635" s="199">
        <v>2</v>
      </c>
      <c r="M2635" s="200">
        <v>0.9</v>
      </c>
      <c r="N2635" s="201">
        <v>32</v>
      </c>
    </row>
    <row r="2636" spans="1:14">
      <c r="A2636" s="194">
        <v>41295.67291666667</v>
      </c>
      <c r="B2636" s="195">
        <v>2134</v>
      </c>
      <c r="C2636" s="194"/>
      <c r="D2636" s="194"/>
      <c r="E2636" s="196" t="s">
        <v>1119</v>
      </c>
      <c r="F2636" s="195">
        <v>800</v>
      </c>
      <c r="G2636" s="197" t="s">
        <v>470</v>
      </c>
      <c r="H2636" s="197" t="s">
        <v>471</v>
      </c>
      <c r="J2636" s="195">
        <v>1</v>
      </c>
      <c r="K2636" s="204" t="s">
        <v>224</v>
      </c>
      <c r="L2636" s="199">
        <v>2</v>
      </c>
      <c r="M2636" s="200">
        <v>0.9</v>
      </c>
      <c r="N2636" s="201">
        <v>41</v>
      </c>
    </row>
    <row r="2637" spans="1:14">
      <c r="A2637" s="194">
        <v>41300.963877314818</v>
      </c>
      <c r="B2637" s="195">
        <v>2134</v>
      </c>
      <c r="C2637" s="194"/>
      <c r="D2637" s="194"/>
      <c r="E2637" s="198"/>
      <c r="G2637" s="202"/>
      <c r="J2637" s="195">
        <v>2</v>
      </c>
      <c r="K2637" s="204" t="s">
        <v>32</v>
      </c>
      <c r="L2637" s="199">
        <v>2</v>
      </c>
      <c r="M2637" s="200">
        <v>1.2</v>
      </c>
      <c r="N2637" s="201">
        <v>18</v>
      </c>
    </row>
    <row r="2638" spans="1:14">
      <c r="A2638" s="194">
        <v>41305.890243055554</v>
      </c>
      <c r="B2638" s="195">
        <v>2134</v>
      </c>
      <c r="C2638" s="194"/>
      <c r="D2638" s="194"/>
      <c r="E2638" s="198"/>
      <c r="G2638" s="202"/>
      <c r="J2638" s="195">
        <v>2</v>
      </c>
      <c r="K2638" s="204" t="s">
        <v>32</v>
      </c>
      <c r="L2638" s="199">
        <v>2</v>
      </c>
      <c r="M2638" s="200">
        <v>1.1000000000000001</v>
      </c>
      <c r="N2638" s="201">
        <v>19</v>
      </c>
    </row>
    <row r="2639" spans="1:14">
      <c r="A2639" s="194">
        <v>41305.778460648151</v>
      </c>
      <c r="B2639" s="195">
        <v>2134</v>
      </c>
      <c r="C2639" s="194"/>
      <c r="D2639" s="194"/>
      <c r="E2639" s="198"/>
      <c r="G2639" s="202"/>
      <c r="J2639" s="195">
        <v>2</v>
      </c>
      <c r="K2639" s="204" t="s">
        <v>32</v>
      </c>
      <c r="L2639" s="199">
        <v>2</v>
      </c>
      <c r="M2639" s="200">
        <v>1.2</v>
      </c>
      <c r="N2639" s="201">
        <v>19</v>
      </c>
    </row>
    <row r="2640" spans="1:14">
      <c r="A2640" s="194">
        <v>41303.640972222223</v>
      </c>
      <c r="B2640" s="195">
        <v>2134</v>
      </c>
      <c r="C2640" s="194"/>
      <c r="D2640" s="194"/>
      <c r="E2640" s="198"/>
      <c r="G2640" s="202"/>
      <c r="J2640" s="195">
        <v>2</v>
      </c>
      <c r="K2640" s="204" t="s">
        <v>32</v>
      </c>
      <c r="L2640" s="199">
        <v>1</v>
      </c>
      <c r="M2640" s="200">
        <v>0.7</v>
      </c>
      <c r="N2640" s="201">
        <v>21</v>
      </c>
    </row>
    <row r="2641" spans="1:14">
      <c r="A2641" s="194">
        <v>41284.763912037037</v>
      </c>
      <c r="B2641" s="195">
        <v>2134</v>
      </c>
      <c r="C2641" s="194"/>
      <c r="D2641" s="194"/>
      <c r="E2641" s="198"/>
      <c r="G2641" s="202"/>
      <c r="J2641" s="195">
        <v>2</v>
      </c>
      <c r="K2641" s="204" t="s">
        <v>32</v>
      </c>
      <c r="L2641" s="199">
        <v>1</v>
      </c>
      <c r="M2641" s="200">
        <v>0.3</v>
      </c>
      <c r="N2641" s="201">
        <v>23</v>
      </c>
    </row>
    <row r="2642" spans="1:14">
      <c r="A2642" s="194">
        <v>41292.731261574074</v>
      </c>
      <c r="B2642" s="195">
        <v>2134</v>
      </c>
      <c r="C2642" s="194"/>
      <c r="D2642" s="194"/>
      <c r="E2642" s="198"/>
      <c r="G2642" s="202"/>
      <c r="J2642" s="195">
        <v>2</v>
      </c>
      <c r="K2642" s="204" t="s">
        <v>32</v>
      </c>
      <c r="L2642" s="199">
        <v>1</v>
      </c>
      <c r="M2642" s="200">
        <v>0.5</v>
      </c>
      <c r="N2642" s="201">
        <v>25</v>
      </c>
    </row>
    <row r="2643" spans="1:14">
      <c r="A2643" s="194">
        <v>41299.734710648147</v>
      </c>
      <c r="B2643" s="195">
        <v>2134</v>
      </c>
      <c r="C2643" s="194"/>
      <c r="D2643" s="194"/>
      <c r="E2643" s="198"/>
      <c r="G2643" s="202"/>
      <c r="J2643" s="195">
        <v>2</v>
      </c>
      <c r="K2643" s="204" t="s">
        <v>32</v>
      </c>
      <c r="L2643" s="199">
        <v>1</v>
      </c>
      <c r="M2643" s="200">
        <v>0.5</v>
      </c>
      <c r="N2643" s="201">
        <v>26</v>
      </c>
    </row>
    <row r="2644" spans="1:14">
      <c r="A2644" s="194">
        <v>41302.318726851852</v>
      </c>
      <c r="B2644" s="195">
        <v>2134</v>
      </c>
      <c r="C2644" s="194"/>
      <c r="D2644" s="194"/>
      <c r="E2644" s="198"/>
      <c r="G2644" s="202"/>
      <c r="J2644" s="195">
        <v>2</v>
      </c>
      <c r="K2644" s="204" t="s">
        <v>32</v>
      </c>
      <c r="L2644" s="199">
        <v>1</v>
      </c>
      <c r="M2644" s="200">
        <v>0.6</v>
      </c>
      <c r="N2644" s="201">
        <v>27</v>
      </c>
    </row>
    <row r="2645" spans="1:14">
      <c r="A2645" s="194">
        <v>41289.674328703702</v>
      </c>
      <c r="B2645" s="195">
        <v>2134</v>
      </c>
      <c r="C2645" s="194"/>
      <c r="D2645" s="194"/>
      <c r="E2645" s="198"/>
      <c r="G2645" s="202"/>
      <c r="J2645" s="195">
        <v>2</v>
      </c>
      <c r="K2645" s="204" t="s">
        <v>32</v>
      </c>
      <c r="L2645" s="199">
        <v>1</v>
      </c>
      <c r="M2645" s="200">
        <v>0.5</v>
      </c>
      <c r="N2645" s="201">
        <v>28</v>
      </c>
    </row>
    <row r="2646" spans="1:14">
      <c r="A2646" s="194">
        <v>41305.761805555558</v>
      </c>
      <c r="B2646" s="195">
        <v>2134</v>
      </c>
      <c r="C2646" s="194"/>
      <c r="D2646" s="194"/>
      <c r="E2646" s="198"/>
      <c r="G2646" s="202"/>
      <c r="J2646" s="195">
        <v>2</v>
      </c>
      <c r="K2646" s="204" t="s">
        <v>32</v>
      </c>
      <c r="L2646" s="199">
        <v>1</v>
      </c>
      <c r="M2646" s="200">
        <v>1.1000000000000001</v>
      </c>
      <c r="N2646" s="201">
        <v>28</v>
      </c>
    </row>
    <row r="2647" spans="1:14">
      <c r="A2647" s="194">
        <v>41292.794444444444</v>
      </c>
      <c r="B2647" s="195">
        <v>2134</v>
      </c>
      <c r="C2647" s="194"/>
      <c r="D2647" s="194"/>
      <c r="E2647" s="198"/>
      <c r="G2647" s="202"/>
      <c r="J2647" s="195">
        <v>2</v>
      </c>
      <c r="K2647" s="204" t="s">
        <v>32</v>
      </c>
      <c r="L2647" s="199">
        <v>2</v>
      </c>
      <c r="M2647" s="200">
        <v>0.3</v>
      </c>
      <c r="N2647" s="201">
        <v>32</v>
      </c>
    </row>
    <row r="2648" spans="1:14">
      <c r="A2648" s="194">
        <v>41286.919456018521</v>
      </c>
      <c r="B2648" s="195">
        <v>2134</v>
      </c>
      <c r="C2648" s="194"/>
      <c r="D2648" s="194"/>
      <c r="E2648" s="198"/>
      <c r="G2648" s="202"/>
      <c r="J2648" s="195">
        <v>2</v>
      </c>
      <c r="K2648" s="204" t="s">
        <v>32</v>
      </c>
      <c r="L2648" s="199">
        <v>1</v>
      </c>
      <c r="M2648" s="200">
        <v>0.3</v>
      </c>
      <c r="N2648" s="201">
        <v>32</v>
      </c>
    </row>
    <row r="2649" spans="1:14">
      <c r="A2649" s="194">
        <v>41275.565324074072</v>
      </c>
      <c r="B2649" s="195">
        <v>2134</v>
      </c>
      <c r="C2649" s="194"/>
      <c r="D2649" s="194"/>
      <c r="E2649" s="198"/>
      <c r="G2649" s="202"/>
      <c r="J2649" s="195">
        <v>2</v>
      </c>
      <c r="K2649" s="204" t="s">
        <v>32</v>
      </c>
      <c r="L2649" s="199">
        <v>2</v>
      </c>
      <c r="M2649" s="200">
        <v>1.1000000000000001</v>
      </c>
      <c r="N2649" s="201">
        <v>32</v>
      </c>
    </row>
    <row r="2650" spans="1:14">
      <c r="A2650" s="194">
        <v>41292.673622685186</v>
      </c>
      <c r="B2650" s="195">
        <v>2134</v>
      </c>
      <c r="C2650" s="194"/>
      <c r="D2650" s="194"/>
      <c r="E2650" s="198"/>
      <c r="G2650" s="202"/>
      <c r="J2650" s="195">
        <v>3</v>
      </c>
      <c r="K2650" s="204" t="s">
        <v>1595</v>
      </c>
      <c r="L2650" s="199">
        <v>1</v>
      </c>
      <c r="M2650" s="200">
        <v>0.3</v>
      </c>
      <c r="N2650" s="201">
        <v>25</v>
      </c>
    </row>
    <row r="2651" spans="1:14">
      <c r="A2651" s="194">
        <v>41285.766701388886</v>
      </c>
      <c r="B2651" s="195">
        <v>2134</v>
      </c>
      <c r="C2651" s="194"/>
      <c r="D2651" s="194"/>
      <c r="E2651" s="198"/>
      <c r="G2651" s="202"/>
      <c r="J2651" s="195">
        <v>11</v>
      </c>
      <c r="K2651" s="204" t="s">
        <v>1</v>
      </c>
      <c r="L2651" s="199">
        <v>2</v>
      </c>
      <c r="M2651" s="200">
        <v>1.3</v>
      </c>
      <c r="N2651" s="201">
        <v>18</v>
      </c>
    </row>
    <row r="2652" spans="1:14">
      <c r="A2652" s="194">
        <v>41304.785381944443</v>
      </c>
      <c r="B2652" s="195">
        <v>2134</v>
      </c>
      <c r="C2652" s="194"/>
      <c r="D2652" s="194"/>
      <c r="E2652" s="198"/>
      <c r="G2652" s="202"/>
      <c r="J2652" s="195">
        <v>11</v>
      </c>
      <c r="K2652" s="204" t="s">
        <v>1</v>
      </c>
      <c r="L2652" s="199">
        <v>1</v>
      </c>
      <c r="M2652" s="200">
        <v>0.6</v>
      </c>
      <c r="N2652" s="201">
        <v>20</v>
      </c>
    </row>
    <row r="2653" spans="1:14">
      <c r="A2653" s="194">
        <v>41305.898564814815</v>
      </c>
      <c r="B2653" s="195">
        <v>2134</v>
      </c>
      <c r="C2653" s="194"/>
      <c r="D2653" s="194"/>
      <c r="E2653" s="198"/>
      <c r="G2653" s="202"/>
      <c r="J2653" s="195">
        <v>12</v>
      </c>
      <c r="K2653" s="204" t="s">
        <v>7</v>
      </c>
      <c r="L2653" s="199">
        <v>2</v>
      </c>
      <c r="M2653" s="200">
        <v>0.6</v>
      </c>
      <c r="N2653" s="201">
        <v>15</v>
      </c>
    </row>
    <row r="2654" spans="1:14">
      <c r="A2654" s="194">
        <v>41302.646550925929</v>
      </c>
      <c r="B2654" s="195">
        <v>2134</v>
      </c>
      <c r="C2654" s="194"/>
      <c r="D2654" s="194"/>
      <c r="E2654" s="198"/>
      <c r="G2654" s="202"/>
      <c r="J2654" s="195">
        <v>15</v>
      </c>
      <c r="K2654" s="204" t="s">
        <v>4</v>
      </c>
      <c r="L2654" s="199">
        <v>2</v>
      </c>
      <c r="M2654" s="200">
        <v>4.3</v>
      </c>
      <c r="N2654" s="201">
        <v>15</v>
      </c>
    </row>
    <row r="2655" spans="1:14">
      <c r="A2655" s="194">
        <v>41294.006539351853</v>
      </c>
      <c r="B2655" s="195">
        <v>2134</v>
      </c>
      <c r="C2655" s="194"/>
      <c r="D2655" s="194"/>
      <c r="E2655" s="198"/>
      <c r="G2655" s="202"/>
      <c r="J2655" s="195">
        <v>17</v>
      </c>
      <c r="K2655" s="204" t="s">
        <v>11</v>
      </c>
      <c r="L2655" s="199">
        <v>2</v>
      </c>
      <c r="M2655" s="200">
        <v>25.4</v>
      </c>
      <c r="N2655" s="201">
        <v>17</v>
      </c>
    </row>
    <row r="2656" spans="1:14">
      <c r="A2656" s="194">
        <v>41286.549317129633</v>
      </c>
      <c r="B2656" s="195">
        <v>2134</v>
      </c>
      <c r="C2656" s="194"/>
      <c r="D2656" s="194"/>
      <c r="E2656" s="198"/>
      <c r="G2656" s="202"/>
      <c r="J2656" s="195">
        <v>17</v>
      </c>
      <c r="K2656" s="204" t="s">
        <v>11</v>
      </c>
      <c r="L2656" s="199">
        <v>1</v>
      </c>
      <c r="M2656" s="200">
        <v>0.3</v>
      </c>
      <c r="N2656" s="201">
        <v>18</v>
      </c>
    </row>
    <row r="2657" spans="1:14">
      <c r="A2657" s="194">
        <v>41288.255046296297</v>
      </c>
      <c r="B2657" s="195">
        <v>2134</v>
      </c>
      <c r="C2657" s="194"/>
      <c r="D2657" s="194"/>
      <c r="E2657" s="198"/>
      <c r="G2657" s="202"/>
      <c r="J2657" s="195">
        <v>17</v>
      </c>
      <c r="K2657" s="204" t="s">
        <v>11</v>
      </c>
      <c r="L2657" s="199">
        <v>2</v>
      </c>
      <c r="M2657" s="200">
        <v>15.3</v>
      </c>
      <c r="N2657" s="201">
        <v>21</v>
      </c>
    </row>
    <row r="2658" spans="1:14">
      <c r="A2658" s="194">
        <v>41303.638912037037</v>
      </c>
      <c r="B2658" s="195">
        <v>2134</v>
      </c>
      <c r="C2658" s="194"/>
      <c r="D2658" s="194"/>
      <c r="E2658" s="198"/>
      <c r="G2658" s="202"/>
      <c r="J2658" s="195">
        <v>17</v>
      </c>
      <c r="K2658" s="204" t="s">
        <v>11</v>
      </c>
      <c r="L2658" s="199">
        <v>1</v>
      </c>
      <c r="M2658" s="200">
        <v>3.4</v>
      </c>
      <c r="N2658" s="201">
        <v>25</v>
      </c>
    </row>
    <row r="2659" spans="1:14">
      <c r="A2659" s="194">
        <v>41304.428483796299</v>
      </c>
      <c r="B2659" s="195">
        <v>2134</v>
      </c>
      <c r="C2659" s="194"/>
      <c r="D2659" s="194"/>
      <c r="E2659" s="198"/>
      <c r="G2659" s="202"/>
      <c r="J2659" s="195">
        <v>17</v>
      </c>
      <c r="K2659" s="204" t="s">
        <v>11</v>
      </c>
      <c r="L2659" s="199">
        <v>2</v>
      </c>
      <c r="M2659" s="200">
        <v>4.7</v>
      </c>
      <c r="N2659" s="201">
        <v>30</v>
      </c>
    </row>
    <row r="2660" spans="1:14">
      <c r="A2660" s="194">
        <v>41290.120393518519</v>
      </c>
      <c r="B2660" s="195">
        <v>2134</v>
      </c>
      <c r="C2660" s="194"/>
      <c r="D2660" s="194"/>
      <c r="E2660" s="198"/>
      <c r="G2660" s="202"/>
      <c r="J2660" s="195">
        <v>17</v>
      </c>
      <c r="K2660" s="204" t="s">
        <v>11</v>
      </c>
      <c r="L2660" s="199">
        <v>1</v>
      </c>
      <c r="M2660" s="200">
        <v>21.4</v>
      </c>
      <c r="N2660" s="201">
        <v>37</v>
      </c>
    </row>
    <row r="2661" spans="1:14">
      <c r="A2661" s="194">
        <v>41291.052835648145</v>
      </c>
      <c r="B2661" s="195">
        <v>2134</v>
      </c>
      <c r="C2661" s="194"/>
      <c r="D2661" s="194"/>
      <c r="E2661" s="198"/>
      <c r="G2661" s="202"/>
      <c r="J2661" s="195">
        <v>18</v>
      </c>
      <c r="K2661" s="204" t="s">
        <v>5</v>
      </c>
      <c r="L2661" s="199">
        <v>2</v>
      </c>
      <c r="M2661" s="200">
        <v>5.3</v>
      </c>
      <c r="N2661" s="201">
        <v>15</v>
      </c>
    </row>
    <row r="2662" spans="1:14">
      <c r="A2662" s="194">
        <v>41276.151469907411</v>
      </c>
      <c r="B2662" s="195">
        <v>2134</v>
      </c>
      <c r="C2662" s="194"/>
      <c r="D2662" s="194"/>
      <c r="E2662" s="198"/>
      <c r="G2662" s="202"/>
      <c r="J2662" s="195">
        <v>18</v>
      </c>
      <c r="K2662" s="204" t="s">
        <v>5</v>
      </c>
      <c r="L2662" s="199">
        <v>2</v>
      </c>
      <c r="M2662" s="200">
        <v>4.4000000000000004</v>
      </c>
      <c r="N2662" s="201">
        <v>16</v>
      </c>
    </row>
    <row r="2663" spans="1:14">
      <c r="A2663" s="194">
        <v>41303.471782407411</v>
      </c>
      <c r="B2663" s="195">
        <v>2134</v>
      </c>
      <c r="C2663" s="194"/>
      <c r="D2663" s="194"/>
      <c r="E2663" s="198"/>
      <c r="G2663" s="202"/>
      <c r="J2663" s="195">
        <v>18</v>
      </c>
      <c r="K2663" s="204" t="s">
        <v>5</v>
      </c>
      <c r="L2663" s="199">
        <v>2</v>
      </c>
      <c r="M2663" s="200">
        <v>25.8</v>
      </c>
      <c r="N2663" s="201">
        <v>16</v>
      </c>
    </row>
    <row r="2664" spans="1:14">
      <c r="A2664" s="194">
        <v>41284.765451388892</v>
      </c>
      <c r="B2664" s="195">
        <v>2134</v>
      </c>
      <c r="C2664" s="194"/>
      <c r="D2664" s="194"/>
      <c r="E2664" s="198"/>
      <c r="G2664" s="202"/>
      <c r="J2664" s="195">
        <v>18</v>
      </c>
      <c r="K2664" s="204" t="s">
        <v>5</v>
      </c>
      <c r="L2664" s="199">
        <v>2</v>
      </c>
      <c r="M2664" s="200">
        <v>13.1</v>
      </c>
      <c r="N2664" s="201">
        <v>18</v>
      </c>
    </row>
    <row r="2665" spans="1:14">
      <c r="A2665" s="194">
        <v>41303.564652777779</v>
      </c>
      <c r="B2665" s="195">
        <v>2134</v>
      </c>
      <c r="C2665" s="194"/>
      <c r="D2665" s="194"/>
      <c r="E2665" s="198"/>
      <c r="G2665" s="202"/>
      <c r="J2665" s="195">
        <v>18</v>
      </c>
      <c r="K2665" s="204" t="s">
        <v>5</v>
      </c>
      <c r="L2665" s="199">
        <v>1</v>
      </c>
      <c r="M2665" s="200">
        <v>9.3000000000000007</v>
      </c>
      <c r="N2665" s="201">
        <v>20</v>
      </c>
    </row>
    <row r="2666" spans="1:14">
      <c r="A2666" s="194">
        <v>41284.793252314812</v>
      </c>
      <c r="B2666" s="195">
        <v>2134</v>
      </c>
      <c r="C2666" s="194"/>
      <c r="D2666" s="194"/>
      <c r="E2666" s="198"/>
      <c r="G2666" s="202"/>
      <c r="J2666" s="195">
        <v>18</v>
      </c>
      <c r="K2666" s="204" t="s">
        <v>5</v>
      </c>
      <c r="L2666" s="199">
        <v>1</v>
      </c>
      <c r="M2666" s="200">
        <v>16</v>
      </c>
      <c r="N2666" s="201">
        <v>21</v>
      </c>
    </row>
    <row r="2667" spans="1:14">
      <c r="A2667" s="194">
        <v>41292.067476851851</v>
      </c>
      <c r="B2667" s="195">
        <v>2134</v>
      </c>
      <c r="C2667" s="194"/>
      <c r="D2667" s="194"/>
      <c r="E2667" s="198"/>
      <c r="G2667" s="202"/>
      <c r="J2667" s="195">
        <v>18</v>
      </c>
      <c r="K2667" s="204" t="s">
        <v>5</v>
      </c>
      <c r="L2667" s="199">
        <v>1</v>
      </c>
      <c r="M2667" s="200">
        <v>10.4</v>
      </c>
      <c r="N2667" s="201">
        <v>22</v>
      </c>
    </row>
    <row r="2668" spans="1:14">
      <c r="A2668" s="194">
        <v>41304.390393518515</v>
      </c>
      <c r="B2668" s="195">
        <v>2134</v>
      </c>
      <c r="C2668" s="194"/>
      <c r="D2668" s="194"/>
      <c r="E2668" s="198"/>
      <c r="G2668" s="202"/>
      <c r="J2668" s="195">
        <v>18</v>
      </c>
      <c r="K2668" s="204" t="s">
        <v>5</v>
      </c>
      <c r="L2668" s="199">
        <v>1</v>
      </c>
      <c r="M2668" s="200">
        <v>13</v>
      </c>
      <c r="N2668" s="201">
        <v>23</v>
      </c>
    </row>
    <row r="2669" spans="1:14">
      <c r="A2669" s="194">
        <v>41294.388206018521</v>
      </c>
      <c r="B2669" s="195">
        <v>2134</v>
      </c>
      <c r="C2669" s="194"/>
      <c r="D2669" s="194"/>
      <c r="E2669" s="198"/>
      <c r="G2669" s="202"/>
      <c r="J2669" s="195">
        <v>18</v>
      </c>
      <c r="K2669" s="204" t="s">
        <v>5</v>
      </c>
      <c r="L2669" s="199">
        <v>2</v>
      </c>
      <c r="M2669" s="200">
        <v>2.1</v>
      </c>
      <c r="N2669" s="201">
        <v>24</v>
      </c>
    </row>
    <row r="2670" spans="1:14">
      <c r="A2670" s="194">
        <v>41282.616712962961</v>
      </c>
      <c r="B2670" s="195">
        <v>2134</v>
      </c>
      <c r="C2670" s="194"/>
      <c r="D2670" s="194"/>
      <c r="E2670" s="196" t="s">
        <v>2031</v>
      </c>
      <c r="G2670" s="202"/>
      <c r="J2670" s="195">
        <v>24</v>
      </c>
      <c r="K2670" s="204" t="s">
        <v>25</v>
      </c>
      <c r="L2670" s="199">
        <v>2</v>
      </c>
      <c r="M2670" s="200">
        <v>2.5</v>
      </c>
      <c r="N2670" s="201">
        <v>14</v>
      </c>
    </row>
    <row r="2671" spans="1:14">
      <c r="A2671" s="194">
        <v>41299.710416666669</v>
      </c>
      <c r="B2671" s="195">
        <v>2134</v>
      </c>
      <c r="C2671" s="194"/>
      <c r="D2671" s="194"/>
      <c r="E2671" s="196" t="s">
        <v>1816</v>
      </c>
      <c r="G2671" s="202"/>
      <c r="J2671" s="195">
        <v>24</v>
      </c>
      <c r="K2671" s="204" t="s">
        <v>25</v>
      </c>
      <c r="L2671" s="199">
        <v>1</v>
      </c>
      <c r="M2671" s="200">
        <v>1.4</v>
      </c>
      <c r="N2671" s="201">
        <v>30</v>
      </c>
    </row>
    <row r="2672" spans="1:14">
      <c r="A2672" s="194">
        <v>41285.847928240742</v>
      </c>
      <c r="B2672" s="195">
        <v>2134</v>
      </c>
      <c r="C2672" s="194"/>
      <c r="D2672" s="194"/>
      <c r="E2672" s="196" t="s">
        <v>1781</v>
      </c>
      <c r="G2672" s="202"/>
      <c r="J2672" s="195">
        <v>29</v>
      </c>
      <c r="K2672" s="204" t="s">
        <v>39</v>
      </c>
      <c r="L2672" s="199">
        <v>2</v>
      </c>
      <c r="M2672" s="200">
        <v>0.3</v>
      </c>
      <c r="N2672" s="201">
        <v>21</v>
      </c>
    </row>
    <row r="2673" spans="1:14">
      <c r="A2673" s="194">
        <v>41293.640960648147</v>
      </c>
      <c r="B2673" s="195">
        <v>2134</v>
      </c>
      <c r="C2673" s="194"/>
      <c r="D2673" s="194"/>
      <c r="E2673" s="198"/>
      <c r="G2673" s="202"/>
      <c r="J2673" s="195">
        <v>43</v>
      </c>
      <c r="K2673" s="204" t="s">
        <v>1596</v>
      </c>
      <c r="L2673" s="199">
        <v>2</v>
      </c>
      <c r="M2673" s="200">
        <v>0.3</v>
      </c>
      <c r="N2673" s="201">
        <v>16</v>
      </c>
    </row>
    <row r="2674" spans="1:14">
      <c r="A2674" s="194">
        <v>41293.925694444442</v>
      </c>
      <c r="B2674" s="195">
        <v>2134</v>
      </c>
      <c r="C2674" s="194"/>
      <c r="D2674" s="194"/>
      <c r="E2674" s="198"/>
      <c r="G2674" s="202"/>
      <c r="J2674" s="195">
        <v>43</v>
      </c>
      <c r="K2674" s="204" t="s">
        <v>1596</v>
      </c>
      <c r="L2674" s="199">
        <v>2</v>
      </c>
      <c r="M2674" s="200">
        <v>0.4</v>
      </c>
      <c r="N2674" s="201">
        <v>16</v>
      </c>
    </row>
    <row r="2675" spans="1:14">
      <c r="A2675" s="194">
        <v>41291.777777777781</v>
      </c>
      <c r="B2675" s="195">
        <v>2134</v>
      </c>
      <c r="C2675" s="194"/>
      <c r="D2675" s="194"/>
      <c r="E2675" s="198"/>
      <c r="G2675" s="202"/>
      <c r="J2675" s="195">
        <v>43</v>
      </c>
      <c r="K2675" s="204" t="s">
        <v>1596</v>
      </c>
      <c r="L2675" s="199">
        <v>2</v>
      </c>
      <c r="M2675" s="200">
        <v>0.4</v>
      </c>
      <c r="N2675" s="201">
        <v>16</v>
      </c>
    </row>
    <row r="2676" spans="1:14">
      <c r="A2676" s="194">
        <v>41303.721539351849</v>
      </c>
      <c r="B2676" s="195">
        <v>2134</v>
      </c>
      <c r="C2676" s="194"/>
      <c r="D2676" s="194"/>
      <c r="E2676" s="198"/>
      <c r="G2676" s="202"/>
      <c r="J2676" s="195">
        <v>43</v>
      </c>
      <c r="K2676" s="204" t="s">
        <v>1596</v>
      </c>
      <c r="L2676" s="199">
        <v>2</v>
      </c>
      <c r="M2676" s="200">
        <v>2</v>
      </c>
      <c r="N2676" s="201">
        <v>16</v>
      </c>
    </row>
    <row r="2677" spans="1:14">
      <c r="A2677" s="194">
        <v>41288.428483796299</v>
      </c>
      <c r="B2677" s="195">
        <v>2134</v>
      </c>
      <c r="C2677" s="194"/>
      <c r="D2677" s="194"/>
      <c r="E2677" s="198"/>
      <c r="G2677" s="202"/>
      <c r="J2677" s="195">
        <v>43</v>
      </c>
      <c r="K2677" s="204" t="s">
        <v>1596</v>
      </c>
      <c r="L2677" s="199">
        <v>2</v>
      </c>
      <c r="M2677" s="200">
        <v>1</v>
      </c>
      <c r="N2677" s="201">
        <v>17</v>
      </c>
    </row>
    <row r="2678" spans="1:14">
      <c r="A2678" s="194">
        <v>41305.834004629629</v>
      </c>
      <c r="B2678" s="195">
        <v>2134</v>
      </c>
      <c r="C2678" s="194"/>
      <c r="D2678" s="194"/>
      <c r="E2678" s="198"/>
      <c r="G2678" s="202"/>
      <c r="J2678" s="195">
        <v>43</v>
      </c>
      <c r="K2678" s="204" t="s">
        <v>1596</v>
      </c>
      <c r="L2678" s="199">
        <v>2</v>
      </c>
      <c r="M2678" s="200">
        <v>0.5</v>
      </c>
      <c r="N2678" s="201">
        <v>18</v>
      </c>
    </row>
    <row r="2679" spans="1:14">
      <c r="A2679" s="194">
        <v>41282.695185185185</v>
      </c>
      <c r="B2679" s="195">
        <v>2134</v>
      </c>
      <c r="C2679" s="194"/>
      <c r="D2679" s="194"/>
      <c r="E2679" s="198"/>
      <c r="G2679" s="202"/>
      <c r="J2679" s="195">
        <v>43</v>
      </c>
      <c r="K2679" s="204" t="s">
        <v>1596</v>
      </c>
      <c r="L2679" s="199">
        <v>2</v>
      </c>
      <c r="M2679" s="200">
        <v>1.4</v>
      </c>
      <c r="N2679" s="201">
        <v>18</v>
      </c>
    </row>
    <row r="2680" spans="1:14">
      <c r="A2680" s="194">
        <v>41305.417812500003</v>
      </c>
      <c r="B2680" s="195">
        <v>2134</v>
      </c>
      <c r="C2680" s="194"/>
      <c r="D2680" s="194"/>
      <c r="E2680" s="198"/>
      <c r="G2680" s="202"/>
      <c r="J2680" s="195">
        <v>43</v>
      </c>
      <c r="K2680" s="204" t="s">
        <v>1596</v>
      </c>
      <c r="L2680" s="199">
        <v>2</v>
      </c>
      <c r="M2680" s="200">
        <v>0.5</v>
      </c>
      <c r="N2680" s="201">
        <v>19</v>
      </c>
    </row>
    <row r="2681" spans="1:14">
      <c r="A2681" s="194">
        <v>41304.110532407409</v>
      </c>
      <c r="B2681" s="195">
        <v>2134</v>
      </c>
      <c r="C2681" s="194"/>
      <c r="D2681" s="194"/>
      <c r="E2681" s="198"/>
      <c r="G2681" s="202"/>
      <c r="J2681" s="195">
        <v>4400</v>
      </c>
      <c r="K2681" s="204" t="s">
        <v>37</v>
      </c>
      <c r="L2681" s="199">
        <v>1</v>
      </c>
      <c r="M2681" s="200">
        <v>12.2</v>
      </c>
      <c r="N2681" s="201">
        <v>0</v>
      </c>
    </row>
    <row r="2682" spans="1:14">
      <c r="A2682" s="194">
        <v>41283.110648148147</v>
      </c>
      <c r="B2682" s="195">
        <v>2134</v>
      </c>
      <c r="C2682" s="194"/>
      <c r="D2682" s="194"/>
      <c r="E2682" s="198"/>
      <c r="G2682" s="202"/>
      <c r="J2682" s="195">
        <v>4400</v>
      </c>
      <c r="K2682" s="204" t="s">
        <v>37</v>
      </c>
      <c r="L2682" s="199">
        <v>1</v>
      </c>
      <c r="M2682" s="200">
        <v>18.3</v>
      </c>
      <c r="N2682" s="201">
        <v>0</v>
      </c>
    </row>
    <row r="2683" spans="1:14">
      <c r="A2683" s="194">
        <v>41285.139780092592</v>
      </c>
      <c r="B2683" s="195">
        <v>2134</v>
      </c>
      <c r="C2683" s="194"/>
      <c r="D2683" s="194"/>
      <c r="E2683" s="198"/>
      <c r="G2683" s="202"/>
      <c r="J2683" s="195">
        <v>4400</v>
      </c>
      <c r="K2683" s="204" t="s">
        <v>37</v>
      </c>
      <c r="L2683" s="199">
        <v>1</v>
      </c>
      <c r="M2683" s="200">
        <v>15.7</v>
      </c>
      <c r="N2683" s="201">
        <v>32</v>
      </c>
    </row>
    <row r="2684" spans="1:14">
      <c r="A2684" s="194">
        <v>41295.838182870371</v>
      </c>
      <c r="B2684" s="195">
        <v>2134</v>
      </c>
      <c r="C2684" s="194"/>
      <c r="D2684" s="194"/>
      <c r="E2684" s="198"/>
      <c r="G2684" s="202"/>
      <c r="J2684" s="195">
        <v>6100</v>
      </c>
      <c r="K2684" s="204" t="s">
        <v>38</v>
      </c>
      <c r="L2684" s="199">
        <v>1</v>
      </c>
      <c r="M2684" s="200">
        <v>0.5</v>
      </c>
      <c r="N2684" s="201">
        <v>28</v>
      </c>
    </row>
    <row r="2685" spans="1:14">
      <c r="A2685" s="194">
        <v>41303.924108796295</v>
      </c>
      <c r="B2685" s="195">
        <v>2142</v>
      </c>
      <c r="C2685" s="194"/>
      <c r="D2685" s="194"/>
      <c r="E2685" s="196" t="s">
        <v>392</v>
      </c>
      <c r="F2685" s="195">
        <v>456</v>
      </c>
      <c r="G2685" s="197" t="s">
        <v>141</v>
      </c>
      <c r="H2685" s="197" t="s">
        <v>223</v>
      </c>
      <c r="I2685" s="196" t="s">
        <v>226</v>
      </c>
      <c r="J2685" s="195">
        <v>1</v>
      </c>
      <c r="K2685" s="204" t="s">
        <v>224</v>
      </c>
      <c r="L2685" s="199">
        <v>2</v>
      </c>
      <c r="M2685" s="200">
        <v>0.4</v>
      </c>
      <c r="N2685" s="201">
        <v>33</v>
      </c>
    </row>
    <row r="2686" spans="1:14">
      <c r="A2686" s="194">
        <v>41289.49013888889</v>
      </c>
      <c r="B2686" s="195">
        <v>2142</v>
      </c>
      <c r="C2686" s="194"/>
      <c r="D2686" s="194"/>
      <c r="E2686" s="196" t="s">
        <v>313</v>
      </c>
      <c r="F2686" s="195">
        <v>456</v>
      </c>
      <c r="G2686" s="197" t="s">
        <v>141</v>
      </c>
      <c r="H2686" s="197" t="s">
        <v>223</v>
      </c>
      <c r="I2686" s="196" t="s">
        <v>226</v>
      </c>
      <c r="J2686" s="195">
        <v>1</v>
      </c>
      <c r="K2686" s="204" t="s">
        <v>224</v>
      </c>
      <c r="L2686" s="199">
        <v>3</v>
      </c>
      <c r="M2686" s="200">
        <v>0.4</v>
      </c>
      <c r="N2686" s="201">
        <v>35</v>
      </c>
    </row>
    <row r="2687" spans="1:14">
      <c r="A2687" s="194">
        <v>41296.747060185182</v>
      </c>
      <c r="B2687" s="195">
        <v>2142</v>
      </c>
      <c r="C2687" s="194"/>
      <c r="D2687" s="194"/>
      <c r="E2687" s="196" t="s">
        <v>351</v>
      </c>
      <c r="F2687" s="195">
        <v>456</v>
      </c>
      <c r="G2687" s="197" t="s">
        <v>141</v>
      </c>
      <c r="H2687" s="197" t="s">
        <v>223</v>
      </c>
      <c r="I2687" s="196" t="s">
        <v>226</v>
      </c>
      <c r="J2687" s="195">
        <v>1</v>
      </c>
      <c r="K2687" s="204" t="s">
        <v>224</v>
      </c>
      <c r="L2687" s="199">
        <v>2</v>
      </c>
      <c r="M2687" s="200">
        <v>0.4</v>
      </c>
      <c r="N2687" s="201">
        <v>38</v>
      </c>
    </row>
    <row r="2688" spans="1:14">
      <c r="A2688" s="194">
        <v>41292.673298611109</v>
      </c>
      <c r="B2688" s="195">
        <v>2142</v>
      </c>
      <c r="C2688" s="194"/>
      <c r="D2688" s="194"/>
      <c r="E2688" s="196" t="s">
        <v>1172</v>
      </c>
      <c r="F2688" s="195">
        <v>800</v>
      </c>
      <c r="G2688" s="197" t="s">
        <v>470</v>
      </c>
      <c r="H2688" s="197" t="s">
        <v>471</v>
      </c>
      <c r="J2688" s="195">
        <v>1</v>
      </c>
      <c r="K2688" s="204" t="s">
        <v>224</v>
      </c>
      <c r="L2688" s="199">
        <v>3</v>
      </c>
      <c r="M2688" s="200">
        <v>0.9</v>
      </c>
      <c r="N2688" s="201">
        <v>19</v>
      </c>
    </row>
    <row r="2689" spans="1:14">
      <c r="A2689" s="194">
        <v>41291.756643518522</v>
      </c>
      <c r="B2689" s="195">
        <v>2142</v>
      </c>
      <c r="C2689" s="194"/>
      <c r="D2689" s="194"/>
      <c r="E2689" s="196" t="s">
        <v>1116</v>
      </c>
      <c r="F2689" s="195">
        <v>800</v>
      </c>
      <c r="G2689" s="197" t="s">
        <v>470</v>
      </c>
      <c r="H2689" s="197" t="s">
        <v>471</v>
      </c>
      <c r="J2689" s="195">
        <v>1</v>
      </c>
      <c r="K2689" s="204" t="s">
        <v>224</v>
      </c>
      <c r="L2689" s="199">
        <v>3</v>
      </c>
      <c r="M2689" s="200">
        <v>1.1000000000000001</v>
      </c>
      <c r="N2689" s="201">
        <v>23</v>
      </c>
    </row>
    <row r="2690" spans="1:14">
      <c r="A2690" s="194">
        <v>41304.356400462966</v>
      </c>
      <c r="B2690" s="195">
        <v>2142</v>
      </c>
      <c r="C2690" s="194"/>
      <c r="D2690" s="194"/>
      <c r="E2690" s="196" t="s">
        <v>1549</v>
      </c>
      <c r="F2690" s="195">
        <v>800</v>
      </c>
      <c r="G2690" s="197" t="s">
        <v>470</v>
      </c>
      <c r="H2690" s="197" t="s">
        <v>471</v>
      </c>
      <c r="J2690" s="195">
        <v>1</v>
      </c>
      <c r="K2690" s="204" t="s">
        <v>224</v>
      </c>
      <c r="L2690" s="199">
        <v>3</v>
      </c>
      <c r="M2690" s="200">
        <v>0.4</v>
      </c>
      <c r="N2690" s="201">
        <v>25</v>
      </c>
    </row>
    <row r="2691" spans="1:14">
      <c r="A2691" s="194">
        <v>41295.058703703704</v>
      </c>
      <c r="B2691" s="195">
        <v>2142</v>
      </c>
      <c r="C2691" s="194"/>
      <c r="D2691" s="194"/>
      <c r="E2691" s="196" t="s">
        <v>1120</v>
      </c>
      <c r="F2691" s="195">
        <v>800</v>
      </c>
      <c r="G2691" s="197" t="s">
        <v>470</v>
      </c>
      <c r="H2691" s="197" t="s">
        <v>471</v>
      </c>
      <c r="J2691" s="195">
        <v>1</v>
      </c>
      <c r="K2691" s="204" t="s">
        <v>224</v>
      </c>
      <c r="L2691" s="199">
        <v>2</v>
      </c>
      <c r="M2691" s="200">
        <v>0.7</v>
      </c>
      <c r="N2691" s="201">
        <v>27</v>
      </c>
    </row>
    <row r="2692" spans="1:14">
      <c r="A2692" s="194">
        <v>41281.739282407405</v>
      </c>
      <c r="B2692" s="195">
        <v>2142</v>
      </c>
      <c r="C2692" s="194"/>
      <c r="D2692" s="194"/>
      <c r="E2692" s="196" t="s">
        <v>715</v>
      </c>
      <c r="F2692" s="195">
        <v>800</v>
      </c>
      <c r="G2692" s="197" t="s">
        <v>470</v>
      </c>
      <c r="H2692" s="197" t="s">
        <v>471</v>
      </c>
      <c r="J2692" s="195">
        <v>1</v>
      </c>
      <c r="K2692" s="204" t="s">
        <v>224</v>
      </c>
      <c r="L2692" s="199">
        <v>3</v>
      </c>
      <c r="M2692" s="200">
        <v>0.9</v>
      </c>
      <c r="N2692" s="201">
        <v>27</v>
      </c>
    </row>
    <row r="2693" spans="1:14">
      <c r="A2693" s="194">
        <v>41290.340856481482</v>
      </c>
      <c r="B2693" s="195">
        <v>2142</v>
      </c>
      <c r="C2693" s="194"/>
      <c r="D2693" s="194"/>
      <c r="E2693" s="196" t="s">
        <v>1049</v>
      </c>
      <c r="F2693" s="195">
        <v>800</v>
      </c>
      <c r="G2693" s="197" t="s">
        <v>470</v>
      </c>
      <c r="H2693" s="197" t="s">
        <v>471</v>
      </c>
      <c r="J2693" s="195">
        <v>1</v>
      </c>
      <c r="K2693" s="204" t="s">
        <v>224</v>
      </c>
      <c r="L2693" s="199">
        <v>2</v>
      </c>
      <c r="M2693" s="200">
        <v>2.1</v>
      </c>
      <c r="N2693" s="201">
        <v>30</v>
      </c>
    </row>
    <row r="2694" spans="1:14">
      <c r="A2694" s="194">
        <v>41292.603854166664</v>
      </c>
      <c r="B2694" s="195">
        <v>2142</v>
      </c>
      <c r="C2694" s="194"/>
      <c r="D2694" s="194"/>
      <c r="E2694" s="196" t="s">
        <v>1171</v>
      </c>
      <c r="F2694" s="195">
        <v>800</v>
      </c>
      <c r="G2694" s="197" t="s">
        <v>470</v>
      </c>
      <c r="H2694" s="197" t="s">
        <v>471</v>
      </c>
      <c r="J2694" s="195">
        <v>1</v>
      </c>
      <c r="K2694" s="204" t="s">
        <v>224</v>
      </c>
      <c r="L2694" s="199">
        <v>3</v>
      </c>
      <c r="M2694" s="200">
        <v>0.3</v>
      </c>
      <c r="N2694" s="201">
        <v>31</v>
      </c>
    </row>
    <row r="2695" spans="1:14">
      <c r="A2695" s="194">
        <v>41286.496215277781</v>
      </c>
      <c r="B2695" s="195">
        <v>2142</v>
      </c>
      <c r="C2695" s="194"/>
      <c r="D2695" s="194"/>
      <c r="E2695" s="196" t="s">
        <v>911</v>
      </c>
      <c r="F2695" s="195">
        <v>800</v>
      </c>
      <c r="G2695" s="197" t="s">
        <v>470</v>
      </c>
      <c r="H2695" s="197" t="s">
        <v>471</v>
      </c>
      <c r="J2695" s="195">
        <v>1</v>
      </c>
      <c r="K2695" s="204" t="s">
        <v>224</v>
      </c>
      <c r="L2695" s="199">
        <v>3</v>
      </c>
      <c r="M2695" s="200">
        <v>0.4</v>
      </c>
      <c r="N2695" s="201">
        <v>32</v>
      </c>
    </row>
    <row r="2696" spans="1:14">
      <c r="A2696" s="194">
        <v>41296.025312500002</v>
      </c>
      <c r="B2696" s="195">
        <v>2142</v>
      </c>
      <c r="C2696" s="194"/>
      <c r="D2696" s="194"/>
      <c r="E2696" s="196" t="s">
        <v>1094</v>
      </c>
      <c r="F2696" s="195">
        <v>800</v>
      </c>
      <c r="G2696" s="197" t="s">
        <v>470</v>
      </c>
      <c r="H2696" s="197" t="s">
        <v>471</v>
      </c>
      <c r="J2696" s="195">
        <v>1</v>
      </c>
      <c r="K2696" s="204" t="s">
        <v>224</v>
      </c>
      <c r="L2696" s="199">
        <v>2</v>
      </c>
      <c r="M2696" s="200">
        <v>40.9</v>
      </c>
      <c r="N2696" s="201">
        <v>32</v>
      </c>
    </row>
    <row r="2697" spans="1:14">
      <c r="A2697" s="194">
        <v>41301.555196759262</v>
      </c>
      <c r="B2697" s="195">
        <v>2142</v>
      </c>
      <c r="C2697" s="194"/>
      <c r="D2697" s="194"/>
      <c r="E2697" s="196" t="s">
        <v>1415</v>
      </c>
      <c r="F2697" s="195">
        <v>800</v>
      </c>
      <c r="G2697" s="197" t="s">
        <v>470</v>
      </c>
      <c r="H2697" s="197" t="s">
        <v>471</v>
      </c>
      <c r="J2697" s="195">
        <v>1</v>
      </c>
      <c r="K2697" s="204" t="s">
        <v>224</v>
      </c>
      <c r="L2697" s="199">
        <v>3</v>
      </c>
      <c r="M2697" s="200">
        <v>0.9</v>
      </c>
      <c r="N2697" s="201">
        <v>33</v>
      </c>
    </row>
    <row r="2698" spans="1:14">
      <c r="A2698" s="194">
        <v>41277.551793981482</v>
      </c>
      <c r="B2698" s="195">
        <v>2142</v>
      </c>
      <c r="C2698" s="194"/>
      <c r="D2698" s="194"/>
      <c r="E2698" s="196" t="s">
        <v>626</v>
      </c>
      <c r="F2698" s="195">
        <v>800</v>
      </c>
      <c r="G2698" s="197" t="s">
        <v>470</v>
      </c>
      <c r="H2698" s="197" t="s">
        <v>471</v>
      </c>
      <c r="J2698" s="195">
        <v>1</v>
      </c>
      <c r="K2698" s="204" t="s">
        <v>224</v>
      </c>
      <c r="L2698" s="199">
        <v>3</v>
      </c>
      <c r="M2698" s="200">
        <v>0.8</v>
      </c>
      <c r="N2698" s="201">
        <v>34</v>
      </c>
    </row>
    <row r="2699" spans="1:14">
      <c r="A2699" s="194">
        <v>41300.096863425926</v>
      </c>
      <c r="B2699" s="195">
        <v>2142</v>
      </c>
      <c r="C2699" s="194"/>
      <c r="D2699" s="194"/>
      <c r="E2699" s="196" t="s">
        <v>1448</v>
      </c>
      <c r="F2699" s="195">
        <v>800</v>
      </c>
      <c r="G2699" s="197" t="s">
        <v>470</v>
      </c>
      <c r="H2699" s="197" t="s">
        <v>471</v>
      </c>
      <c r="J2699" s="195">
        <v>1</v>
      </c>
      <c r="K2699" s="204" t="s">
        <v>224</v>
      </c>
      <c r="L2699" s="199">
        <v>3</v>
      </c>
      <c r="M2699" s="200">
        <v>0.3</v>
      </c>
      <c r="N2699" s="201">
        <v>35</v>
      </c>
    </row>
    <row r="2700" spans="1:14">
      <c r="A2700" s="194">
        <v>41295.621203703704</v>
      </c>
      <c r="B2700" s="195">
        <v>2142</v>
      </c>
      <c r="C2700" s="194"/>
      <c r="D2700" s="194"/>
      <c r="E2700" s="196" t="s">
        <v>1122</v>
      </c>
      <c r="F2700" s="195">
        <v>800</v>
      </c>
      <c r="G2700" s="197" t="s">
        <v>470</v>
      </c>
      <c r="H2700" s="197" t="s">
        <v>471</v>
      </c>
      <c r="J2700" s="195">
        <v>1</v>
      </c>
      <c r="K2700" s="204" t="s">
        <v>224</v>
      </c>
      <c r="L2700" s="199">
        <v>2</v>
      </c>
      <c r="M2700" s="200">
        <v>0.7</v>
      </c>
      <c r="N2700" s="201">
        <v>35</v>
      </c>
    </row>
    <row r="2701" spans="1:14">
      <c r="A2701" s="194">
        <v>41294.32953703704</v>
      </c>
      <c r="B2701" s="195">
        <v>2142</v>
      </c>
      <c r="C2701" s="194"/>
      <c r="D2701" s="194"/>
      <c r="E2701" s="196" t="s">
        <v>1174</v>
      </c>
      <c r="F2701" s="195">
        <v>800</v>
      </c>
      <c r="G2701" s="197" t="s">
        <v>470</v>
      </c>
      <c r="H2701" s="197" t="s">
        <v>471</v>
      </c>
      <c r="J2701" s="195">
        <v>1</v>
      </c>
      <c r="K2701" s="204" t="s">
        <v>224</v>
      </c>
      <c r="L2701" s="199">
        <v>2</v>
      </c>
      <c r="M2701" s="200">
        <v>0.7</v>
      </c>
      <c r="N2701" s="201">
        <v>35</v>
      </c>
    </row>
    <row r="2702" spans="1:14">
      <c r="A2702" s="194">
        <v>41287.176770833335</v>
      </c>
      <c r="B2702" s="195">
        <v>2142</v>
      </c>
      <c r="C2702" s="194"/>
      <c r="D2702" s="194"/>
      <c r="E2702" s="196" t="s">
        <v>860</v>
      </c>
      <c r="F2702" s="195">
        <v>800</v>
      </c>
      <c r="G2702" s="197" t="s">
        <v>470</v>
      </c>
      <c r="H2702" s="197" t="s">
        <v>471</v>
      </c>
      <c r="J2702" s="195">
        <v>1</v>
      </c>
      <c r="K2702" s="204" t="s">
        <v>224</v>
      </c>
      <c r="L2702" s="199">
        <v>3</v>
      </c>
      <c r="M2702" s="200">
        <v>0.9</v>
      </c>
      <c r="N2702" s="201">
        <v>35</v>
      </c>
    </row>
    <row r="2703" spans="1:14">
      <c r="A2703" s="194">
        <v>41299.521365740744</v>
      </c>
      <c r="B2703" s="195">
        <v>2142</v>
      </c>
      <c r="C2703" s="194"/>
      <c r="D2703" s="194"/>
      <c r="E2703" s="196" t="s">
        <v>1394</v>
      </c>
      <c r="F2703" s="195">
        <v>800</v>
      </c>
      <c r="G2703" s="197" t="s">
        <v>470</v>
      </c>
      <c r="H2703" s="197" t="s">
        <v>471</v>
      </c>
      <c r="J2703" s="195">
        <v>1</v>
      </c>
      <c r="K2703" s="204" t="s">
        <v>224</v>
      </c>
      <c r="L2703" s="199">
        <v>3</v>
      </c>
      <c r="M2703" s="200">
        <v>1.5</v>
      </c>
      <c r="N2703" s="201">
        <v>37</v>
      </c>
    </row>
    <row r="2704" spans="1:14">
      <c r="A2704" s="194">
        <v>41277.260127314818</v>
      </c>
      <c r="B2704" s="195">
        <v>2142</v>
      </c>
      <c r="C2704" s="194"/>
      <c r="D2704" s="194"/>
      <c r="E2704" s="196" t="s">
        <v>537</v>
      </c>
      <c r="F2704" s="195">
        <v>800</v>
      </c>
      <c r="G2704" s="197" t="s">
        <v>470</v>
      </c>
      <c r="H2704" s="197" t="s">
        <v>471</v>
      </c>
      <c r="J2704" s="195">
        <v>1</v>
      </c>
      <c r="K2704" s="204" t="s">
        <v>224</v>
      </c>
      <c r="L2704" s="199">
        <v>2</v>
      </c>
      <c r="M2704" s="200">
        <v>0.7</v>
      </c>
      <c r="N2704" s="201">
        <v>40</v>
      </c>
    </row>
    <row r="2705" spans="1:14">
      <c r="A2705" s="194">
        <v>41285.661145833335</v>
      </c>
      <c r="B2705" s="195">
        <v>2142</v>
      </c>
      <c r="C2705" s="194"/>
      <c r="D2705" s="194"/>
      <c r="E2705" s="196" t="s">
        <v>929</v>
      </c>
      <c r="F2705" s="195">
        <v>800</v>
      </c>
      <c r="G2705" s="197" t="s">
        <v>470</v>
      </c>
      <c r="H2705" s="197" t="s">
        <v>471</v>
      </c>
      <c r="J2705" s="195">
        <v>1</v>
      </c>
      <c r="K2705" s="204" t="s">
        <v>224</v>
      </c>
      <c r="L2705" s="199">
        <v>3</v>
      </c>
      <c r="M2705" s="200">
        <v>0.3</v>
      </c>
      <c r="N2705" s="201">
        <v>42</v>
      </c>
    </row>
    <row r="2706" spans="1:14">
      <c r="A2706" s="194">
        <v>41283.179895833331</v>
      </c>
      <c r="B2706" s="195">
        <v>2142</v>
      </c>
      <c r="C2706" s="194"/>
      <c r="D2706" s="194"/>
      <c r="E2706" s="198"/>
      <c r="G2706" s="202"/>
      <c r="J2706" s="195">
        <v>2</v>
      </c>
      <c r="K2706" s="204" t="s">
        <v>32</v>
      </c>
      <c r="L2706" s="199">
        <v>2</v>
      </c>
      <c r="M2706" s="200">
        <v>45.9</v>
      </c>
      <c r="N2706" s="201">
        <v>17</v>
      </c>
    </row>
    <row r="2707" spans="1:14">
      <c r="A2707" s="194">
        <v>41285.701956018522</v>
      </c>
      <c r="B2707" s="195">
        <v>2142</v>
      </c>
      <c r="C2707" s="194"/>
      <c r="D2707" s="194"/>
      <c r="E2707" s="198"/>
      <c r="G2707" s="202"/>
      <c r="J2707" s="195">
        <v>2</v>
      </c>
      <c r="K2707" s="204" t="s">
        <v>32</v>
      </c>
      <c r="L2707" s="199">
        <v>3</v>
      </c>
      <c r="M2707" s="200">
        <v>0.9</v>
      </c>
      <c r="N2707" s="201">
        <v>20</v>
      </c>
    </row>
    <row r="2708" spans="1:14">
      <c r="A2708" s="194">
        <v>41285.99622685185</v>
      </c>
      <c r="B2708" s="195">
        <v>2142</v>
      </c>
      <c r="C2708" s="194"/>
      <c r="D2708" s="194"/>
      <c r="E2708" s="198"/>
      <c r="G2708" s="202"/>
      <c r="J2708" s="195">
        <v>2</v>
      </c>
      <c r="K2708" s="204" t="s">
        <v>32</v>
      </c>
      <c r="L2708" s="199">
        <v>3</v>
      </c>
      <c r="M2708" s="200">
        <v>1.1000000000000001</v>
      </c>
      <c r="N2708" s="201">
        <v>25</v>
      </c>
    </row>
    <row r="2709" spans="1:14">
      <c r="A2709" s="194">
        <v>41289.984363425923</v>
      </c>
      <c r="B2709" s="195">
        <v>2142</v>
      </c>
      <c r="C2709" s="194"/>
      <c r="D2709" s="194"/>
      <c r="E2709" s="198"/>
      <c r="G2709" s="202"/>
      <c r="J2709" s="195">
        <v>2</v>
      </c>
      <c r="K2709" s="204" t="s">
        <v>32</v>
      </c>
      <c r="L2709" s="199">
        <v>2</v>
      </c>
      <c r="M2709" s="200">
        <v>25.5</v>
      </c>
      <c r="N2709" s="201">
        <v>25</v>
      </c>
    </row>
    <row r="2710" spans="1:14">
      <c r="A2710" s="194">
        <v>41283.447604166664</v>
      </c>
      <c r="B2710" s="195">
        <v>2142</v>
      </c>
      <c r="C2710" s="194"/>
      <c r="D2710" s="194"/>
      <c r="E2710" s="198"/>
      <c r="G2710" s="202"/>
      <c r="J2710" s="195">
        <v>2</v>
      </c>
      <c r="K2710" s="204" t="s">
        <v>32</v>
      </c>
      <c r="L2710" s="199">
        <v>3</v>
      </c>
      <c r="M2710" s="200">
        <v>0.4</v>
      </c>
      <c r="N2710" s="201">
        <v>37</v>
      </c>
    </row>
    <row r="2711" spans="1:14">
      <c r="A2711" s="194">
        <v>41277.596064814818</v>
      </c>
      <c r="B2711" s="195">
        <v>2142</v>
      </c>
      <c r="C2711" s="194"/>
      <c r="D2711" s="194"/>
      <c r="E2711" s="198"/>
      <c r="G2711" s="202"/>
      <c r="J2711" s="195">
        <v>2</v>
      </c>
      <c r="K2711" s="204" t="s">
        <v>32</v>
      </c>
      <c r="L2711" s="199">
        <v>1</v>
      </c>
      <c r="M2711" s="200">
        <v>1</v>
      </c>
      <c r="N2711" s="201">
        <v>38</v>
      </c>
    </row>
    <row r="2712" spans="1:14">
      <c r="A2712" s="194">
        <v>41277.772280092591</v>
      </c>
      <c r="B2712" s="195">
        <v>2142</v>
      </c>
      <c r="C2712" s="194"/>
      <c r="D2712" s="194"/>
      <c r="E2712" s="198"/>
      <c r="G2712" s="202"/>
      <c r="J2712" s="195">
        <v>2</v>
      </c>
      <c r="K2712" s="204" t="s">
        <v>32</v>
      </c>
      <c r="L2712" s="199">
        <v>3</v>
      </c>
      <c r="M2712" s="200">
        <v>0.4</v>
      </c>
      <c r="N2712" s="201">
        <v>53</v>
      </c>
    </row>
    <row r="2713" spans="1:14">
      <c r="A2713" s="194">
        <v>41300.610752314817</v>
      </c>
      <c r="B2713" s="195">
        <v>2142</v>
      </c>
      <c r="C2713" s="194"/>
      <c r="D2713" s="194"/>
      <c r="E2713" s="198"/>
      <c r="G2713" s="202"/>
      <c r="J2713" s="195">
        <v>3</v>
      </c>
      <c r="K2713" s="204" t="s">
        <v>1595</v>
      </c>
      <c r="L2713" s="199">
        <v>2</v>
      </c>
      <c r="M2713" s="200">
        <v>0.6</v>
      </c>
      <c r="N2713" s="201">
        <v>23</v>
      </c>
    </row>
    <row r="2714" spans="1:14">
      <c r="A2714" s="194">
        <v>41280.072615740741</v>
      </c>
      <c r="B2714" s="195">
        <v>2142</v>
      </c>
      <c r="C2714" s="194"/>
      <c r="D2714" s="194"/>
      <c r="E2714" s="198"/>
      <c r="G2714" s="202"/>
      <c r="J2714" s="195">
        <v>3</v>
      </c>
      <c r="K2714" s="204" t="s">
        <v>1595</v>
      </c>
      <c r="L2714" s="199">
        <v>2</v>
      </c>
      <c r="M2714" s="200">
        <v>0.4</v>
      </c>
      <c r="N2714" s="201">
        <v>33</v>
      </c>
    </row>
    <row r="2715" spans="1:14">
      <c r="A2715" s="194">
        <v>41294.39984953704</v>
      </c>
      <c r="B2715" s="195">
        <v>2142</v>
      </c>
      <c r="C2715" s="194"/>
      <c r="D2715" s="194"/>
      <c r="E2715" s="198"/>
      <c r="G2715" s="202"/>
      <c r="J2715" s="195">
        <v>3</v>
      </c>
      <c r="K2715" s="204" t="s">
        <v>1595</v>
      </c>
      <c r="L2715" s="199">
        <v>3</v>
      </c>
      <c r="M2715" s="200">
        <v>0.4</v>
      </c>
      <c r="N2715" s="201">
        <v>35</v>
      </c>
    </row>
    <row r="2716" spans="1:14">
      <c r="A2716" s="194">
        <v>41304.514479166668</v>
      </c>
      <c r="B2716" s="195">
        <v>2142</v>
      </c>
      <c r="C2716" s="194"/>
      <c r="D2716" s="194"/>
      <c r="E2716" s="198"/>
      <c r="G2716" s="202"/>
      <c r="J2716" s="195">
        <v>6</v>
      </c>
      <c r="K2716" s="204" t="s">
        <v>9</v>
      </c>
      <c r="L2716" s="199">
        <v>2</v>
      </c>
      <c r="M2716" s="200">
        <v>8.3000000000000007</v>
      </c>
      <c r="N2716" s="201">
        <v>30</v>
      </c>
    </row>
    <row r="2717" spans="1:14">
      <c r="A2717" s="194">
        <v>41298.438032407408</v>
      </c>
      <c r="B2717" s="195">
        <v>2142</v>
      </c>
      <c r="C2717" s="194"/>
      <c r="D2717" s="194"/>
      <c r="E2717" s="196" t="s">
        <v>1671</v>
      </c>
      <c r="G2717" s="202"/>
      <c r="J2717" s="195">
        <v>7</v>
      </c>
      <c r="K2717" s="204" t="s">
        <v>30</v>
      </c>
      <c r="L2717" s="199">
        <v>2</v>
      </c>
      <c r="M2717" s="200">
        <v>1</v>
      </c>
      <c r="N2717" s="201">
        <v>36</v>
      </c>
    </row>
    <row r="2718" spans="1:14">
      <c r="A2718" s="194">
        <v>41285.12945601852</v>
      </c>
      <c r="B2718" s="195">
        <v>2142</v>
      </c>
      <c r="C2718" s="194"/>
      <c r="D2718" s="194"/>
      <c r="E2718" s="198"/>
      <c r="G2718" s="202"/>
      <c r="J2718" s="195">
        <v>11</v>
      </c>
      <c r="K2718" s="204" t="s">
        <v>1</v>
      </c>
      <c r="L2718" s="199">
        <v>2</v>
      </c>
      <c r="M2718" s="200">
        <v>37.200000000000003</v>
      </c>
      <c r="N2718" s="201">
        <v>18</v>
      </c>
    </row>
    <row r="2719" spans="1:14">
      <c r="A2719" s="194">
        <v>41284.576956018522</v>
      </c>
      <c r="B2719" s="195">
        <v>2142</v>
      </c>
      <c r="C2719" s="194"/>
      <c r="D2719" s="194"/>
      <c r="E2719" s="198"/>
      <c r="G2719" s="202"/>
      <c r="J2719" s="195">
        <v>11</v>
      </c>
      <c r="K2719" s="204" t="s">
        <v>1</v>
      </c>
      <c r="L2719" s="199">
        <v>2</v>
      </c>
      <c r="M2719" s="200">
        <v>0.8</v>
      </c>
      <c r="N2719" s="201">
        <v>20</v>
      </c>
    </row>
    <row r="2720" spans="1:14">
      <c r="A2720" s="194">
        <v>41295.502280092594</v>
      </c>
      <c r="B2720" s="195">
        <v>2142</v>
      </c>
      <c r="C2720" s="194"/>
      <c r="D2720" s="194"/>
      <c r="E2720" s="198"/>
      <c r="G2720" s="202"/>
      <c r="J2720" s="195">
        <v>11</v>
      </c>
      <c r="K2720" s="204" t="s">
        <v>1</v>
      </c>
      <c r="L2720" s="199">
        <v>2</v>
      </c>
      <c r="M2720" s="200">
        <v>1.3</v>
      </c>
      <c r="N2720" s="201">
        <v>24</v>
      </c>
    </row>
    <row r="2721" spans="1:14">
      <c r="A2721" s="194">
        <v>41285.726261574076</v>
      </c>
      <c r="B2721" s="195">
        <v>2142</v>
      </c>
      <c r="C2721" s="194"/>
      <c r="D2721" s="194"/>
      <c r="E2721" s="198"/>
      <c r="G2721" s="202"/>
      <c r="J2721" s="195">
        <v>11</v>
      </c>
      <c r="K2721" s="204" t="s">
        <v>1</v>
      </c>
      <c r="L2721" s="199">
        <v>1</v>
      </c>
      <c r="M2721" s="200">
        <v>1.3</v>
      </c>
      <c r="N2721" s="201">
        <v>25</v>
      </c>
    </row>
    <row r="2722" spans="1:14">
      <c r="A2722" s="194">
        <v>41300.514398148145</v>
      </c>
      <c r="B2722" s="195">
        <v>2142</v>
      </c>
      <c r="C2722" s="194"/>
      <c r="D2722" s="194"/>
      <c r="E2722" s="198"/>
      <c r="G2722" s="202"/>
      <c r="J2722" s="195">
        <v>11</v>
      </c>
      <c r="K2722" s="204" t="s">
        <v>1</v>
      </c>
      <c r="L2722" s="199">
        <v>1</v>
      </c>
      <c r="M2722" s="200">
        <v>0.5</v>
      </c>
      <c r="N2722" s="201">
        <v>27</v>
      </c>
    </row>
    <row r="2723" spans="1:14">
      <c r="A2723" s="194">
        <v>41284.81653935185</v>
      </c>
      <c r="B2723" s="195">
        <v>2142</v>
      </c>
      <c r="C2723" s="194"/>
      <c r="D2723" s="194"/>
      <c r="E2723" s="198"/>
      <c r="G2723" s="202"/>
      <c r="J2723" s="195">
        <v>11</v>
      </c>
      <c r="K2723" s="204" t="s">
        <v>1</v>
      </c>
      <c r="L2723" s="199">
        <v>2</v>
      </c>
      <c r="M2723" s="200">
        <v>1.2</v>
      </c>
      <c r="N2723" s="201">
        <v>29</v>
      </c>
    </row>
    <row r="2724" spans="1:14">
      <c r="A2724" s="194">
        <v>41285.729733796295</v>
      </c>
      <c r="B2724" s="195">
        <v>2142</v>
      </c>
      <c r="C2724" s="194"/>
      <c r="D2724" s="194"/>
      <c r="E2724" s="198"/>
      <c r="G2724" s="202"/>
      <c r="J2724" s="195">
        <v>11</v>
      </c>
      <c r="K2724" s="204" t="s">
        <v>1</v>
      </c>
      <c r="L2724" s="199">
        <v>1</v>
      </c>
      <c r="M2724" s="200">
        <v>1.6</v>
      </c>
      <c r="N2724" s="201">
        <v>29</v>
      </c>
    </row>
    <row r="2725" spans="1:14">
      <c r="A2725" s="194">
        <v>41279.853865740741</v>
      </c>
      <c r="B2725" s="195">
        <v>2142</v>
      </c>
      <c r="C2725" s="194"/>
      <c r="D2725" s="194"/>
      <c r="E2725" s="198"/>
      <c r="G2725" s="202"/>
      <c r="J2725" s="195">
        <v>11</v>
      </c>
      <c r="K2725" s="204" t="s">
        <v>1</v>
      </c>
      <c r="L2725" s="199">
        <v>3</v>
      </c>
      <c r="M2725" s="200">
        <v>0.4</v>
      </c>
      <c r="N2725" s="201">
        <v>36</v>
      </c>
    </row>
    <row r="2726" spans="1:14">
      <c r="A2726" s="194">
        <v>41279.32608796296</v>
      </c>
      <c r="B2726" s="195">
        <v>2142</v>
      </c>
      <c r="C2726" s="194"/>
      <c r="D2726" s="194"/>
      <c r="E2726" s="198"/>
      <c r="G2726" s="202"/>
      <c r="J2726" s="195">
        <v>11</v>
      </c>
      <c r="K2726" s="204" t="s">
        <v>1</v>
      </c>
      <c r="L2726" s="199">
        <v>1</v>
      </c>
      <c r="M2726" s="200">
        <v>0.9</v>
      </c>
      <c r="N2726" s="201">
        <v>40</v>
      </c>
    </row>
    <row r="2727" spans="1:14">
      <c r="A2727" s="194">
        <v>41291.944131944445</v>
      </c>
      <c r="B2727" s="195">
        <v>2142</v>
      </c>
      <c r="C2727" s="194"/>
      <c r="D2727" s="194"/>
      <c r="E2727" s="198"/>
      <c r="G2727" s="202"/>
      <c r="J2727" s="195">
        <v>11</v>
      </c>
      <c r="K2727" s="204" t="s">
        <v>1</v>
      </c>
      <c r="L2727" s="199">
        <v>1</v>
      </c>
      <c r="M2727" s="200">
        <v>0.5</v>
      </c>
      <c r="N2727" s="201">
        <v>43</v>
      </c>
    </row>
    <row r="2728" spans="1:14">
      <c r="A2728" s="194">
        <v>41294.760092592594</v>
      </c>
      <c r="B2728" s="195">
        <v>2142</v>
      </c>
      <c r="C2728" s="194"/>
      <c r="D2728" s="194"/>
      <c r="E2728" s="198"/>
      <c r="G2728" s="202"/>
      <c r="J2728" s="195">
        <v>11</v>
      </c>
      <c r="K2728" s="204" t="s">
        <v>1</v>
      </c>
      <c r="L2728" s="199">
        <v>2</v>
      </c>
      <c r="M2728" s="200">
        <v>0.6</v>
      </c>
      <c r="N2728" s="201">
        <v>45</v>
      </c>
    </row>
    <row r="2729" spans="1:14">
      <c r="A2729" s="194">
        <v>41296.499664351853</v>
      </c>
      <c r="B2729" s="195">
        <v>2142</v>
      </c>
      <c r="C2729" s="194"/>
      <c r="D2729" s="194"/>
      <c r="E2729" s="198"/>
      <c r="G2729" s="202"/>
      <c r="J2729" s="195">
        <v>12</v>
      </c>
      <c r="K2729" s="204" t="s">
        <v>7</v>
      </c>
      <c r="L2729" s="199">
        <v>2</v>
      </c>
      <c r="M2729" s="200">
        <v>0.8</v>
      </c>
      <c r="N2729" s="201">
        <v>22</v>
      </c>
    </row>
    <row r="2730" spans="1:14">
      <c r="A2730" s="194">
        <v>41305.072546296295</v>
      </c>
      <c r="B2730" s="195">
        <v>2142</v>
      </c>
      <c r="C2730" s="194"/>
      <c r="D2730" s="194"/>
      <c r="E2730" s="198"/>
      <c r="G2730" s="202"/>
      <c r="J2730" s="195">
        <v>12</v>
      </c>
      <c r="K2730" s="204" t="s">
        <v>7</v>
      </c>
      <c r="L2730" s="199">
        <v>2</v>
      </c>
      <c r="M2730" s="200">
        <v>0.4</v>
      </c>
      <c r="N2730" s="201">
        <v>30</v>
      </c>
    </row>
    <row r="2731" spans="1:14">
      <c r="A2731" s="194">
        <v>41296.393761574072</v>
      </c>
      <c r="B2731" s="195">
        <v>2142</v>
      </c>
      <c r="C2731" s="194"/>
      <c r="D2731" s="194"/>
      <c r="E2731" s="198"/>
      <c r="G2731" s="202"/>
      <c r="J2731" s="195">
        <v>14</v>
      </c>
      <c r="K2731" s="204" t="s">
        <v>2</v>
      </c>
      <c r="L2731" s="199">
        <v>3</v>
      </c>
      <c r="M2731" s="200">
        <v>0.8</v>
      </c>
      <c r="N2731" s="201">
        <v>32</v>
      </c>
    </row>
    <row r="2732" spans="1:14">
      <c r="A2732" s="194">
        <v>41293.941516203704</v>
      </c>
      <c r="B2732" s="195">
        <v>2142</v>
      </c>
      <c r="C2732" s="194"/>
      <c r="D2732" s="194"/>
      <c r="E2732" s="198"/>
      <c r="G2732" s="202"/>
      <c r="J2732" s="195">
        <v>15</v>
      </c>
      <c r="K2732" s="204" t="s">
        <v>4</v>
      </c>
      <c r="L2732" s="199">
        <v>2</v>
      </c>
      <c r="M2732" s="200">
        <v>0.3</v>
      </c>
      <c r="N2732" s="201">
        <v>36</v>
      </c>
    </row>
    <row r="2733" spans="1:14">
      <c r="A2733" s="194">
        <v>41300.609050925923</v>
      </c>
      <c r="B2733" s="195">
        <v>2142</v>
      </c>
      <c r="C2733" s="194"/>
      <c r="D2733" s="194"/>
      <c r="E2733" s="198"/>
      <c r="G2733" s="202"/>
      <c r="J2733" s="195">
        <v>17</v>
      </c>
      <c r="K2733" s="204" t="s">
        <v>11</v>
      </c>
      <c r="L2733" s="199">
        <v>1</v>
      </c>
      <c r="M2733" s="200">
        <v>3.8</v>
      </c>
      <c r="N2733" s="201">
        <v>0</v>
      </c>
    </row>
    <row r="2734" spans="1:14">
      <c r="A2734" s="194">
        <v>41291.495636574073</v>
      </c>
      <c r="B2734" s="195">
        <v>2142</v>
      </c>
      <c r="C2734" s="194"/>
      <c r="D2734" s="194"/>
      <c r="E2734" s="198"/>
      <c r="G2734" s="202"/>
      <c r="J2734" s="195">
        <v>17</v>
      </c>
      <c r="K2734" s="204" t="s">
        <v>11</v>
      </c>
      <c r="L2734" s="199">
        <v>3</v>
      </c>
      <c r="M2734" s="200">
        <v>25.3</v>
      </c>
      <c r="N2734" s="201">
        <v>0</v>
      </c>
    </row>
    <row r="2735" spans="1:14">
      <c r="A2735" s="194">
        <v>41281.403344907405</v>
      </c>
      <c r="B2735" s="195">
        <v>2142</v>
      </c>
      <c r="C2735" s="194"/>
      <c r="D2735" s="194"/>
      <c r="E2735" s="198"/>
      <c r="G2735" s="202"/>
      <c r="J2735" s="195">
        <v>17</v>
      </c>
      <c r="K2735" s="204" t="s">
        <v>11</v>
      </c>
      <c r="L2735" s="199">
        <v>1</v>
      </c>
      <c r="M2735" s="200">
        <v>0.5</v>
      </c>
      <c r="N2735" s="201">
        <v>16</v>
      </c>
    </row>
    <row r="2736" spans="1:14">
      <c r="A2736" s="194">
        <v>41301.380104166667</v>
      </c>
      <c r="B2736" s="195">
        <v>2142</v>
      </c>
      <c r="C2736" s="194"/>
      <c r="D2736" s="194"/>
      <c r="E2736" s="198"/>
      <c r="G2736" s="202"/>
      <c r="J2736" s="195">
        <v>17</v>
      </c>
      <c r="K2736" s="204" t="s">
        <v>11</v>
      </c>
      <c r="L2736" s="199">
        <v>2</v>
      </c>
      <c r="M2736" s="200">
        <v>22.5</v>
      </c>
      <c r="N2736" s="201">
        <v>16</v>
      </c>
    </row>
    <row r="2737" spans="1:14">
      <c r="A2737" s="194">
        <v>41276.053796296299</v>
      </c>
      <c r="B2737" s="195">
        <v>2142</v>
      </c>
      <c r="C2737" s="194"/>
      <c r="D2737" s="194"/>
      <c r="E2737" s="198"/>
      <c r="G2737" s="202"/>
      <c r="J2737" s="195">
        <v>17</v>
      </c>
      <c r="K2737" s="204" t="s">
        <v>11</v>
      </c>
      <c r="L2737" s="199">
        <v>3</v>
      </c>
      <c r="M2737" s="200">
        <v>23.2</v>
      </c>
      <c r="N2737" s="201">
        <v>16</v>
      </c>
    </row>
    <row r="2738" spans="1:14">
      <c r="A2738" s="194">
        <v>41303.192604166667</v>
      </c>
      <c r="B2738" s="195">
        <v>2142</v>
      </c>
      <c r="C2738" s="194"/>
      <c r="D2738" s="194"/>
      <c r="E2738" s="198"/>
      <c r="G2738" s="202"/>
      <c r="J2738" s="195">
        <v>17</v>
      </c>
      <c r="K2738" s="204" t="s">
        <v>11</v>
      </c>
      <c r="L2738" s="199">
        <v>1</v>
      </c>
      <c r="M2738" s="200">
        <v>23.5</v>
      </c>
      <c r="N2738" s="201">
        <v>16</v>
      </c>
    </row>
    <row r="2739" spans="1:14">
      <c r="A2739" s="194">
        <v>41275.382916666669</v>
      </c>
      <c r="B2739" s="195">
        <v>2142</v>
      </c>
      <c r="C2739" s="194"/>
      <c r="D2739" s="194"/>
      <c r="E2739" s="198"/>
      <c r="G2739" s="202"/>
      <c r="J2739" s="195">
        <v>17</v>
      </c>
      <c r="K2739" s="204" t="s">
        <v>11</v>
      </c>
      <c r="L2739" s="199">
        <v>3</v>
      </c>
      <c r="M2739" s="200">
        <v>34.700000000000003</v>
      </c>
      <c r="N2739" s="201">
        <v>17</v>
      </c>
    </row>
    <row r="2740" spans="1:14">
      <c r="A2740" s="194">
        <v>41287.997499999998</v>
      </c>
      <c r="B2740" s="195">
        <v>2142</v>
      </c>
      <c r="C2740" s="194"/>
      <c r="D2740" s="194"/>
      <c r="E2740" s="198"/>
      <c r="G2740" s="202"/>
      <c r="J2740" s="195">
        <v>17</v>
      </c>
      <c r="K2740" s="204" t="s">
        <v>11</v>
      </c>
      <c r="L2740" s="199">
        <v>1</v>
      </c>
      <c r="M2740" s="200">
        <v>36.1</v>
      </c>
      <c r="N2740" s="201">
        <v>17</v>
      </c>
    </row>
    <row r="2741" spans="1:14">
      <c r="A2741" s="194">
        <v>41288.532256944447</v>
      </c>
      <c r="B2741" s="195">
        <v>2142</v>
      </c>
      <c r="C2741" s="194"/>
      <c r="D2741" s="194"/>
      <c r="E2741" s="198"/>
      <c r="G2741" s="202"/>
      <c r="J2741" s="195">
        <v>17</v>
      </c>
      <c r="K2741" s="204" t="s">
        <v>11</v>
      </c>
      <c r="L2741" s="199">
        <v>3</v>
      </c>
      <c r="M2741" s="200">
        <v>38.9</v>
      </c>
      <c r="N2741" s="201">
        <v>17</v>
      </c>
    </row>
    <row r="2742" spans="1:14">
      <c r="A2742" s="194">
        <v>41293.092615740738</v>
      </c>
      <c r="B2742" s="195">
        <v>2142</v>
      </c>
      <c r="C2742" s="194"/>
      <c r="D2742" s="194"/>
      <c r="E2742" s="198"/>
      <c r="G2742" s="202"/>
      <c r="J2742" s="195">
        <v>17</v>
      </c>
      <c r="K2742" s="204" t="s">
        <v>11</v>
      </c>
      <c r="L2742" s="199">
        <v>1</v>
      </c>
      <c r="M2742" s="200">
        <v>4.7</v>
      </c>
      <c r="N2742" s="201">
        <v>18</v>
      </c>
    </row>
    <row r="2743" spans="1:14">
      <c r="A2743" s="194">
        <v>41287.255173611113</v>
      </c>
      <c r="B2743" s="195">
        <v>2142</v>
      </c>
      <c r="C2743" s="194"/>
      <c r="D2743" s="194"/>
      <c r="E2743" s="198"/>
      <c r="G2743" s="202"/>
      <c r="J2743" s="195">
        <v>17</v>
      </c>
      <c r="K2743" s="204" t="s">
        <v>11</v>
      </c>
      <c r="L2743" s="199">
        <v>3</v>
      </c>
      <c r="M2743" s="200">
        <v>24.2</v>
      </c>
      <c r="N2743" s="201">
        <v>18</v>
      </c>
    </row>
    <row r="2744" spans="1:14">
      <c r="A2744" s="194">
        <v>41279.323750000003</v>
      </c>
      <c r="B2744" s="195">
        <v>2142</v>
      </c>
      <c r="C2744" s="194"/>
      <c r="D2744" s="194"/>
      <c r="E2744" s="198"/>
      <c r="G2744" s="202"/>
      <c r="J2744" s="195">
        <v>17</v>
      </c>
      <c r="K2744" s="204" t="s">
        <v>11</v>
      </c>
      <c r="L2744" s="199">
        <v>3</v>
      </c>
      <c r="M2744" s="200">
        <v>23.5</v>
      </c>
      <c r="N2744" s="201">
        <v>19</v>
      </c>
    </row>
    <row r="2745" spans="1:14">
      <c r="A2745" s="194">
        <v>41284.616099537037</v>
      </c>
      <c r="B2745" s="195">
        <v>2142</v>
      </c>
      <c r="C2745" s="194"/>
      <c r="D2745" s="194"/>
      <c r="E2745" s="198"/>
      <c r="G2745" s="202"/>
      <c r="J2745" s="195">
        <v>17</v>
      </c>
      <c r="K2745" s="204" t="s">
        <v>11</v>
      </c>
      <c r="L2745" s="199">
        <v>1</v>
      </c>
      <c r="M2745" s="200">
        <v>7.9</v>
      </c>
      <c r="N2745" s="201">
        <v>20</v>
      </c>
    </row>
    <row r="2746" spans="1:14">
      <c r="A2746" s="194">
        <v>41286.278680555559</v>
      </c>
      <c r="B2746" s="195">
        <v>2142</v>
      </c>
      <c r="C2746" s="194"/>
      <c r="D2746" s="194"/>
      <c r="E2746" s="198"/>
      <c r="G2746" s="202"/>
      <c r="J2746" s="195">
        <v>17</v>
      </c>
      <c r="K2746" s="204" t="s">
        <v>11</v>
      </c>
      <c r="L2746" s="199">
        <v>3</v>
      </c>
      <c r="M2746" s="200">
        <v>30.4</v>
      </c>
      <c r="N2746" s="201">
        <v>20</v>
      </c>
    </row>
    <row r="2747" spans="1:14">
      <c r="A2747" s="194">
        <v>41280.282268518517</v>
      </c>
      <c r="B2747" s="195">
        <v>2142</v>
      </c>
      <c r="C2747" s="194"/>
      <c r="D2747" s="194"/>
      <c r="E2747" s="198"/>
      <c r="G2747" s="202"/>
      <c r="J2747" s="195">
        <v>17</v>
      </c>
      <c r="K2747" s="204" t="s">
        <v>11</v>
      </c>
      <c r="L2747" s="199">
        <v>2</v>
      </c>
      <c r="M2747" s="200">
        <v>39.4</v>
      </c>
      <c r="N2747" s="201">
        <v>22</v>
      </c>
    </row>
    <row r="2748" spans="1:14">
      <c r="A2748" s="194">
        <v>41277.2966087963</v>
      </c>
      <c r="B2748" s="195">
        <v>2142</v>
      </c>
      <c r="C2748" s="194"/>
      <c r="D2748" s="194"/>
      <c r="E2748" s="198"/>
      <c r="G2748" s="202"/>
      <c r="J2748" s="195">
        <v>17</v>
      </c>
      <c r="K2748" s="204" t="s">
        <v>11</v>
      </c>
      <c r="L2748" s="199">
        <v>1</v>
      </c>
      <c r="M2748" s="200">
        <v>3.6</v>
      </c>
      <c r="N2748" s="201">
        <v>24</v>
      </c>
    </row>
    <row r="2749" spans="1:14">
      <c r="A2749" s="194">
        <v>41290.75403935185</v>
      </c>
      <c r="B2749" s="195">
        <v>2142</v>
      </c>
      <c r="C2749" s="194"/>
      <c r="D2749" s="194"/>
      <c r="E2749" s="198"/>
      <c r="G2749" s="202"/>
      <c r="J2749" s="195">
        <v>17</v>
      </c>
      <c r="K2749" s="204" t="s">
        <v>11</v>
      </c>
      <c r="L2749" s="199">
        <v>3</v>
      </c>
      <c r="M2749" s="200">
        <v>1.2</v>
      </c>
      <c r="N2749" s="201">
        <v>40</v>
      </c>
    </row>
    <row r="2750" spans="1:14">
      <c r="A2750" s="194">
        <v>41275.115358796298</v>
      </c>
      <c r="B2750" s="195">
        <v>2142</v>
      </c>
      <c r="C2750" s="194"/>
      <c r="D2750" s="194"/>
      <c r="E2750" s="198"/>
      <c r="G2750" s="202"/>
      <c r="J2750" s="195">
        <v>18</v>
      </c>
      <c r="K2750" s="204" t="s">
        <v>5</v>
      </c>
      <c r="L2750" s="199">
        <v>2</v>
      </c>
      <c r="M2750" s="200">
        <v>17.2</v>
      </c>
      <c r="N2750" s="201">
        <v>16</v>
      </c>
    </row>
    <row r="2751" spans="1:14">
      <c r="A2751" s="194">
        <v>41303.880150462966</v>
      </c>
      <c r="B2751" s="195">
        <v>2142</v>
      </c>
      <c r="C2751" s="194"/>
      <c r="D2751" s="194"/>
      <c r="E2751" s="198"/>
      <c r="G2751" s="202"/>
      <c r="J2751" s="195">
        <v>18</v>
      </c>
      <c r="K2751" s="204" t="s">
        <v>5</v>
      </c>
      <c r="L2751" s="199">
        <v>3</v>
      </c>
      <c r="M2751" s="200">
        <v>27.1</v>
      </c>
      <c r="N2751" s="201">
        <v>16</v>
      </c>
    </row>
    <row r="2752" spans="1:14">
      <c r="A2752" s="194">
        <v>41300.494560185187</v>
      </c>
      <c r="B2752" s="195">
        <v>2142</v>
      </c>
      <c r="C2752" s="194"/>
      <c r="D2752" s="194"/>
      <c r="E2752" s="198"/>
      <c r="G2752" s="202"/>
      <c r="J2752" s="195">
        <v>18</v>
      </c>
      <c r="K2752" s="204" t="s">
        <v>5</v>
      </c>
      <c r="L2752" s="199">
        <v>3</v>
      </c>
      <c r="M2752" s="200">
        <v>11.1</v>
      </c>
      <c r="N2752" s="201">
        <v>17</v>
      </c>
    </row>
    <row r="2753" spans="1:14">
      <c r="A2753" s="194">
        <v>41286.122453703705</v>
      </c>
      <c r="B2753" s="195">
        <v>2142</v>
      </c>
      <c r="C2753" s="194"/>
      <c r="D2753" s="194"/>
      <c r="E2753" s="198"/>
      <c r="G2753" s="202"/>
      <c r="J2753" s="195">
        <v>18</v>
      </c>
      <c r="K2753" s="204" t="s">
        <v>5</v>
      </c>
      <c r="L2753" s="199">
        <v>1</v>
      </c>
      <c r="M2753" s="200">
        <v>32.4</v>
      </c>
      <c r="N2753" s="201">
        <v>17</v>
      </c>
    </row>
    <row r="2754" spans="1:14">
      <c r="A2754" s="194">
        <v>41276.203935185185</v>
      </c>
      <c r="B2754" s="195">
        <v>2142</v>
      </c>
      <c r="C2754" s="194"/>
      <c r="D2754" s="194"/>
      <c r="E2754" s="198"/>
      <c r="G2754" s="202"/>
      <c r="J2754" s="195">
        <v>18</v>
      </c>
      <c r="K2754" s="204" t="s">
        <v>5</v>
      </c>
      <c r="L2754" s="199">
        <v>2</v>
      </c>
      <c r="M2754" s="200">
        <v>21.6</v>
      </c>
      <c r="N2754" s="201">
        <v>18</v>
      </c>
    </row>
    <row r="2755" spans="1:14">
      <c r="A2755" s="194">
        <v>41278.077314814815</v>
      </c>
      <c r="B2755" s="195">
        <v>2142</v>
      </c>
      <c r="C2755" s="194"/>
      <c r="D2755" s="194"/>
      <c r="E2755" s="198"/>
      <c r="G2755" s="202"/>
      <c r="J2755" s="195">
        <v>18</v>
      </c>
      <c r="K2755" s="204" t="s">
        <v>5</v>
      </c>
      <c r="L2755" s="199">
        <v>2</v>
      </c>
      <c r="M2755" s="200">
        <v>31.1</v>
      </c>
      <c r="N2755" s="201">
        <v>24</v>
      </c>
    </row>
    <row r="2756" spans="1:14">
      <c r="A2756" s="194">
        <v>41300.7966087963</v>
      </c>
      <c r="B2756" s="195">
        <v>2142</v>
      </c>
      <c r="C2756" s="194"/>
      <c r="D2756" s="194"/>
      <c r="E2756" s="198"/>
      <c r="G2756" s="202"/>
      <c r="J2756" s="195">
        <v>18</v>
      </c>
      <c r="K2756" s="204" t="s">
        <v>5</v>
      </c>
      <c r="L2756" s="199">
        <v>3</v>
      </c>
      <c r="M2756" s="200">
        <v>8</v>
      </c>
      <c r="N2756" s="201">
        <v>26</v>
      </c>
    </row>
    <row r="2757" spans="1:14">
      <c r="A2757" s="194">
        <v>41300.494606481479</v>
      </c>
      <c r="B2757" s="195">
        <v>2142</v>
      </c>
      <c r="C2757" s="194"/>
      <c r="D2757" s="194"/>
      <c r="E2757" s="198"/>
      <c r="G2757" s="202"/>
      <c r="J2757" s="195">
        <v>18</v>
      </c>
      <c r="K2757" s="204" t="s">
        <v>5</v>
      </c>
      <c r="L2757" s="199">
        <v>3</v>
      </c>
      <c r="M2757" s="200">
        <v>15.5</v>
      </c>
      <c r="N2757" s="201">
        <v>26</v>
      </c>
    </row>
    <row r="2758" spans="1:14">
      <c r="A2758" s="194">
        <v>41278.581331018519</v>
      </c>
      <c r="B2758" s="195">
        <v>2142</v>
      </c>
      <c r="C2758" s="194"/>
      <c r="D2758" s="194"/>
      <c r="E2758" s="198"/>
      <c r="G2758" s="202"/>
      <c r="J2758" s="195">
        <v>18</v>
      </c>
      <c r="K2758" s="204" t="s">
        <v>5</v>
      </c>
      <c r="L2758" s="199">
        <v>2</v>
      </c>
      <c r="M2758" s="200">
        <v>3.4</v>
      </c>
      <c r="N2758" s="201">
        <v>28</v>
      </c>
    </row>
    <row r="2759" spans="1:14">
      <c r="A2759" s="194">
        <v>41290.705416666664</v>
      </c>
      <c r="B2759" s="195">
        <v>2142</v>
      </c>
      <c r="C2759" s="194"/>
      <c r="D2759" s="194"/>
      <c r="E2759" s="198"/>
      <c r="G2759" s="202"/>
      <c r="J2759" s="195">
        <v>18</v>
      </c>
      <c r="K2759" s="204" t="s">
        <v>5</v>
      </c>
      <c r="L2759" s="199">
        <v>3</v>
      </c>
      <c r="M2759" s="200">
        <v>0.6</v>
      </c>
      <c r="N2759" s="201">
        <v>37</v>
      </c>
    </row>
    <row r="2760" spans="1:14">
      <c r="A2760" s="194">
        <v>41298.655034722222</v>
      </c>
      <c r="B2760" s="195">
        <v>2142</v>
      </c>
      <c r="C2760" s="194"/>
      <c r="D2760" s="194"/>
      <c r="E2760" s="198"/>
      <c r="G2760" s="202"/>
      <c r="J2760" s="195">
        <v>18</v>
      </c>
      <c r="K2760" s="204" t="s">
        <v>5</v>
      </c>
      <c r="L2760" s="199">
        <v>3</v>
      </c>
      <c r="M2760" s="200">
        <v>0.4</v>
      </c>
      <c r="N2760" s="201">
        <v>50</v>
      </c>
    </row>
    <row r="2761" spans="1:14">
      <c r="A2761" s="194">
        <v>41291.437210648146</v>
      </c>
      <c r="B2761" s="195">
        <v>2142</v>
      </c>
      <c r="C2761" s="194"/>
      <c r="D2761" s="194"/>
      <c r="E2761" s="196" t="s">
        <v>1669</v>
      </c>
      <c r="G2761" s="202"/>
      <c r="J2761" s="195">
        <v>24</v>
      </c>
      <c r="K2761" s="204" t="s">
        <v>25</v>
      </c>
      <c r="L2761" s="199">
        <v>2</v>
      </c>
      <c r="M2761" s="200">
        <v>2.7</v>
      </c>
      <c r="N2761" s="201">
        <v>32</v>
      </c>
    </row>
    <row r="2762" spans="1:14">
      <c r="A2762" s="194">
        <v>41291.423310185186</v>
      </c>
      <c r="B2762" s="195">
        <v>2142</v>
      </c>
      <c r="C2762" s="194"/>
      <c r="D2762" s="194"/>
      <c r="E2762" s="196" t="s">
        <v>1656</v>
      </c>
      <c r="G2762" s="202"/>
      <c r="J2762" s="195">
        <v>24</v>
      </c>
      <c r="K2762" s="204" t="s">
        <v>25</v>
      </c>
      <c r="L2762" s="199">
        <v>2</v>
      </c>
      <c r="M2762" s="200">
        <v>1.2</v>
      </c>
      <c r="N2762" s="201">
        <v>38</v>
      </c>
    </row>
    <row r="2763" spans="1:14">
      <c r="A2763" s="194">
        <v>41279.455428240741</v>
      </c>
      <c r="B2763" s="195">
        <v>2142</v>
      </c>
      <c r="C2763" s="194"/>
      <c r="D2763" s="194"/>
      <c r="E2763" s="196" t="s">
        <v>1901</v>
      </c>
      <c r="G2763" s="202"/>
      <c r="J2763" s="195">
        <v>24</v>
      </c>
      <c r="K2763" s="204" t="s">
        <v>25</v>
      </c>
      <c r="L2763" s="199">
        <v>3</v>
      </c>
      <c r="M2763" s="200">
        <v>0.3</v>
      </c>
      <c r="N2763" s="201">
        <v>42</v>
      </c>
    </row>
    <row r="2764" spans="1:14">
      <c r="A2764" s="194">
        <v>41298.803472222222</v>
      </c>
      <c r="B2764" s="195">
        <v>2142</v>
      </c>
      <c r="C2764" s="194"/>
      <c r="D2764" s="194"/>
      <c r="E2764" s="196" t="s">
        <v>2116</v>
      </c>
      <c r="G2764" s="202"/>
      <c r="J2764" s="195">
        <v>29</v>
      </c>
      <c r="K2764" s="204" t="s">
        <v>39</v>
      </c>
      <c r="L2764" s="199">
        <v>2</v>
      </c>
      <c r="M2764" s="200">
        <v>0.3</v>
      </c>
      <c r="N2764" s="201">
        <v>34</v>
      </c>
    </row>
    <row r="2765" spans="1:14">
      <c r="A2765" s="194">
        <v>41277.809606481482</v>
      </c>
      <c r="B2765" s="195">
        <v>2142</v>
      </c>
      <c r="C2765" s="194"/>
      <c r="D2765" s="194"/>
      <c r="E2765" s="196" t="s">
        <v>2034</v>
      </c>
      <c r="G2765" s="202"/>
      <c r="J2765" s="195">
        <v>29</v>
      </c>
      <c r="K2765" s="204" t="s">
        <v>39</v>
      </c>
      <c r="L2765" s="199">
        <v>2</v>
      </c>
      <c r="M2765" s="200">
        <v>0.4</v>
      </c>
      <c r="N2765" s="201">
        <v>38</v>
      </c>
    </row>
    <row r="2766" spans="1:14">
      <c r="A2766" s="194">
        <v>41289.54483796296</v>
      </c>
      <c r="B2766" s="195">
        <v>2142</v>
      </c>
      <c r="C2766" s="194"/>
      <c r="D2766" s="194"/>
      <c r="E2766" s="196" t="s">
        <v>2049</v>
      </c>
      <c r="G2766" s="202"/>
      <c r="J2766" s="195">
        <v>29</v>
      </c>
      <c r="K2766" s="204" t="s">
        <v>39</v>
      </c>
      <c r="L2766" s="199">
        <v>2</v>
      </c>
      <c r="M2766" s="200">
        <v>1.1000000000000001</v>
      </c>
      <c r="N2766" s="201">
        <v>41</v>
      </c>
    </row>
    <row r="2767" spans="1:14">
      <c r="A2767" s="194">
        <v>41300.610798611109</v>
      </c>
      <c r="B2767" s="195">
        <v>2142</v>
      </c>
      <c r="C2767" s="194"/>
      <c r="D2767" s="194"/>
      <c r="E2767" s="198"/>
      <c r="G2767" s="202"/>
      <c r="J2767" s="195">
        <v>41</v>
      </c>
      <c r="K2767" s="204" t="s">
        <v>40</v>
      </c>
      <c r="L2767" s="199">
        <v>2</v>
      </c>
      <c r="M2767" s="200">
        <v>4.3</v>
      </c>
      <c r="N2767" s="201">
        <v>23</v>
      </c>
    </row>
    <row r="2768" spans="1:14">
      <c r="A2768" s="194">
        <v>41300.610856481479</v>
      </c>
      <c r="B2768" s="195">
        <v>2142</v>
      </c>
      <c r="C2768" s="194"/>
      <c r="D2768" s="194"/>
      <c r="E2768" s="198"/>
      <c r="G2768" s="202"/>
      <c r="J2768" s="195">
        <v>41</v>
      </c>
      <c r="K2768" s="204" t="s">
        <v>40</v>
      </c>
      <c r="L2768" s="199">
        <v>2</v>
      </c>
      <c r="M2768" s="200">
        <v>9.3000000000000007</v>
      </c>
      <c r="N2768" s="201">
        <v>24</v>
      </c>
    </row>
    <row r="2769" spans="1:14">
      <c r="A2769" s="194">
        <v>41304.514398148145</v>
      </c>
      <c r="B2769" s="195">
        <v>2142</v>
      </c>
      <c r="C2769" s="194"/>
      <c r="D2769" s="194"/>
      <c r="E2769" s="198"/>
      <c r="G2769" s="202"/>
      <c r="J2769" s="195">
        <v>41</v>
      </c>
      <c r="K2769" s="204" t="s">
        <v>40</v>
      </c>
      <c r="L2769" s="199">
        <v>2</v>
      </c>
      <c r="M2769" s="200">
        <v>1.4</v>
      </c>
      <c r="N2769" s="201">
        <v>25</v>
      </c>
    </row>
    <row r="2770" spans="1:14">
      <c r="A2770" s="194">
        <v>41300.610891203702</v>
      </c>
      <c r="B2770" s="195">
        <v>2142</v>
      </c>
      <c r="C2770" s="194"/>
      <c r="D2770" s="194"/>
      <c r="E2770" s="198"/>
      <c r="G2770" s="202"/>
      <c r="J2770" s="195">
        <v>41</v>
      </c>
      <c r="K2770" s="204" t="s">
        <v>40</v>
      </c>
      <c r="L2770" s="199">
        <v>2</v>
      </c>
      <c r="M2770" s="200">
        <v>12.7</v>
      </c>
      <c r="N2770" s="201">
        <v>26</v>
      </c>
    </row>
    <row r="2771" spans="1:14">
      <c r="A2771" s="194">
        <v>41304.514432870368</v>
      </c>
      <c r="B2771" s="195">
        <v>2142</v>
      </c>
      <c r="C2771" s="194"/>
      <c r="D2771" s="194"/>
      <c r="E2771" s="198"/>
      <c r="G2771" s="202"/>
      <c r="J2771" s="195">
        <v>41</v>
      </c>
      <c r="K2771" s="204" t="s">
        <v>40</v>
      </c>
      <c r="L2771" s="199">
        <v>2</v>
      </c>
      <c r="M2771" s="200">
        <v>4.3</v>
      </c>
      <c r="N2771" s="201">
        <v>28</v>
      </c>
    </row>
    <row r="2772" spans="1:14">
      <c r="A2772" s="194">
        <v>41304.514513888891</v>
      </c>
      <c r="B2772" s="195">
        <v>2142</v>
      </c>
      <c r="C2772" s="194"/>
      <c r="D2772" s="194"/>
      <c r="E2772" s="198"/>
      <c r="G2772" s="202"/>
      <c r="J2772" s="195">
        <v>41</v>
      </c>
      <c r="K2772" s="204" t="s">
        <v>40</v>
      </c>
      <c r="L2772" s="199">
        <v>2</v>
      </c>
      <c r="M2772" s="200">
        <v>11.5</v>
      </c>
      <c r="N2772" s="201">
        <v>32</v>
      </c>
    </row>
    <row r="2773" spans="1:14">
      <c r="A2773" s="194">
        <v>41288.73232638889</v>
      </c>
      <c r="B2773" s="195">
        <v>2142</v>
      </c>
      <c r="C2773" s="194"/>
      <c r="D2773" s="194"/>
      <c r="E2773" s="198"/>
      <c r="G2773" s="202"/>
      <c r="J2773" s="195">
        <v>4400</v>
      </c>
      <c r="K2773" s="204" t="s">
        <v>37</v>
      </c>
      <c r="L2773" s="199">
        <v>3</v>
      </c>
      <c r="M2773" s="200">
        <v>0.3</v>
      </c>
      <c r="N2773" s="201">
        <v>33</v>
      </c>
    </row>
    <row r="2774" spans="1:14">
      <c r="A2774" s="194">
        <v>41288.375555555554</v>
      </c>
      <c r="B2774" s="195">
        <v>2142</v>
      </c>
      <c r="C2774" s="194"/>
      <c r="D2774" s="194"/>
      <c r="E2774" s="198"/>
      <c r="G2774" s="202"/>
      <c r="J2774" s="195">
        <v>6100</v>
      </c>
      <c r="K2774" s="204" t="s">
        <v>38</v>
      </c>
      <c r="L2774" s="199">
        <v>3</v>
      </c>
      <c r="M2774" s="200">
        <v>0.8</v>
      </c>
      <c r="N2774" s="201">
        <v>28</v>
      </c>
    </row>
    <row r="2775" spans="1:14">
      <c r="A2775" s="194">
        <v>41299.792187500003</v>
      </c>
      <c r="B2775" s="195">
        <v>2142</v>
      </c>
      <c r="C2775" s="194"/>
      <c r="D2775" s="194"/>
      <c r="E2775" s="198"/>
      <c r="G2775" s="202"/>
      <c r="J2775" s="195">
        <v>6200</v>
      </c>
      <c r="K2775" s="204" t="s">
        <v>36</v>
      </c>
      <c r="L2775" s="199">
        <v>1</v>
      </c>
      <c r="M2775" s="200">
        <v>0.9</v>
      </c>
      <c r="N2775" s="201">
        <v>36</v>
      </c>
    </row>
    <row r="2776" spans="1:14">
      <c r="A2776" s="194">
        <v>41292.471736111111</v>
      </c>
      <c r="B2776" s="195">
        <v>2144</v>
      </c>
      <c r="C2776" s="194"/>
      <c r="D2776" s="194"/>
      <c r="E2776" s="196" t="s">
        <v>331</v>
      </c>
      <c r="F2776" s="195">
        <v>456</v>
      </c>
      <c r="G2776" s="197" t="s">
        <v>141</v>
      </c>
      <c r="H2776" s="197" t="s">
        <v>223</v>
      </c>
      <c r="I2776" s="196" t="s">
        <v>226</v>
      </c>
      <c r="J2776" s="195">
        <v>1</v>
      </c>
      <c r="K2776" s="204" t="s">
        <v>224</v>
      </c>
      <c r="L2776" s="199">
        <v>2</v>
      </c>
      <c r="M2776" s="200">
        <v>0.3</v>
      </c>
      <c r="N2776" s="201">
        <v>27</v>
      </c>
    </row>
    <row r="2777" spans="1:14">
      <c r="A2777" s="194">
        <v>41298.329375000001</v>
      </c>
      <c r="B2777" s="195">
        <v>2144</v>
      </c>
      <c r="C2777" s="194"/>
      <c r="D2777" s="194"/>
      <c r="E2777" s="196" t="s">
        <v>354</v>
      </c>
      <c r="F2777" s="195">
        <v>456</v>
      </c>
      <c r="G2777" s="197" t="s">
        <v>141</v>
      </c>
      <c r="H2777" s="197" t="s">
        <v>223</v>
      </c>
      <c r="I2777" s="196" t="s">
        <v>226</v>
      </c>
      <c r="J2777" s="195">
        <v>1</v>
      </c>
      <c r="K2777" s="204" t="s">
        <v>224</v>
      </c>
      <c r="L2777" s="199">
        <v>3</v>
      </c>
      <c r="M2777" s="200">
        <v>0.4</v>
      </c>
      <c r="N2777" s="201">
        <v>29</v>
      </c>
    </row>
    <row r="2778" spans="1:14">
      <c r="A2778" s="194">
        <v>41303.355428240742</v>
      </c>
      <c r="B2778" s="195">
        <v>2144</v>
      </c>
      <c r="C2778" s="194"/>
      <c r="D2778" s="194"/>
      <c r="E2778" s="196" t="s">
        <v>405</v>
      </c>
      <c r="F2778" s="195">
        <v>462</v>
      </c>
      <c r="G2778" s="197" t="s">
        <v>144</v>
      </c>
      <c r="H2778" s="197" t="s">
        <v>223</v>
      </c>
      <c r="I2778" s="196" t="s">
        <v>402</v>
      </c>
      <c r="J2778" s="195">
        <v>1</v>
      </c>
      <c r="K2778" s="204" t="s">
        <v>224</v>
      </c>
      <c r="L2778" s="199">
        <v>3</v>
      </c>
      <c r="M2778" s="200">
        <v>0.6</v>
      </c>
      <c r="N2778" s="201">
        <v>25</v>
      </c>
    </row>
    <row r="2779" spans="1:14">
      <c r="A2779" s="194">
        <v>41282.374467592592</v>
      </c>
      <c r="B2779" s="195">
        <v>2144</v>
      </c>
      <c r="C2779" s="194"/>
      <c r="D2779" s="194"/>
      <c r="E2779" s="196" t="s">
        <v>427</v>
      </c>
      <c r="F2779" s="195">
        <v>466</v>
      </c>
      <c r="G2779" s="197" t="s">
        <v>142</v>
      </c>
      <c r="H2779" s="197" t="s">
        <v>223</v>
      </c>
      <c r="I2779" s="196" t="s">
        <v>402</v>
      </c>
      <c r="J2779" s="195">
        <v>1</v>
      </c>
      <c r="K2779" s="204" t="s">
        <v>224</v>
      </c>
      <c r="L2779" s="199">
        <v>3</v>
      </c>
      <c r="M2779" s="200">
        <v>0.3</v>
      </c>
      <c r="N2779" s="201">
        <v>25</v>
      </c>
    </row>
    <row r="2780" spans="1:14">
      <c r="A2780" s="194">
        <v>41290.758194444446</v>
      </c>
      <c r="B2780" s="195">
        <v>2144</v>
      </c>
      <c r="C2780" s="194"/>
      <c r="D2780" s="194"/>
      <c r="E2780" s="196" t="s">
        <v>442</v>
      </c>
      <c r="F2780" s="195">
        <v>466</v>
      </c>
      <c r="G2780" s="197" t="s">
        <v>142</v>
      </c>
      <c r="H2780" s="197" t="s">
        <v>223</v>
      </c>
      <c r="I2780" s="196" t="s">
        <v>402</v>
      </c>
      <c r="J2780" s="195">
        <v>1</v>
      </c>
      <c r="K2780" s="204" t="s">
        <v>224</v>
      </c>
      <c r="L2780" s="199">
        <v>2</v>
      </c>
      <c r="M2780" s="200">
        <v>0.3</v>
      </c>
      <c r="N2780" s="201">
        <v>34</v>
      </c>
    </row>
    <row r="2781" spans="1:14">
      <c r="A2781" s="194">
        <v>41292.763402777775</v>
      </c>
      <c r="B2781" s="195">
        <v>2144</v>
      </c>
      <c r="C2781" s="194"/>
      <c r="D2781" s="194"/>
      <c r="E2781" s="196" t="s">
        <v>1175</v>
      </c>
      <c r="F2781" s="195">
        <v>800</v>
      </c>
      <c r="G2781" s="197" t="s">
        <v>470</v>
      </c>
      <c r="H2781" s="197" t="s">
        <v>471</v>
      </c>
      <c r="J2781" s="195">
        <v>1</v>
      </c>
      <c r="K2781" s="204" t="s">
        <v>224</v>
      </c>
      <c r="L2781" s="199">
        <v>2</v>
      </c>
      <c r="M2781" s="200">
        <v>0.7</v>
      </c>
      <c r="N2781" s="201">
        <v>15</v>
      </c>
    </row>
    <row r="2782" spans="1:14">
      <c r="A2782" s="194">
        <v>41284.623611111114</v>
      </c>
      <c r="B2782" s="195">
        <v>2144</v>
      </c>
      <c r="C2782" s="194"/>
      <c r="D2782" s="194"/>
      <c r="E2782" s="196" t="s">
        <v>861</v>
      </c>
      <c r="F2782" s="195">
        <v>800</v>
      </c>
      <c r="G2782" s="197" t="s">
        <v>470</v>
      </c>
      <c r="H2782" s="197" t="s">
        <v>471</v>
      </c>
      <c r="J2782" s="195">
        <v>1</v>
      </c>
      <c r="K2782" s="204" t="s">
        <v>224</v>
      </c>
      <c r="L2782" s="199">
        <v>3</v>
      </c>
      <c r="M2782" s="200">
        <v>0.9</v>
      </c>
      <c r="N2782" s="201">
        <v>16</v>
      </c>
    </row>
    <row r="2783" spans="1:14">
      <c r="A2783" s="194">
        <v>41282.721689814818</v>
      </c>
      <c r="B2783" s="195">
        <v>2144</v>
      </c>
      <c r="C2783" s="194"/>
      <c r="D2783" s="194"/>
      <c r="E2783" s="196" t="s">
        <v>743</v>
      </c>
      <c r="F2783" s="195">
        <v>800</v>
      </c>
      <c r="G2783" s="197" t="s">
        <v>470</v>
      </c>
      <c r="H2783" s="197" t="s">
        <v>471</v>
      </c>
      <c r="J2783" s="195">
        <v>1</v>
      </c>
      <c r="K2783" s="204" t="s">
        <v>224</v>
      </c>
      <c r="L2783" s="199">
        <v>3</v>
      </c>
      <c r="M2783" s="200">
        <v>0.4</v>
      </c>
      <c r="N2783" s="201">
        <v>18</v>
      </c>
    </row>
    <row r="2784" spans="1:14">
      <c r="A2784" s="194">
        <v>41301.689618055556</v>
      </c>
      <c r="B2784" s="195">
        <v>2144</v>
      </c>
      <c r="C2784" s="194"/>
      <c r="D2784" s="194"/>
      <c r="E2784" s="196" t="s">
        <v>1418</v>
      </c>
      <c r="F2784" s="195">
        <v>800</v>
      </c>
      <c r="G2784" s="197" t="s">
        <v>470</v>
      </c>
      <c r="H2784" s="197" t="s">
        <v>471</v>
      </c>
      <c r="J2784" s="195">
        <v>1</v>
      </c>
      <c r="K2784" s="204" t="s">
        <v>224</v>
      </c>
      <c r="L2784" s="199">
        <v>3</v>
      </c>
      <c r="M2784" s="200">
        <v>0.3</v>
      </c>
      <c r="N2784" s="201">
        <v>19</v>
      </c>
    </row>
    <row r="2785" spans="1:14">
      <c r="A2785" s="194">
        <v>41304.792060185187</v>
      </c>
      <c r="B2785" s="195">
        <v>2144</v>
      </c>
      <c r="C2785" s="194"/>
      <c r="D2785" s="194"/>
      <c r="E2785" s="196" t="s">
        <v>1551</v>
      </c>
      <c r="F2785" s="195">
        <v>800</v>
      </c>
      <c r="G2785" s="197" t="s">
        <v>470</v>
      </c>
      <c r="H2785" s="197" t="s">
        <v>471</v>
      </c>
      <c r="J2785" s="195">
        <v>1</v>
      </c>
      <c r="K2785" s="204" t="s">
        <v>224</v>
      </c>
      <c r="L2785" s="199">
        <v>3</v>
      </c>
      <c r="M2785" s="200">
        <v>0.3</v>
      </c>
      <c r="N2785" s="201">
        <v>21</v>
      </c>
    </row>
    <row r="2786" spans="1:14">
      <c r="A2786" s="194">
        <v>41304.720011574071</v>
      </c>
      <c r="B2786" s="195">
        <v>2144</v>
      </c>
      <c r="C2786" s="194"/>
      <c r="D2786" s="194"/>
      <c r="E2786" s="196" t="s">
        <v>1550</v>
      </c>
      <c r="F2786" s="195">
        <v>800</v>
      </c>
      <c r="G2786" s="197" t="s">
        <v>470</v>
      </c>
      <c r="H2786" s="197" t="s">
        <v>471</v>
      </c>
      <c r="J2786" s="195">
        <v>1</v>
      </c>
      <c r="K2786" s="204" t="s">
        <v>224</v>
      </c>
      <c r="L2786" s="199">
        <v>3</v>
      </c>
      <c r="M2786" s="200">
        <v>0.4</v>
      </c>
      <c r="N2786" s="201">
        <v>21</v>
      </c>
    </row>
    <row r="2787" spans="1:14">
      <c r="A2787" s="194">
        <v>41301.902303240742</v>
      </c>
      <c r="B2787" s="195">
        <v>2144</v>
      </c>
      <c r="C2787" s="194"/>
      <c r="D2787" s="194"/>
      <c r="E2787" s="196" t="s">
        <v>1419</v>
      </c>
      <c r="F2787" s="195">
        <v>800</v>
      </c>
      <c r="G2787" s="197" t="s">
        <v>470</v>
      </c>
      <c r="H2787" s="197" t="s">
        <v>471</v>
      </c>
      <c r="J2787" s="195">
        <v>1</v>
      </c>
      <c r="K2787" s="204" t="s">
        <v>224</v>
      </c>
      <c r="L2787" s="199">
        <v>3</v>
      </c>
      <c r="M2787" s="200">
        <v>0.5</v>
      </c>
      <c r="N2787" s="201">
        <v>21</v>
      </c>
    </row>
    <row r="2788" spans="1:14">
      <c r="A2788" s="194">
        <v>41289.738229166665</v>
      </c>
      <c r="B2788" s="195">
        <v>2144</v>
      </c>
      <c r="C2788" s="194"/>
      <c r="D2788" s="194"/>
      <c r="E2788" s="196" t="s">
        <v>1016</v>
      </c>
      <c r="F2788" s="195">
        <v>800</v>
      </c>
      <c r="G2788" s="197" t="s">
        <v>470</v>
      </c>
      <c r="H2788" s="197" t="s">
        <v>471</v>
      </c>
      <c r="J2788" s="195">
        <v>1</v>
      </c>
      <c r="K2788" s="204" t="s">
        <v>224</v>
      </c>
      <c r="L2788" s="199">
        <v>2</v>
      </c>
      <c r="M2788" s="200">
        <v>0.6</v>
      </c>
      <c r="N2788" s="201">
        <v>21</v>
      </c>
    </row>
    <row r="2789" spans="1:14">
      <c r="A2789" s="194">
        <v>41284.280717592592</v>
      </c>
      <c r="B2789" s="195">
        <v>2144</v>
      </c>
      <c r="C2789" s="194"/>
      <c r="D2789" s="194"/>
      <c r="E2789" s="196" t="s">
        <v>780</v>
      </c>
      <c r="F2789" s="195">
        <v>800</v>
      </c>
      <c r="G2789" s="197" t="s">
        <v>470</v>
      </c>
      <c r="H2789" s="197" t="s">
        <v>471</v>
      </c>
      <c r="J2789" s="195">
        <v>1</v>
      </c>
      <c r="K2789" s="204" t="s">
        <v>224</v>
      </c>
      <c r="L2789" s="199">
        <v>2</v>
      </c>
      <c r="M2789" s="200">
        <v>0.3</v>
      </c>
      <c r="N2789" s="201">
        <v>22</v>
      </c>
    </row>
    <row r="2790" spans="1:14">
      <c r="A2790" s="194">
        <v>41281.557627314818</v>
      </c>
      <c r="B2790" s="195">
        <v>2144</v>
      </c>
      <c r="C2790" s="194"/>
      <c r="D2790" s="194"/>
      <c r="E2790" s="196" t="s">
        <v>716</v>
      </c>
      <c r="F2790" s="195">
        <v>800</v>
      </c>
      <c r="G2790" s="197" t="s">
        <v>470</v>
      </c>
      <c r="H2790" s="197" t="s">
        <v>471</v>
      </c>
      <c r="J2790" s="195">
        <v>1</v>
      </c>
      <c r="K2790" s="204" t="s">
        <v>224</v>
      </c>
      <c r="L2790" s="199">
        <v>3</v>
      </c>
      <c r="M2790" s="200">
        <v>0.7</v>
      </c>
      <c r="N2790" s="201">
        <v>23</v>
      </c>
    </row>
    <row r="2791" spans="1:14">
      <c r="A2791" s="194">
        <v>41303.637546296297</v>
      </c>
      <c r="B2791" s="195">
        <v>2144</v>
      </c>
      <c r="C2791" s="194"/>
      <c r="D2791" s="194"/>
      <c r="E2791" s="196" t="s">
        <v>1500</v>
      </c>
      <c r="F2791" s="195">
        <v>800</v>
      </c>
      <c r="G2791" s="197" t="s">
        <v>470</v>
      </c>
      <c r="H2791" s="197" t="s">
        <v>471</v>
      </c>
      <c r="J2791" s="195">
        <v>1</v>
      </c>
      <c r="K2791" s="204" t="s">
        <v>224</v>
      </c>
      <c r="L2791" s="199">
        <v>3</v>
      </c>
      <c r="M2791" s="200">
        <v>0.3</v>
      </c>
      <c r="N2791" s="201">
        <v>25</v>
      </c>
    </row>
    <row r="2792" spans="1:14">
      <c r="A2792" s="194">
        <v>41297.947430555556</v>
      </c>
      <c r="B2792" s="195">
        <v>2144</v>
      </c>
      <c r="C2792" s="194"/>
      <c r="D2792" s="194"/>
      <c r="E2792" s="196" t="s">
        <v>1336</v>
      </c>
      <c r="F2792" s="195">
        <v>800</v>
      </c>
      <c r="G2792" s="197" t="s">
        <v>470</v>
      </c>
      <c r="H2792" s="197" t="s">
        <v>471</v>
      </c>
      <c r="J2792" s="195">
        <v>1</v>
      </c>
      <c r="K2792" s="204" t="s">
        <v>224</v>
      </c>
      <c r="L2792" s="199">
        <v>3</v>
      </c>
      <c r="M2792" s="200">
        <v>0.5</v>
      </c>
      <c r="N2792" s="201">
        <v>25</v>
      </c>
    </row>
    <row r="2793" spans="1:14">
      <c r="A2793" s="194">
        <v>41298.384930555556</v>
      </c>
      <c r="B2793" s="195">
        <v>2144</v>
      </c>
      <c r="C2793" s="194"/>
      <c r="D2793" s="194"/>
      <c r="E2793" s="196" t="s">
        <v>1330</v>
      </c>
      <c r="F2793" s="195">
        <v>800</v>
      </c>
      <c r="G2793" s="197" t="s">
        <v>470</v>
      </c>
      <c r="H2793" s="197" t="s">
        <v>471</v>
      </c>
      <c r="J2793" s="195">
        <v>1</v>
      </c>
      <c r="K2793" s="204" t="s">
        <v>224</v>
      </c>
      <c r="L2793" s="199">
        <v>3</v>
      </c>
      <c r="M2793" s="200">
        <v>0.5</v>
      </c>
      <c r="N2793" s="201">
        <v>26</v>
      </c>
    </row>
    <row r="2794" spans="1:14">
      <c r="A2794" s="194">
        <v>41284.926562499997</v>
      </c>
      <c r="B2794" s="195">
        <v>2144</v>
      </c>
      <c r="C2794" s="194"/>
      <c r="D2794" s="194"/>
      <c r="E2794" s="196" t="s">
        <v>862</v>
      </c>
      <c r="F2794" s="195">
        <v>800</v>
      </c>
      <c r="G2794" s="197" t="s">
        <v>470</v>
      </c>
      <c r="H2794" s="197" t="s">
        <v>471</v>
      </c>
      <c r="J2794" s="195">
        <v>1</v>
      </c>
      <c r="K2794" s="204" t="s">
        <v>224</v>
      </c>
      <c r="L2794" s="199">
        <v>2</v>
      </c>
      <c r="M2794" s="200">
        <v>0.7</v>
      </c>
      <c r="N2794" s="201">
        <v>26</v>
      </c>
    </row>
    <row r="2795" spans="1:14">
      <c r="A2795" s="194">
        <v>41301.648831018516</v>
      </c>
      <c r="B2795" s="195">
        <v>2144</v>
      </c>
      <c r="C2795" s="194"/>
      <c r="D2795" s="194"/>
      <c r="E2795" s="196" t="s">
        <v>1416</v>
      </c>
      <c r="F2795" s="195">
        <v>800</v>
      </c>
      <c r="G2795" s="197" t="s">
        <v>470</v>
      </c>
      <c r="H2795" s="197" t="s">
        <v>471</v>
      </c>
      <c r="J2795" s="195">
        <v>1</v>
      </c>
      <c r="K2795" s="204" t="s">
        <v>224</v>
      </c>
      <c r="L2795" s="199">
        <v>3</v>
      </c>
      <c r="M2795" s="200">
        <v>1</v>
      </c>
      <c r="N2795" s="201">
        <v>26</v>
      </c>
    </row>
    <row r="2796" spans="1:14">
      <c r="A2796" s="194">
        <v>41303.765150462961</v>
      </c>
      <c r="B2796" s="195">
        <v>2144</v>
      </c>
      <c r="C2796" s="194"/>
      <c r="D2796" s="194"/>
      <c r="E2796" s="196" t="s">
        <v>1501</v>
      </c>
      <c r="F2796" s="195">
        <v>800</v>
      </c>
      <c r="G2796" s="197" t="s">
        <v>470</v>
      </c>
      <c r="H2796" s="197" t="s">
        <v>471</v>
      </c>
      <c r="J2796" s="195">
        <v>1</v>
      </c>
      <c r="K2796" s="204" t="s">
        <v>224</v>
      </c>
      <c r="L2796" s="199">
        <v>2</v>
      </c>
      <c r="M2796" s="200">
        <v>0.5</v>
      </c>
      <c r="N2796" s="201">
        <v>27</v>
      </c>
    </row>
    <row r="2797" spans="1:14">
      <c r="A2797" s="194">
        <v>41301.683553240742</v>
      </c>
      <c r="B2797" s="195">
        <v>2144</v>
      </c>
      <c r="C2797" s="194"/>
      <c r="D2797" s="194"/>
      <c r="E2797" s="196" t="s">
        <v>1417</v>
      </c>
      <c r="F2797" s="195">
        <v>800</v>
      </c>
      <c r="G2797" s="197" t="s">
        <v>470</v>
      </c>
      <c r="H2797" s="197" t="s">
        <v>471</v>
      </c>
      <c r="J2797" s="195">
        <v>1</v>
      </c>
      <c r="K2797" s="204" t="s">
        <v>224</v>
      </c>
      <c r="L2797" s="199">
        <v>3</v>
      </c>
      <c r="M2797" s="200">
        <v>0.7</v>
      </c>
      <c r="N2797" s="201">
        <v>27</v>
      </c>
    </row>
    <row r="2798" spans="1:14">
      <c r="A2798" s="194">
        <v>41280.742523148147</v>
      </c>
      <c r="B2798" s="195">
        <v>2144</v>
      </c>
      <c r="C2798" s="194"/>
      <c r="D2798" s="194"/>
      <c r="E2798" s="196" t="s">
        <v>567</v>
      </c>
      <c r="F2798" s="195">
        <v>800</v>
      </c>
      <c r="G2798" s="197" t="s">
        <v>470</v>
      </c>
      <c r="H2798" s="197" t="s">
        <v>471</v>
      </c>
      <c r="J2798" s="195">
        <v>1</v>
      </c>
      <c r="K2798" s="204" t="s">
        <v>224</v>
      </c>
      <c r="L2798" s="199">
        <v>2</v>
      </c>
      <c r="M2798" s="200">
        <v>0.5</v>
      </c>
      <c r="N2798" s="201">
        <v>28</v>
      </c>
    </row>
    <row r="2799" spans="1:14">
      <c r="A2799" s="194">
        <v>41289.843263888892</v>
      </c>
      <c r="B2799" s="195">
        <v>2144</v>
      </c>
      <c r="C2799" s="194"/>
      <c r="D2799" s="194"/>
      <c r="E2799" s="196" t="s">
        <v>1017</v>
      </c>
      <c r="F2799" s="195">
        <v>800</v>
      </c>
      <c r="G2799" s="197" t="s">
        <v>470</v>
      </c>
      <c r="H2799" s="197" t="s">
        <v>471</v>
      </c>
      <c r="J2799" s="195">
        <v>1</v>
      </c>
      <c r="K2799" s="204" t="s">
        <v>224</v>
      </c>
      <c r="L2799" s="199">
        <v>2</v>
      </c>
      <c r="M2799" s="200">
        <v>0.6</v>
      </c>
      <c r="N2799" s="201">
        <v>28</v>
      </c>
    </row>
    <row r="2800" spans="1:14">
      <c r="A2800" s="194">
        <v>41290.464791666665</v>
      </c>
      <c r="B2800" s="195">
        <v>2144</v>
      </c>
      <c r="C2800" s="194"/>
      <c r="D2800" s="194"/>
      <c r="E2800" s="196" t="s">
        <v>1050</v>
      </c>
      <c r="F2800" s="195">
        <v>800</v>
      </c>
      <c r="G2800" s="197" t="s">
        <v>470</v>
      </c>
      <c r="H2800" s="197" t="s">
        <v>471</v>
      </c>
      <c r="J2800" s="195">
        <v>1</v>
      </c>
      <c r="K2800" s="204" t="s">
        <v>224</v>
      </c>
      <c r="L2800" s="199">
        <v>3</v>
      </c>
      <c r="M2800" s="200">
        <v>0.8</v>
      </c>
      <c r="N2800" s="201">
        <v>28</v>
      </c>
    </row>
    <row r="2801" spans="1:14">
      <c r="A2801" s="194">
        <v>41286.189652777779</v>
      </c>
      <c r="B2801" s="195">
        <v>2144</v>
      </c>
      <c r="C2801" s="194"/>
      <c r="D2801" s="194"/>
      <c r="E2801" s="196" t="s">
        <v>912</v>
      </c>
      <c r="F2801" s="195">
        <v>800</v>
      </c>
      <c r="G2801" s="197" t="s">
        <v>470</v>
      </c>
      <c r="H2801" s="197" t="s">
        <v>471</v>
      </c>
      <c r="J2801" s="195">
        <v>1</v>
      </c>
      <c r="K2801" s="204" t="s">
        <v>224</v>
      </c>
      <c r="L2801" s="199">
        <v>2</v>
      </c>
      <c r="M2801" s="200">
        <v>6.3</v>
      </c>
      <c r="N2801" s="201">
        <v>29</v>
      </c>
    </row>
    <row r="2802" spans="1:14">
      <c r="A2802" s="194">
        <v>41277.897303240738</v>
      </c>
      <c r="B2802" s="195">
        <v>2144</v>
      </c>
      <c r="C2802" s="194"/>
      <c r="D2802" s="194"/>
      <c r="E2802" s="196" t="s">
        <v>630</v>
      </c>
      <c r="F2802" s="195">
        <v>800</v>
      </c>
      <c r="G2802" s="197" t="s">
        <v>470</v>
      </c>
      <c r="H2802" s="197" t="s">
        <v>471</v>
      </c>
      <c r="J2802" s="195">
        <v>1</v>
      </c>
      <c r="K2802" s="204" t="s">
        <v>224</v>
      </c>
      <c r="L2802" s="199">
        <v>3</v>
      </c>
      <c r="M2802" s="200">
        <v>24.3</v>
      </c>
      <c r="N2802" s="201">
        <v>29</v>
      </c>
    </row>
    <row r="2803" spans="1:14">
      <c r="A2803" s="194">
        <v>41285.777256944442</v>
      </c>
      <c r="B2803" s="195">
        <v>2144</v>
      </c>
      <c r="C2803" s="194"/>
      <c r="D2803" s="194"/>
      <c r="E2803" s="196" t="s">
        <v>930</v>
      </c>
      <c r="F2803" s="195">
        <v>800</v>
      </c>
      <c r="G2803" s="197" t="s">
        <v>470</v>
      </c>
      <c r="H2803" s="197" t="s">
        <v>471</v>
      </c>
      <c r="J2803" s="195">
        <v>1</v>
      </c>
      <c r="K2803" s="204" t="s">
        <v>224</v>
      </c>
      <c r="L2803" s="199">
        <v>2</v>
      </c>
      <c r="M2803" s="200">
        <v>0.3</v>
      </c>
      <c r="N2803" s="201">
        <v>30</v>
      </c>
    </row>
    <row r="2804" spans="1:14">
      <c r="A2804" s="194">
        <v>41300.902291666665</v>
      </c>
      <c r="B2804" s="195">
        <v>2144</v>
      </c>
      <c r="C2804" s="194"/>
      <c r="D2804" s="194"/>
      <c r="E2804" s="196" t="s">
        <v>1449</v>
      </c>
      <c r="F2804" s="195">
        <v>800</v>
      </c>
      <c r="G2804" s="197" t="s">
        <v>470</v>
      </c>
      <c r="H2804" s="197" t="s">
        <v>471</v>
      </c>
      <c r="J2804" s="195">
        <v>1</v>
      </c>
      <c r="K2804" s="204" t="s">
        <v>224</v>
      </c>
      <c r="L2804" s="199">
        <v>3</v>
      </c>
      <c r="M2804" s="200">
        <v>0.5</v>
      </c>
      <c r="N2804" s="201">
        <v>30</v>
      </c>
    </row>
    <row r="2805" spans="1:14">
      <c r="A2805" s="194">
        <v>41276.815416666665</v>
      </c>
      <c r="B2805" s="195">
        <v>2144</v>
      </c>
      <c r="C2805" s="194"/>
      <c r="D2805" s="194"/>
      <c r="E2805" s="196" t="s">
        <v>522</v>
      </c>
      <c r="F2805" s="195">
        <v>800</v>
      </c>
      <c r="G2805" s="197" t="s">
        <v>470</v>
      </c>
      <c r="H2805" s="197" t="s">
        <v>471</v>
      </c>
      <c r="J2805" s="195">
        <v>1</v>
      </c>
      <c r="K2805" s="204" t="s">
        <v>224</v>
      </c>
      <c r="L2805" s="199">
        <v>2</v>
      </c>
      <c r="M2805" s="200">
        <v>0.4</v>
      </c>
      <c r="N2805" s="201">
        <v>31</v>
      </c>
    </row>
    <row r="2806" spans="1:14">
      <c r="A2806" s="194">
        <v>41277.653969907406</v>
      </c>
      <c r="B2806" s="195">
        <v>2144</v>
      </c>
      <c r="C2806" s="194"/>
      <c r="D2806" s="194"/>
      <c r="E2806" s="196" t="s">
        <v>627</v>
      </c>
      <c r="F2806" s="195">
        <v>800</v>
      </c>
      <c r="G2806" s="197" t="s">
        <v>470</v>
      </c>
      <c r="H2806" s="197" t="s">
        <v>471</v>
      </c>
      <c r="J2806" s="195">
        <v>1</v>
      </c>
      <c r="K2806" s="204" t="s">
        <v>224</v>
      </c>
      <c r="L2806" s="199">
        <v>2</v>
      </c>
      <c r="M2806" s="200">
        <v>0.5</v>
      </c>
      <c r="N2806" s="201">
        <v>33</v>
      </c>
    </row>
    <row r="2807" spans="1:14">
      <c r="A2807" s="194">
        <v>41288.351064814815</v>
      </c>
      <c r="B2807" s="195">
        <v>2144</v>
      </c>
      <c r="C2807" s="194"/>
      <c r="D2807" s="194"/>
      <c r="E2807" s="198"/>
      <c r="G2807" s="202"/>
      <c r="J2807" s="195">
        <v>2</v>
      </c>
      <c r="K2807" s="204" t="s">
        <v>32</v>
      </c>
      <c r="L2807" s="199">
        <v>3</v>
      </c>
      <c r="M2807" s="200">
        <v>0.4</v>
      </c>
      <c r="N2807" s="201">
        <v>20</v>
      </c>
    </row>
    <row r="2808" spans="1:14">
      <c r="A2808" s="194">
        <v>41303.648831018516</v>
      </c>
      <c r="B2808" s="195">
        <v>2144</v>
      </c>
      <c r="C2808" s="194"/>
      <c r="D2808" s="194"/>
      <c r="E2808" s="198"/>
      <c r="G2808" s="202"/>
      <c r="J2808" s="195">
        <v>2</v>
      </c>
      <c r="K2808" s="204" t="s">
        <v>32</v>
      </c>
      <c r="L2808" s="199">
        <v>2</v>
      </c>
      <c r="M2808" s="200">
        <v>0.7</v>
      </c>
      <c r="N2808" s="201">
        <v>20</v>
      </c>
    </row>
    <row r="2809" spans="1:14">
      <c r="A2809" s="194">
        <v>41292.062013888892</v>
      </c>
      <c r="B2809" s="195">
        <v>2144</v>
      </c>
      <c r="C2809" s="194"/>
      <c r="D2809" s="194"/>
      <c r="E2809" s="198"/>
      <c r="G2809" s="202"/>
      <c r="J2809" s="195">
        <v>2</v>
      </c>
      <c r="K2809" s="204" t="s">
        <v>32</v>
      </c>
      <c r="L2809" s="199">
        <v>1</v>
      </c>
      <c r="M2809" s="200">
        <v>0.7</v>
      </c>
      <c r="N2809" s="201">
        <v>22</v>
      </c>
    </row>
    <row r="2810" spans="1:14">
      <c r="A2810" s="194">
        <v>41299.621041666665</v>
      </c>
      <c r="B2810" s="195">
        <v>2144</v>
      </c>
      <c r="C2810" s="194"/>
      <c r="D2810" s="194"/>
      <c r="E2810" s="198"/>
      <c r="G2810" s="202"/>
      <c r="J2810" s="195">
        <v>2</v>
      </c>
      <c r="K2810" s="204" t="s">
        <v>32</v>
      </c>
      <c r="L2810" s="199">
        <v>3</v>
      </c>
      <c r="M2810" s="200">
        <v>0.8</v>
      </c>
      <c r="N2810" s="201">
        <v>22</v>
      </c>
    </row>
    <row r="2811" spans="1:14">
      <c r="A2811" s="194">
        <v>41304.694837962961</v>
      </c>
      <c r="B2811" s="195">
        <v>2144</v>
      </c>
      <c r="C2811" s="194"/>
      <c r="D2811" s="194"/>
      <c r="E2811" s="198"/>
      <c r="G2811" s="202"/>
      <c r="J2811" s="195">
        <v>2</v>
      </c>
      <c r="K2811" s="204" t="s">
        <v>32</v>
      </c>
      <c r="L2811" s="199">
        <v>2</v>
      </c>
      <c r="M2811" s="200">
        <v>0.4</v>
      </c>
      <c r="N2811" s="201">
        <v>23</v>
      </c>
    </row>
    <row r="2812" spans="1:14">
      <c r="A2812" s="194">
        <v>41299.439618055556</v>
      </c>
      <c r="B2812" s="195">
        <v>2144</v>
      </c>
      <c r="C2812" s="194"/>
      <c r="D2812" s="194"/>
      <c r="E2812" s="198"/>
      <c r="G2812" s="202"/>
      <c r="J2812" s="195">
        <v>2</v>
      </c>
      <c r="K2812" s="204" t="s">
        <v>32</v>
      </c>
      <c r="L2812" s="199">
        <v>2</v>
      </c>
      <c r="M2812" s="200">
        <v>0.9</v>
      </c>
      <c r="N2812" s="201">
        <v>23</v>
      </c>
    </row>
    <row r="2813" spans="1:14">
      <c r="A2813" s="194">
        <v>41275.263321759259</v>
      </c>
      <c r="B2813" s="195">
        <v>2144</v>
      </c>
      <c r="C2813" s="194"/>
      <c r="D2813" s="194"/>
      <c r="E2813" s="198"/>
      <c r="G2813" s="202"/>
      <c r="J2813" s="195">
        <v>2</v>
      </c>
      <c r="K2813" s="204" t="s">
        <v>32</v>
      </c>
      <c r="L2813" s="199">
        <v>3</v>
      </c>
      <c r="M2813" s="200">
        <v>0.5</v>
      </c>
      <c r="N2813" s="201">
        <v>26</v>
      </c>
    </row>
    <row r="2814" spans="1:14">
      <c r="A2814" s="194">
        <v>41290.384918981479</v>
      </c>
      <c r="B2814" s="195">
        <v>2144</v>
      </c>
      <c r="C2814" s="194"/>
      <c r="D2814" s="194"/>
      <c r="E2814" s="198"/>
      <c r="G2814" s="202"/>
      <c r="J2814" s="195">
        <v>2</v>
      </c>
      <c r="K2814" s="204" t="s">
        <v>32</v>
      </c>
      <c r="L2814" s="199">
        <v>3</v>
      </c>
      <c r="M2814" s="200">
        <v>0.3</v>
      </c>
      <c r="N2814" s="201">
        <v>27</v>
      </c>
    </row>
    <row r="2815" spans="1:14">
      <c r="A2815" s="194">
        <v>41304.551608796297</v>
      </c>
      <c r="B2815" s="195">
        <v>2144</v>
      </c>
      <c r="C2815" s="194"/>
      <c r="D2815" s="194"/>
      <c r="E2815" s="198"/>
      <c r="G2815" s="202"/>
      <c r="J2815" s="195">
        <v>2</v>
      </c>
      <c r="K2815" s="204" t="s">
        <v>32</v>
      </c>
      <c r="L2815" s="199">
        <v>3</v>
      </c>
      <c r="M2815" s="200">
        <v>0.5</v>
      </c>
      <c r="N2815" s="201">
        <v>27</v>
      </c>
    </row>
    <row r="2816" spans="1:14">
      <c r="A2816" s="194">
        <v>41303.579386574071</v>
      </c>
      <c r="B2816" s="195">
        <v>2144</v>
      </c>
      <c r="C2816" s="194"/>
      <c r="D2816" s="194"/>
      <c r="E2816" s="198"/>
      <c r="G2816" s="202"/>
      <c r="J2816" s="195">
        <v>2</v>
      </c>
      <c r="K2816" s="204" t="s">
        <v>32</v>
      </c>
      <c r="L2816" s="199">
        <v>2</v>
      </c>
      <c r="M2816" s="200">
        <v>0.4</v>
      </c>
      <c r="N2816" s="201">
        <v>30</v>
      </c>
    </row>
    <row r="2817" spans="1:14">
      <c r="A2817" s="194">
        <v>41303.471747685187</v>
      </c>
      <c r="B2817" s="195">
        <v>2144</v>
      </c>
      <c r="C2817" s="194"/>
      <c r="D2817" s="194"/>
      <c r="E2817" s="198"/>
      <c r="G2817" s="202"/>
      <c r="J2817" s="195">
        <v>2</v>
      </c>
      <c r="K2817" s="204" t="s">
        <v>32</v>
      </c>
      <c r="L2817" s="199">
        <v>3</v>
      </c>
      <c r="M2817" s="200">
        <v>0.5</v>
      </c>
      <c r="N2817" s="201">
        <v>30</v>
      </c>
    </row>
    <row r="2818" spans="1:14">
      <c r="A2818" s="194">
        <v>41279.461261574077</v>
      </c>
      <c r="B2818" s="195">
        <v>2144</v>
      </c>
      <c r="C2818" s="194"/>
      <c r="D2818" s="194"/>
      <c r="E2818" s="198"/>
      <c r="G2818" s="202"/>
      <c r="J2818" s="195">
        <v>2</v>
      </c>
      <c r="K2818" s="204" t="s">
        <v>32</v>
      </c>
      <c r="L2818" s="199">
        <v>2</v>
      </c>
      <c r="M2818" s="200">
        <v>0.8</v>
      </c>
      <c r="N2818" s="201">
        <v>33</v>
      </c>
    </row>
    <row r="2819" spans="1:14">
      <c r="A2819" s="194">
        <v>41304.807685185187</v>
      </c>
      <c r="B2819" s="195">
        <v>2144</v>
      </c>
      <c r="C2819" s="194"/>
      <c r="D2819" s="194"/>
      <c r="E2819" s="198"/>
      <c r="G2819" s="202"/>
      <c r="J2819" s="195">
        <v>2</v>
      </c>
      <c r="K2819" s="204" t="s">
        <v>32</v>
      </c>
      <c r="L2819" s="199">
        <v>2</v>
      </c>
      <c r="M2819" s="200">
        <v>0.3</v>
      </c>
      <c r="N2819" s="201">
        <v>53</v>
      </c>
    </row>
    <row r="2820" spans="1:14">
      <c r="A2820" s="194">
        <v>41290.892743055556</v>
      </c>
      <c r="B2820" s="195">
        <v>2144</v>
      </c>
      <c r="C2820" s="194"/>
      <c r="D2820" s="194"/>
      <c r="E2820" s="198"/>
      <c r="G2820" s="202"/>
      <c r="J2820" s="195">
        <v>3</v>
      </c>
      <c r="K2820" s="204" t="s">
        <v>1595</v>
      </c>
      <c r="L2820" s="199">
        <v>3</v>
      </c>
      <c r="M2820" s="200">
        <v>0.6</v>
      </c>
      <c r="N2820" s="201">
        <v>40</v>
      </c>
    </row>
    <row r="2821" spans="1:14">
      <c r="A2821" s="194">
        <v>41284.815451388888</v>
      </c>
      <c r="B2821" s="195">
        <v>2144</v>
      </c>
      <c r="C2821" s="194"/>
      <c r="D2821" s="194"/>
      <c r="E2821" s="198"/>
      <c r="G2821" s="202"/>
      <c r="J2821" s="195">
        <v>6</v>
      </c>
      <c r="K2821" s="204" t="s">
        <v>9</v>
      </c>
      <c r="L2821" s="199">
        <v>3</v>
      </c>
      <c r="M2821" s="200">
        <v>0.8</v>
      </c>
      <c r="N2821" s="201">
        <v>21</v>
      </c>
    </row>
    <row r="2822" spans="1:14">
      <c r="A2822" s="194">
        <v>41285.877962962964</v>
      </c>
      <c r="B2822" s="195">
        <v>2144</v>
      </c>
      <c r="C2822" s="194"/>
      <c r="D2822" s="194"/>
      <c r="E2822" s="198"/>
      <c r="G2822" s="202"/>
      <c r="J2822" s="195">
        <v>6</v>
      </c>
      <c r="K2822" s="204" t="s">
        <v>9</v>
      </c>
      <c r="L2822" s="199">
        <v>3</v>
      </c>
      <c r="M2822" s="200">
        <v>0.7</v>
      </c>
      <c r="N2822" s="201">
        <v>25</v>
      </c>
    </row>
    <row r="2823" spans="1:14">
      <c r="A2823" s="194">
        <v>41287.485601851855</v>
      </c>
      <c r="B2823" s="195">
        <v>2144</v>
      </c>
      <c r="C2823" s="194"/>
      <c r="D2823" s="194"/>
      <c r="E2823" s="198"/>
      <c r="G2823" s="202"/>
      <c r="J2823" s="195">
        <v>6</v>
      </c>
      <c r="K2823" s="204" t="s">
        <v>9</v>
      </c>
      <c r="L2823" s="199">
        <v>3</v>
      </c>
      <c r="M2823" s="200">
        <v>0.4</v>
      </c>
      <c r="N2823" s="201">
        <v>28</v>
      </c>
    </row>
    <row r="2824" spans="1:14">
      <c r="A2824" s="194">
        <v>41289.53769675926</v>
      </c>
      <c r="B2824" s="195">
        <v>2144</v>
      </c>
      <c r="C2824" s="194"/>
      <c r="D2824" s="194"/>
      <c r="E2824" s="196" t="s">
        <v>1612</v>
      </c>
      <c r="G2824" s="202"/>
      <c r="J2824" s="195">
        <v>10</v>
      </c>
      <c r="K2824" s="204" t="s">
        <v>31</v>
      </c>
      <c r="L2824" s="199">
        <v>2</v>
      </c>
      <c r="M2824" s="200">
        <v>0.3</v>
      </c>
      <c r="N2824" s="201">
        <v>26</v>
      </c>
    </row>
    <row r="2825" spans="1:14">
      <c r="A2825" s="194">
        <v>41300.59065972222</v>
      </c>
      <c r="B2825" s="195">
        <v>2144</v>
      </c>
      <c r="C2825" s="194"/>
      <c r="D2825" s="194"/>
      <c r="E2825" s="198"/>
      <c r="G2825" s="202"/>
      <c r="J2825" s="195">
        <v>11</v>
      </c>
      <c r="K2825" s="204" t="s">
        <v>1</v>
      </c>
      <c r="L2825" s="199">
        <v>1</v>
      </c>
      <c r="M2825" s="200">
        <v>0.8</v>
      </c>
      <c r="N2825" s="201">
        <v>21</v>
      </c>
    </row>
    <row r="2826" spans="1:14">
      <c r="A2826" s="194">
        <v>41297.76253472222</v>
      </c>
      <c r="B2826" s="195">
        <v>2144</v>
      </c>
      <c r="C2826" s="194"/>
      <c r="D2826" s="194"/>
      <c r="E2826" s="198"/>
      <c r="G2826" s="202"/>
      <c r="J2826" s="195">
        <v>11</v>
      </c>
      <c r="K2826" s="204" t="s">
        <v>1</v>
      </c>
      <c r="L2826" s="199">
        <v>1</v>
      </c>
      <c r="M2826" s="200">
        <v>0.3</v>
      </c>
      <c r="N2826" s="201">
        <v>22</v>
      </c>
    </row>
    <row r="2827" spans="1:14">
      <c r="A2827" s="194">
        <v>41289.60019675926</v>
      </c>
      <c r="B2827" s="195">
        <v>2144</v>
      </c>
      <c r="C2827" s="194"/>
      <c r="D2827" s="194"/>
      <c r="E2827" s="196" t="s">
        <v>1930</v>
      </c>
      <c r="G2827" s="202"/>
      <c r="J2827" s="195">
        <v>11</v>
      </c>
      <c r="K2827" s="204" t="s">
        <v>1</v>
      </c>
      <c r="L2827" s="199">
        <v>2</v>
      </c>
      <c r="M2827" s="200">
        <v>0.3</v>
      </c>
      <c r="N2827" s="201">
        <v>26</v>
      </c>
    </row>
    <row r="2828" spans="1:14">
      <c r="A2828" s="194">
        <v>41284.527268518519</v>
      </c>
      <c r="B2828" s="195">
        <v>2144</v>
      </c>
      <c r="C2828" s="194"/>
      <c r="D2828" s="194"/>
      <c r="E2828" s="198"/>
      <c r="G2828" s="202"/>
      <c r="J2828" s="195">
        <v>11</v>
      </c>
      <c r="K2828" s="204" t="s">
        <v>1</v>
      </c>
      <c r="L2828" s="199">
        <v>2</v>
      </c>
      <c r="M2828" s="200">
        <v>1.5</v>
      </c>
      <c r="N2828" s="201">
        <v>26</v>
      </c>
    </row>
    <row r="2829" spans="1:14">
      <c r="A2829" s="194">
        <v>41288.808541666665</v>
      </c>
      <c r="B2829" s="195">
        <v>2144</v>
      </c>
      <c r="C2829" s="194"/>
      <c r="D2829" s="194"/>
      <c r="E2829" s="198"/>
      <c r="G2829" s="202"/>
      <c r="J2829" s="195">
        <v>11</v>
      </c>
      <c r="K2829" s="204" t="s">
        <v>1</v>
      </c>
      <c r="L2829" s="199">
        <v>1</v>
      </c>
      <c r="M2829" s="200">
        <v>0.9</v>
      </c>
      <c r="N2829" s="201">
        <v>29</v>
      </c>
    </row>
    <row r="2830" spans="1:14">
      <c r="A2830" s="194">
        <v>41290.91878472222</v>
      </c>
      <c r="B2830" s="195">
        <v>2144</v>
      </c>
      <c r="C2830" s="194"/>
      <c r="D2830" s="194"/>
      <c r="E2830" s="198"/>
      <c r="G2830" s="202"/>
      <c r="J2830" s="195">
        <v>11</v>
      </c>
      <c r="K2830" s="204" t="s">
        <v>1</v>
      </c>
      <c r="L2830" s="199">
        <v>1</v>
      </c>
      <c r="M2830" s="200">
        <v>1</v>
      </c>
      <c r="N2830" s="201">
        <v>30</v>
      </c>
    </row>
    <row r="2831" spans="1:14">
      <c r="A2831" s="194">
        <v>41278.70952546296</v>
      </c>
      <c r="B2831" s="195">
        <v>2144</v>
      </c>
      <c r="C2831" s="194"/>
      <c r="D2831" s="194"/>
      <c r="E2831" s="198"/>
      <c r="G2831" s="202"/>
      <c r="J2831" s="195">
        <v>11</v>
      </c>
      <c r="K2831" s="204" t="s">
        <v>1</v>
      </c>
      <c r="L2831" s="199">
        <v>1</v>
      </c>
      <c r="M2831" s="200">
        <v>1.1000000000000001</v>
      </c>
      <c r="N2831" s="201">
        <v>30</v>
      </c>
    </row>
    <row r="2832" spans="1:14">
      <c r="A2832" s="194">
        <v>41301.746041666665</v>
      </c>
      <c r="B2832" s="195">
        <v>2144</v>
      </c>
      <c r="C2832" s="194"/>
      <c r="D2832" s="194"/>
      <c r="E2832" s="198"/>
      <c r="G2832" s="202"/>
      <c r="J2832" s="195">
        <v>11</v>
      </c>
      <c r="K2832" s="204" t="s">
        <v>1</v>
      </c>
      <c r="L2832" s="199">
        <v>1</v>
      </c>
      <c r="M2832" s="200">
        <v>0.5</v>
      </c>
      <c r="N2832" s="201">
        <v>35</v>
      </c>
    </row>
    <row r="2833" spans="1:14">
      <c r="A2833" s="194">
        <v>41290.784236111111</v>
      </c>
      <c r="B2833" s="195">
        <v>2144</v>
      </c>
      <c r="C2833" s="194"/>
      <c r="D2833" s="194"/>
      <c r="E2833" s="198"/>
      <c r="G2833" s="202"/>
      <c r="J2833" s="195">
        <v>11</v>
      </c>
      <c r="K2833" s="204" t="s">
        <v>1</v>
      </c>
      <c r="L2833" s="199">
        <v>1</v>
      </c>
      <c r="M2833" s="200">
        <v>0.5</v>
      </c>
      <c r="N2833" s="201">
        <v>35</v>
      </c>
    </row>
    <row r="2834" spans="1:14">
      <c r="A2834" s="194">
        <v>41292.509930555556</v>
      </c>
      <c r="B2834" s="195">
        <v>2144</v>
      </c>
      <c r="C2834" s="194"/>
      <c r="D2834" s="194"/>
      <c r="E2834" s="198"/>
      <c r="G2834" s="202"/>
      <c r="J2834" s="195">
        <v>11</v>
      </c>
      <c r="K2834" s="204" t="s">
        <v>1</v>
      </c>
      <c r="L2834" s="199">
        <v>2</v>
      </c>
      <c r="M2834" s="200">
        <v>0.6</v>
      </c>
      <c r="N2834" s="201">
        <v>35</v>
      </c>
    </row>
    <row r="2835" spans="1:14">
      <c r="A2835" s="194">
        <v>41285.374479166669</v>
      </c>
      <c r="B2835" s="195">
        <v>2144</v>
      </c>
      <c r="C2835" s="194"/>
      <c r="D2835" s="194"/>
      <c r="E2835" s="198"/>
      <c r="G2835" s="202"/>
      <c r="J2835" s="195">
        <v>12</v>
      </c>
      <c r="K2835" s="204" t="s">
        <v>7</v>
      </c>
      <c r="L2835" s="199">
        <v>2</v>
      </c>
      <c r="M2835" s="200">
        <v>0.7</v>
      </c>
      <c r="N2835" s="201">
        <v>28</v>
      </c>
    </row>
    <row r="2836" spans="1:14">
      <c r="A2836" s="194">
        <v>41275.650509259256</v>
      </c>
      <c r="B2836" s="195">
        <v>2144</v>
      </c>
      <c r="C2836" s="194"/>
      <c r="D2836" s="194"/>
      <c r="E2836" s="196" t="s">
        <v>1804</v>
      </c>
      <c r="G2836" s="202"/>
      <c r="J2836" s="195">
        <v>13</v>
      </c>
      <c r="K2836" s="204" t="s">
        <v>3</v>
      </c>
      <c r="L2836" s="199">
        <v>3</v>
      </c>
      <c r="M2836" s="200">
        <v>3.1</v>
      </c>
      <c r="N2836" s="201">
        <v>26</v>
      </c>
    </row>
    <row r="2837" spans="1:14">
      <c r="A2837" s="194">
        <v>41300.626250000001</v>
      </c>
      <c r="B2837" s="195">
        <v>2144</v>
      </c>
      <c r="C2837" s="194"/>
      <c r="D2837" s="194"/>
      <c r="E2837" s="198"/>
      <c r="G2837" s="202"/>
      <c r="J2837" s="195">
        <v>14</v>
      </c>
      <c r="K2837" s="204" t="s">
        <v>2</v>
      </c>
      <c r="L2837" s="199">
        <v>1</v>
      </c>
      <c r="M2837" s="200">
        <v>0.6</v>
      </c>
      <c r="N2837" s="201">
        <v>18</v>
      </c>
    </row>
    <row r="2838" spans="1:14">
      <c r="A2838" s="194">
        <v>41297.733888888892</v>
      </c>
      <c r="B2838" s="195">
        <v>2144</v>
      </c>
      <c r="C2838" s="194"/>
      <c r="D2838" s="194"/>
      <c r="E2838" s="198"/>
      <c r="G2838" s="202"/>
      <c r="J2838" s="195">
        <v>14</v>
      </c>
      <c r="K2838" s="204" t="s">
        <v>2</v>
      </c>
      <c r="L2838" s="199">
        <v>1</v>
      </c>
      <c r="M2838" s="200">
        <v>0.4</v>
      </c>
      <c r="N2838" s="201">
        <v>21</v>
      </c>
    </row>
    <row r="2839" spans="1:14">
      <c r="A2839" s="194">
        <v>41276.696493055555</v>
      </c>
      <c r="B2839" s="195">
        <v>2144</v>
      </c>
      <c r="C2839" s="194"/>
      <c r="D2839" s="194"/>
      <c r="E2839" s="198"/>
      <c r="G2839" s="202"/>
      <c r="J2839" s="195">
        <v>14</v>
      </c>
      <c r="K2839" s="204" t="s">
        <v>2</v>
      </c>
      <c r="L2839" s="199">
        <v>2</v>
      </c>
      <c r="M2839" s="200">
        <v>0.4</v>
      </c>
      <c r="N2839" s="201">
        <v>22</v>
      </c>
    </row>
    <row r="2840" spans="1:14">
      <c r="A2840" s="194">
        <v>41275.62704861111</v>
      </c>
      <c r="B2840" s="195">
        <v>2144</v>
      </c>
      <c r="C2840" s="194"/>
      <c r="D2840" s="194"/>
      <c r="E2840" s="198"/>
      <c r="G2840" s="202"/>
      <c r="J2840" s="195">
        <v>14</v>
      </c>
      <c r="K2840" s="204" t="s">
        <v>2</v>
      </c>
      <c r="L2840" s="199">
        <v>3</v>
      </c>
      <c r="M2840" s="200">
        <v>0.6</v>
      </c>
      <c r="N2840" s="201">
        <v>36</v>
      </c>
    </row>
    <row r="2841" spans="1:14">
      <c r="A2841" s="194">
        <v>41296.444826388892</v>
      </c>
      <c r="B2841" s="195">
        <v>2144</v>
      </c>
      <c r="C2841" s="194"/>
      <c r="D2841" s="194"/>
      <c r="E2841" s="198"/>
      <c r="G2841" s="202"/>
      <c r="J2841" s="195">
        <v>15</v>
      </c>
      <c r="K2841" s="204" t="s">
        <v>4</v>
      </c>
      <c r="L2841" s="199">
        <v>3</v>
      </c>
      <c r="M2841" s="200">
        <v>0.3</v>
      </c>
      <c r="N2841" s="201">
        <v>17</v>
      </c>
    </row>
    <row r="2842" spans="1:14">
      <c r="A2842" s="194">
        <v>41292.809421296297</v>
      </c>
      <c r="B2842" s="195">
        <v>2144</v>
      </c>
      <c r="C2842" s="194"/>
      <c r="D2842" s="194"/>
      <c r="E2842" s="198"/>
      <c r="G2842" s="202"/>
      <c r="J2842" s="195">
        <v>15</v>
      </c>
      <c r="K2842" s="204" t="s">
        <v>4</v>
      </c>
      <c r="L2842" s="199">
        <v>3</v>
      </c>
      <c r="M2842" s="200">
        <v>1.2</v>
      </c>
      <c r="N2842" s="201">
        <v>17</v>
      </c>
    </row>
    <row r="2843" spans="1:14">
      <c r="A2843" s="194">
        <v>41289.713912037034</v>
      </c>
      <c r="B2843" s="195">
        <v>2144</v>
      </c>
      <c r="C2843" s="194"/>
      <c r="D2843" s="194"/>
      <c r="E2843" s="198"/>
      <c r="G2843" s="202"/>
      <c r="J2843" s="195">
        <v>15</v>
      </c>
      <c r="K2843" s="204" t="s">
        <v>4</v>
      </c>
      <c r="L2843" s="199">
        <v>3</v>
      </c>
      <c r="M2843" s="200">
        <v>0.3</v>
      </c>
      <c r="N2843" s="201">
        <v>18</v>
      </c>
    </row>
    <row r="2844" spans="1:14">
      <c r="A2844" s="194">
        <v>41292.792048611111</v>
      </c>
      <c r="B2844" s="195">
        <v>2144</v>
      </c>
      <c r="C2844" s="194"/>
      <c r="D2844" s="194"/>
      <c r="E2844" s="198"/>
      <c r="G2844" s="202"/>
      <c r="J2844" s="195">
        <v>15</v>
      </c>
      <c r="K2844" s="204" t="s">
        <v>4</v>
      </c>
      <c r="L2844" s="199">
        <v>1</v>
      </c>
      <c r="M2844" s="200">
        <v>0.6</v>
      </c>
      <c r="N2844" s="201">
        <v>19</v>
      </c>
    </row>
    <row r="2845" spans="1:14">
      <c r="A2845" s="194">
        <v>41298.749513888892</v>
      </c>
      <c r="B2845" s="195">
        <v>2144</v>
      </c>
      <c r="C2845" s="194"/>
      <c r="D2845" s="194"/>
      <c r="E2845" s="198"/>
      <c r="G2845" s="202"/>
      <c r="J2845" s="195">
        <v>15</v>
      </c>
      <c r="K2845" s="204" t="s">
        <v>4</v>
      </c>
      <c r="L2845" s="199">
        <v>2</v>
      </c>
      <c r="M2845" s="200">
        <v>0.4</v>
      </c>
      <c r="N2845" s="201">
        <v>22</v>
      </c>
    </row>
    <row r="2846" spans="1:14">
      <c r="A2846" s="194">
        <v>41302.805185185185</v>
      </c>
      <c r="B2846" s="195">
        <v>2144</v>
      </c>
      <c r="C2846" s="194"/>
      <c r="D2846" s="194"/>
      <c r="E2846" s="198"/>
      <c r="G2846" s="202"/>
      <c r="J2846" s="195">
        <v>17</v>
      </c>
      <c r="K2846" s="204" t="s">
        <v>11</v>
      </c>
      <c r="L2846" s="199">
        <v>3</v>
      </c>
      <c r="M2846" s="200">
        <v>10</v>
      </c>
      <c r="N2846" s="201">
        <v>0</v>
      </c>
    </row>
    <row r="2847" spans="1:14">
      <c r="A2847" s="194">
        <v>41297.802465277775</v>
      </c>
      <c r="B2847" s="195">
        <v>2144</v>
      </c>
      <c r="C2847" s="194"/>
      <c r="D2847" s="194"/>
      <c r="E2847" s="198"/>
      <c r="G2847" s="202"/>
      <c r="J2847" s="195">
        <v>17</v>
      </c>
      <c r="K2847" s="204" t="s">
        <v>11</v>
      </c>
      <c r="L2847" s="199">
        <v>3</v>
      </c>
      <c r="M2847" s="200">
        <v>0.9</v>
      </c>
      <c r="N2847" s="201">
        <v>16</v>
      </c>
    </row>
    <row r="2848" spans="1:14">
      <c r="A2848" s="194">
        <v>41297.778171296297</v>
      </c>
      <c r="B2848" s="195">
        <v>2144</v>
      </c>
      <c r="C2848" s="194"/>
      <c r="D2848" s="194"/>
      <c r="E2848" s="198"/>
      <c r="G2848" s="202"/>
      <c r="J2848" s="195">
        <v>17</v>
      </c>
      <c r="K2848" s="204" t="s">
        <v>11</v>
      </c>
      <c r="L2848" s="199">
        <v>1</v>
      </c>
      <c r="M2848" s="200">
        <v>1.2</v>
      </c>
      <c r="N2848" s="201">
        <v>16</v>
      </c>
    </row>
    <row r="2849" spans="1:14">
      <c r="A2849" s="194">
        <v>41302.352152777778</v>
      </c>
      <c r="B2849" s="195">
        <v>2144</v>
      </c>
      <c r="C2849" s="194"/>
      <c r="D2849" s="194"/>
      <c r="E2849" s="198"/>
      <c r="G2849" s="202"/>
      <c r="J2849" s="195">
        <v>17</v>
      </c>
      <c r="K2849" s="204" t="s">
        <v>11</v>
      </c>
      <c r="L2849" s="199">
        <v>3</v>
      </c>
      <c r="M2849" s="200">
        <v>17.7</v>
      </c>
      <c r="N2849" s="201">
        <v>18</v>
      </c>
    </row>
    <row r="2850" spans="1:14">
      <c r="A2850" s="194">
        <v>41297.73128472222</v>
      </c>
      <c r="B2850" s="195">
        <v>2144</v>
      </c>
      <c r="C2850" s="194"/>
      <c r="D2850" s="194"/>
      <c r="E2850" s="198"/>
      <c r="G2850" s="202"/>
      <c r="J2850" s="195">
        <v>17</v>
      </c>
      <c r="K2850" s="204" t="s">
        <v>11</v>
      </c>
      <c r="L2850" s="199">
        <v>1</v>
      </c>
      <c r="M2850" s="200">
        <v>0.6</v>
      </c>
      <c r="N2850" s="201">
        <v>19</v>
      </c>
    </row>
    <row r="2851" spans="1:14">
      <c r="A2851" s="194">
        <v>41299.634062500001</v>
      </c>
      <c r="B2851" s="195">
        <v>2144</v>
      </c>
      <c r="C2851" s="194"/>
      <c r="D2851" s="194"/>
      <c r="E2851" s="198"/>
      <c r="G2851" s="202"/>
      <c r="J2851" s="195">
        <v>17</v>
      </c>
      <c r="K2851" s="204" t="s">
        <v>11</v>
      </c>
      <c r="L2851" s="199">
        <v>2</v>
      </c>
      <c r="M2851" s="200">
        <v>0.9</v>
      </c>
      <c r="N2851" s="201">
        <v>20</v>
      </c>
    </row>
    <row r="2852" spans="1:14">
      <c r="A2852" s="194">
        <v>41300.818958333337</v>
      </c>
      <c r="B2852" s="195">
        <v>2144</v>
      </c>
      <c r="C2852" s="194"/>
      <c r="D2852" s="194"/>
      <c r="E2852" s="198"/>
      <c r="G2852" s="202"/>
      <c r="J2852" s="195">
        <v>17</v>
      </c>
      <c r="K2852" s="204" t="s">
        <v>11</v>
      </c>
      <c r="L2852" s="199">
        <v>1</v>
      </c>
      <c r="M2852" s="200">
        <v>0.7</v>
      </c>
      <c r="N2852" s="201">
        <v>29</v>
      </c>
    </row>
    <row r="2853" spans="1:14">
      <c r="A2853" s="194">
        <v>41296.964317129627</v>
      </c>
      <c r="B2853" s="195">
        <v>2144</v>
      </c>
      <c r="C2853" s="194"/>
      <c r="D2853" s="194"/>
      <c r="E2853" s="198"/>
      <c r="G2853" s="202"/>
      <c r="J2853" s="195">
        <v>18</v>
      </c>
      <c r="K2853" s="204" t="s">
        <v>5</v>
      </c>
      <c r="L2853" s="199">
        <v>2</v>
      </c>
      <c r="M2853" s="200">
        <v>34.700000000000003</v>
      </c>
      <c r="N2853" s="201">
        <v>15</v>
      </c>
    </row>
    <row r="2854" spans="1:14">
      <c r="A2854" s="194">
        <v>41298.673148148147</v>
      </c>
      <c r="B2854" s="195">
        <v>2144</v>
      </c>
      <c r="C2854" s="194"/>
      <c r="D2854" s="194"/>
      <c r="E2854" s="198"/>
      <c r="G2854" s="202"/>
      <c r="J2854" s="195">
        <v>18</v>
      </c>
      <c r="K2854" s="204" t="s">
        <v>5</v>
      </c>
      <c r="L2854" s="199">
        <v>2</v>
      </c>
      <c r="M2854" s="200">
        <v>2.9</v>
      </c>
      <c r="N2854" s="201">
        <v>16</v>
      </c>
    </row>
    <row r="2855" spans="1:14">
      <c r="A2855" s="194">
        <v>41275.336770833332</v>
      </c>
      <c r="B2855" s="195">
        <v>2144</v>
      </c>
      <c r="C2855" s="194"/>
      <c r="D2855" s="194"/>
      <c r="E2855" s="198"/>
      <c r="G2855" s="202"/>
      <c r="J2855" s="195">
        <v>18</v>
      </c>
      <c r="K2855" s="204" t="s">
        <v>5</v>
      </c>
      <c r="L2855" s="199">
        <v>2</v>
      </c>
      <c r="M2855" s="200">
        <v>46.1</v>
      </c>
      <c r="N2855" s="201">
        <v>16</v>
      </c>
    </row>
    <row r="2856" spans="1:14">
      <c r="A2856" s="194">
        <v>41292.786840277775</v>
      </c>
      <c r="B2856" s="195">
        <v>2144</v>
      </c>
      <c r="C2856" s="194"/>
      <c r="D2856" s="194"/>
      <c r="E2856" s="198"/>
      <c r="G2856" s="202"/>
      <c r="J2856" s="195">
        <v>18</v>
      </c>
      <c r="K2856" s="204" t="s">
        <v>5</v>
      </c>
      <c r="L2856" s="199">
        <v>2</v>
      </c>
      <c r="M2856" s="200">
        <v>0.7</v>
      </c>
      <c r="N2856" s="201">
        <v>17</v>
      </c>
    </row>
    <row r="2857" spans="1:14">
      <c r="A2857" s="194">
        <v>41292.068124999998</v>
      </c>
      <c r="B2857" s="195">
        <v>2144</v>
      </c>
      <c r="C2857" s="194"/>
      <c r="D2857" s="194"/>
      <c r="E2857" s="198"/>
      <c r="G2857" s="202"/>
      <c r="J2857" s="195">
        <v>18</v>
      </c>
      <c r="K2857" s="204" t="s">
        <v>5</v>
      </c>
      <c r="L2857" s="199">
        <v>3</v>
      </c>
      <c r="M2857" s="200">
        <v>3</v>
      </c>
      <c r="N2857" s="201">
        <v>17</v>
      </c>
    </row>
    <row r="2858" spans="1:14">
      <c r="A2858" s="194">
        <v>41287.939027777778</v>
      </c>
      <c r="B2858" s="195">
        <v>2144</v>
      </c>
      <c r="C2858" s="194"/>
      <c r="D2858" s="194"/>
      <c r="E2858" s="198"/>
      <c r="G2858" s="202"/>
      <c r="J2858" s="195">
        <v>18</v>
      </c>
      <c r="K2858" s="204" t="s">
        <v>5</v>
      </c>
      <c r="L2858" s="199">
        <v>2</v>
      </c>
      <c r="M2858" s="200">
        <v>25.2</v>
      </c>
      <c r="N2858" s="201">
        <v>17</v>
      </c>
    </row>
    <row r="2859" spans="1:14">
      <c r="A2859" s="194">
        <v>41281.989479166667</v>
      </c>
      <c r="B2859" s="195">
        <v>2144</v>
      </c>
      <c r="C2859" s="194"/>
      <c r="D2859" s="194"/>
      <c r="E2859" s="198"/>
      <c r="G2859" s="202"/>
      <c r="J2859" s="195">
        <v>18</v>
      </c>
      <c r="K2859" s="204" t="s">
        <v>5</v>
      </c>
      <c r="L2859" s="199">
        <v>2</v>
      </c>
      <c r="M2859" s="200">
        <v>37.5</v>
      </c>
      <c r="N2859" s="201">
        <v>17</v>
      </c>
    </row>
    <row r="2860" spans="1:14">
      <c r="A2860" s="194">
        <v>41296.963576388887</v>
      </c>
      <c r="B2860" s="195">
        <v>2144</v>
      </c>
      <c r="C2860" s="194"/>
      <c r="D2860" s="194"/>
      <c r="E2860" s="198"/>
      <c r="G2860" s="202"/>
      <c r="J2860" s="195">
        <v>18</v>
      </c>
      <c r="K2860" s="204" t="s">
        <v>5</v>
      </c>
      <c r="L2860" s="199">
        <v>2</v>
      </c>
      <c r="M2860" s="200">
        <v>45</v>
      </c>
      <c r="N2860" s="201">
        <v>17</v>
      </c>
    </row>
    <row r="2861" spans="1:14">
      <c r="A2861" s="194">
        <v>41281.989571759259</v>
      </c>
      <c r="B2861" s="195">
        <v>2144</v>
      </c>
      <c r="C2861" s="194"/>
      <c r="D2861" s="194"/>
      <c r="E2861" s="198"/>
      <c r="G2861" s="202"/>
      <c r="J2861" s="195">
        <v>18</v>
      </c>
      <c r="K2861" s="204" t="s">
        <v>5</v>
      </c>
      <c r="L2861" s="199">
        <v>2</v>
      </c>
      <c r="M2861" s="200">
        <v>45.6</v>
      </c>
      <c r="N2861" s="201">
        <v>18</v>
      </c>
    </row>
    <row r="2862" spans="1:14">
      <c r="A2862" s="194">
        <v>41303.135138888887</v>
      </c>
      <c r="B2862" s="195">
        <v>2144</v>
      </c>
      <c r="C2862" s="194"/>
      <c r="D2862" s="194"/>
      <c r="E2862" s="198"/>
      <c r="G2862" s="202"/>
      <c r="J2862" s="195">
        <v>18</v>
      </c>
      <c r="K2862" s="204" t="s">
        <v>5</v>
      </c>
      <c r="L2862" s="199">
        <v>2</v>
      </c>
      <c r="M2862" s="200">
        <v>16.899999999999999</v>
      </c>
      <c r="N2862" s="201">
        <v>19</v>
      </c>
    </row>
    <row r="2863" spans="1:14">
      <c r="A2863" s="194">
        <v>41287.094513888886</v>
      </c>
      <c r="B2863" s="195">
        <v>2144</v>
      </c>
      <c r="C2863" s="194"/>
      <c r="D2863" s="194"/>
      <c r="E2863" s="198"/>
      <c r="G2863" s="202"/>
      <c r="J2863" s="195">
        <v>18</v>
      </c>
      <c r="K2863" s="204" t="s">
        <v>5</v>
      </c>
      <c r="L2863" s="199">
        <v>2</v>
      </c>
      <c r="M2863" s="200">
        <v>34.700000000000003</v>
      </c>
      <c r="N2863" s="201">
        <v>21</v>
      </c>
    </row>
    <row r="2864" spans="1:14">
      <c r="A2864" s="194">
        <v>41302.381458333337</v>
      </c>
      <c r="B2864" s="195">
        <v>2144</v>
      </c>
      <c r="C2864" s="194"/>
      <c r="D2864" s="194"/>
      <c r="E2864" s="198"/>
      <c r="G2864" s="202"/>
      <c r="J2864" s="195">
        <v>18</v>
      </c>
      <c r="K2864" s="204" t="s">
        <v>5</v>
      </c>
      <c r="L2864" s="199">
        <v>1</v>
      </c>
      <c r="M2864" s="200">
        <v>0.3</v>
      </c>
      <c r="N2864" s="201">
        <v>27</v>
      </c>
    </row>
    <row r="2865" spans="1:14">
      <c r="A2865" s="194">
        <v>41281.048078703701</v>
      </c>
      <c r="B2865" s="195">
        <v>2144</v>
      </c>
      <c r="C2865" s="194"/>
      <c r="D2865" s="194"/>
      <c r="E2865" s="198"/>
      <c r="G2865" s="202"/>
      <c r="J2865" s="195">
        <v>18</v>
      </c>
      <c r="K2865" s="204" t="s">
        <v>5</v>
      </c>
      <c r="L2865" s="199">
        <v>2</v>
      </c>
      <c r="M2865" s="200">
        <v>0.4</v>
      </c>
      <c r="N2865" s="201">
        <v>43</v>
      </c>
    </row>
    <row r="2866" spans="1:14">
      <c r="A2866" s="194">
        <v>41276.530706018515</v>
      </c>
      <c r="B2866" s="195">
        <v>2144</v>
      </c>
      <c r="C2866" s="194"/>
      <c r="D2866" s="194"/>
      <c r="E2866" s="196" t="s">
        <v>1935</v>
      </c>
      <c r="G2866" s="202"/>
      <c r="J2866" s="195">
        <v>24</v>
      </c>
      <c r="K2866" s="204" t="s">
        <v>25</v>
      </c>
      <c r="L2866" s="199">
        <v>3</v>
      </c>
      <c r="M2866" s="200">
        <v>1.7</v>
      </c>
      <c r="N2866" s="201">
        <v>16</v>
      </c>
    </row>
    <row r="2867" spans="1:14">
      <c r="A2867" s="194">
        <v>41292.541180555556</v>
      </c>
      <c r="B2867" s="195">
        <v>2144</v>
      </c>
      <c r="C2867" s="194"/>
      <c r="D2867" s="194"/>
      <c r="E2867" s="196" t="s">
        <v>1839</v>
      </c>
      <c r="G2867" s="202"/>
      <c r="J2867" s="195">
        <v>24</v>
      </c>
      <c r="K2867" s="204" t="s">
        <v>25</v>
      </c>
      <c r="L2867" s="199">
        <v>3</v>
      </c>
      <c r="M2867" s="200">
        <v>0.3</v>
      </c>
      <c r="N2867" s="201">
        <v>17</v>
      </c>
    </row>
    <row r="2868" spans="1:14">
      <c r="A2868" s="194">
        <v>41278.57671296296</v>
      </c>
      <c r="B2868" s="195">
        <v>2144</v>
      </c>
      <c r="C2868" s="194"/>
      <c r="D2868" s="194"/>
      <c r="E2868" s="196" t="s">
        <v>1688</v>
      </c>
      <c r="G2868" s="202"/>
      <c r="J2868" s="195">
        <v>24</v>
      </c>
      <c r="K2868" s="204" t="s">
        <v>25</v>
      </c>
      <c r="L2868" s="199">
        <v>3</v>
      </c>
      <c r="M2868" s="200">
        <v>0.6</v>
      </c>
      <c r="N2868" s="201">
        <v>19</v>
      </c>
    </row>
    <row r="2869" spans="1:14">
      <c r="A2869" s="194">
        <v>41278.603622685187</v>
      </c>
      <c r="B2869" s="195">
        <v>2144</v>
      </c>
      <c r="C2869" s="194"/>
      <c r="D2869" s="194"/>
      <c r="E2869" s="196" t="s">
        <v>1835</v>
      </c>
      <c r="G2869" s="202"/>
      <c r="J2869" s="195">
        <v>24</v>
      </c>
      <c r="K2869" s="204" t="s">
        <v>25</v>
      </c>
      <c r="L2869" s="199">
        <v>3</v>
      </c>
      <c r="M2869" s="200">
        <v>0.4</v>
      </c>
      <c r="N2869" s="201">
        <v>20</v>
      </c>
    </row>
    <row r="2870" spans="1:14">
      <c r="A2870" s="194">
        <v>41279.874456018515</v>
      </c>
      <c r="B2870" s="195">
        <v>2144</v>
      </c>
      <c r="C2870" s="194"/>
      <c r="D2870" s="194"/>
      <c r="E2870" s="196" t="s">
        <v>1869</v>
      </c>
      <c r="G2870" s="202"/>
      <c r="J2870" s="195">
        <v>24</v>
      </c>
      <c r="K2870" s="204" t="s">
        <v>25</v>
      </c>
      <c r="L2870" s="199">
        <v>3</v>
      </c>
      <c r="M2870" s="200">
        <v>0.6</v>
      </c>
      <c r="N2870" s="201">
        <v>21</v>
      </c>
    </row>
    <row r="2871" spans="1:14">
      <c r="A2871" s="194">
        <v>41278.76421296296</v>
      </c>
      <c r="B2871" s="195">
        <v>2144</v>
      </c>
      <c r="C2871" s="194"/>
      <c r="D2871" s="194"/>
      <c r="E2871" s="196" t="s">
        <v>1997</v>
      </c>
      <c r="G2871" s="202"/>
      <c r="J2871" s="195">
        <v>24</v>
      </c>
      <c r="K2871" s="204" t="s">
        <v>25</v>
      </c>
      <c r="L2871" s="199">
        <v>3</v>
      </c>
      <c r="M2871" s="200">
        <v>0.5</v>
      </c>
      <c r="N2871" s="201">
        <v>22</v>
      </c>
    </row>
    <row r="2872" spans="1:14">
      <c r="A2872" s="194">
        <v>41275.888333333336</v>
      </c>
      <c r="B2872" s="195">
        <v>2144</v>
      </c>
      <c r="C2872" s="194"/>
      <c r="D2872" s="194"/>
      <c r="E2872" s="196" t="s">
        <v>2026</v>
      </c>
      <c r="G2872" s="202"/>
      <c r="J2872" s="195">
        <v>24</v>
      </c>
      <c r="K2872" s="204" t="s">
        <v>25</v>
      </c>
      <c r="L2872" s="199">
        <v>3</v>
      </c>
      <c r="M2872" s="200">
        <v>0.6</v>
      </c>
      <c r="N2872" s="201">
        <v>26</v>
      </c>
    </row>
    <row r="2873" spans="1:14">
      <c r="A2873" s="194">
        <v>41278.509872685187</v>
      </c>
      <c r="B2873" s="195">
        <v>2144</v>
      </c>
      <c r="C2873" s="194"/>
      <c r="D2873" s="194"/>
      <c r="E2873" s="196" t="s">
        <v>2088</v>
      </c>
      <c r="G2873" s="202"/>
      <c r="J2873" s="195">
        <v>24</v>
      </c>
      <c r="K2873" s="204" t="s">
        <v>25</v>
      </c>
      <c r="L2873" s="199">
        <v>3</v>
      </c>
      <c r="M2873" s="200">
        <v>0.4</v>
      </c>
      <c r="N2873" s="201">
        <v>28</v>
      </c>
    </row>
    <row r="2874" spans="1:14">
      <c r="A2874" s="194">
        <v>41290.335439814815</v>
      </c>
      <c r="B2874" s="195">
        <v>2144</v>
      </c>
      <c r="C2874" s="194"/>
      <c r="D2874" s="194"/>
      <c r="E2874" s="196" t="s">
        <v>1708</v>
      </c>
      <c r="G2874" s="202"/>
      <c r="J2874" s="195">
        <v>24</v>
      </c>
      <c r="K2874" s="204" t="s">
        <v>25</v>
      </c>
      <c r="L2874" s="199">
        <v>3</v>
      </c>
      <c r="M2874" s="200">
        <v>0.3</v>
      </c>
      <c r="N2874" s="201">
        <v>30</v>
      </c>
    </row>
    <row r="2875" spans="1:14">
      <c r="A2875" s="194">
        <v>41283.353634259256</v>
      </c>
      <c r="B2875" s="195">
        <v>2144</v>
      </c>
      <c r="C2875" s="194"/>
      <c r="D2875" s="194"/>
      <c r="E2875" s="196" t="s">
        <v>1829</v>
      </c>
      <c r="G2875" s="202"/>
      <c r="J2875" s="195">
        <v>24</v>
      </c>
      <c r="K2875" s="204" t="s">
        <v>25</v>
      </c>
      <c r="L2875" s="199">
        <v>2</v>
      </c>
      <c r="M2875" s="200">
        <v>0.6</v>
      </c>
      <c r="N2875" s="201">
        <v>30</v>
      </c>
    </row>
    <row r="2876" spans="1:14">
      <c r="A2876" s="194">
        <v>41303.740844907406</v>
      </c>
      <c r="B2876" s="195">
        <v>2144</v>
      </c>
      <c r="C2876" s="194"/>
      <c r="D2876" s="194"/>
      <c r="E2876" s="196" t="s">
        <v>1899</v>
      </c>
      <c r="G2876" s="202"/>
      <c r="J2876" s="195">
        <v>24</v>
      </c>
      <c r="K2876" s="204" t="s">
        <v>25</v>
      </c>
      <c r="L2876" s="199">
        <v>2</v>
      </c>
      <c r="M2876" s="200">
        <v>0.9</v>
      </c>
      <c r="N2876" s="201">
        <v>32</v>
      </c>
    </row>
    <row r="2877" spans="1:14">
      <c r="A2877" s="194">
        <v>41278.905706018515</v>
      </c>
      <c r="B2877" s="195">
        <v>2144</v>
      </c>
      <c r="C2877" s="194"/>
      <c r="D2877" s="194"/>
      <c r="E2877" s="196" t="s">
        <v>2150</v>
      </c>
      <c r="G2877" s="202"/>
      <c r="J2877" s="195">
        <v>24</v>
      </c>
      <c r="K2877" s="204" t="s">
        <v>25</v>
      </c>
      <c r="L2877" s="199">
        <v>3</v>
      </c>
      <c r="M2877" s="200">
        <v>0.4</v>
      </c>
      <c r="N2877" s="201">
        <v>33</v>
      </c>
    </row>
    <row r="2878" spans="1:14">
      <c r="A2878" s="194">
        <v>41277.732951388891</v>
      </c>
      <c r="B2878" s="195">
        <v>2144</v>
      </c>
      <c r="C2878" s="194"/>
      <c r="D2878" s="194"/>
      <c r="E2878" s="196" t="s">
        <v>1946</v>
      </c>
      <c r="G2878" s="202"/>
      <c r="J2878" s="195">
        <v>29</v>
      </c>
      <c r="K2878" s="204" t="s">
        <v>39</v>
      </c>
      <c r="L2878" s="199">
        <v>3</v>
      </c>
      <c r="M2878" s="200">
        <v>0.4</v>
      </c>
      <c r="N2878" s="201">
        <v>16</v>
      </c>
    </row>
    <row r="2879" spans="1:14">
      <c r="A2879" s="194">
        <v>41296.76253472222</v>
      </c>
      <c r="B2879" s="195">
        <v>2144</v>
      </c>
      <c r="C2879" s="194"/>
      <c r="D2879" s="194"/>
      <c r="E2879" s="196" t="s">
        <v>2040</v>
      </c>
      <c r="G2879" s="202"/>
      <c r="J2879" s="195">
        <v>29</v>
      </c>
      <c r="K2879" s="204" t="s">
        <v>39</v>
      </c>
      <c r="L2879" s="199">
        <v>3</v>
      </c>
      <c r="M2879" s="200">
        <v>0.6</v>
      </c>
      <c r="N2879" s="201">
        <v>22</v>
      </c>
    </row>
    <row r="2880" spans="1:14">
      <c r="A2880" s="194">
        <v>41301.909247685187</v>
      </c>
      <c r="B2880" s="195">
        <v>2144</v>
      </c>
      <c r="C2880" s="194"/>
      <c r="D2880" s="194"/>
      <c r="E2880" s="196" t="s">
        <v>1937</v>
      </c>
      <c r="G2880" s="202"/>
      <c r="J2880" s="195">
        <v>29</v>
      </c>
      <c r="K2880" s="204" t="s">
        <v>39</v>
      </c>
      <c r="L2880" s="199">
        <v>3</v>
      </c>
      <c r="M2880" s="200">
        <v>0.8</v>
      </c>
      <c r="N2880" s="201">
        <v>24</v>
      </c>
    </row>
    <row r="2881" spans="1:14">
      <c r="A2881" s="194">
        <v>41288.52380787037</v>
      </c>
      <c r="B2881" s="195">
        <v>2144</v>
      </c>
      <c r="C2881" s="194"/>
      <c r="D2881" s="194"/>
      <c r="E2881" s="196" t="s">
        <v>2108</v>
      </c>
      <c r="G2881" s="202"/>
      <c r="J2881" s="195">
        <v>29</v>
      </c>
      <c r="K2881" s="204" t="s">
        <v>39</v>
      </c>
      <c r="L2881" s="199">
        <v>2</v>
      </c>
      <c r="M2881" s="200">
        <v>0.4</v>
      </c>
      <c r="N2881" s="201">
        <v>25</v>
      </c>
    </row>
    <row r="2882" spans="1:14">
      <c r="A2882" s="194">
        <v>41296.626250000001</v>
      </c>
      <c r="B2882" s="195">
        <v>2144</v>
      </c>
      <c r="C2882" s="194"/>
      <c r="D2882" s="194"/>
      <c r="E2882" s="196" t="s">
        <v>2001</v>
      </c>
      <c r="G2882" s="202"/>
      <c r="J2882" s="195">
        <v>29</v>
      </c>
      <c r="K2882" s="204" t="s">
        <v>39</v>
      </c>
      <c r="L2882" s="199">
        <v>3</v>
      </c>
      <c r="M2882" s="200">
        <v>0.5</v>
      </c>
      <c r="N2882" s="201">
        <v>28</v>
      </c>
    </row>
    <row r="2883" spans="1:14">
      <c r="A2883" s="194">
        <v>41282.829328703701</v>
      </c>
      <c r="B2883" s="195">
        <v>2144</v>
      </c>
      <c r="C2883" s="194"/>
      <c r="D2883" s="194"/>
      <c r="E2883" s="196" t="s">
        <v>2044</v>
      </c>
      <c r="G2883" s="202"/>
      <c r="J2883" s="195">
        <v>29</v>
      </c>
      <c r="K2883" s="204" t="s">
        <v>39</v>
      </c>
      <c r="L2883" s="199">
        <v>2</v>
      </c>
      <c r="M2883" s="200">
        <v>0.6</v>
      </c>
      <c r="N2883" s="201">
        <v>43</v>
      </c>
    </row>
    <row r="2884" spans="1:14">
      <c r="A2884" s="194">
        <v>41281.714745370373</v>
      </c>
      <c r="B2884" s="195">
        <v>2144</v>
      </c>
      <c r="C2884" s="194"/>
      <c r="D2884" s="194"/>
      <c r="E2884" s="196" t="s">
        <v>1921</v>
      </c>
      <c r="G2884" s="202"/>
      <c r="J2884" s="195">
        <v>40</v>
      </c>
      <c r="K2884" s="204" t="s">
        <v>33</v>
      </c>
      <c r="L2884" s="199">
        <v>3</v>
      </c>
      <c r="M2884" s="200">
        <v>0.8</v>
      </c>
      <c r="N2884" s="201">
        <v>22</v>
      </c>
    </row>
    <row r="2885" spans="1:14">
      <c r="A2885" s="194">
        <v>41299.475208333337</v>
      </c>
      <c r="B2885" s="195">
        <v>2144</v>
      </c>
      <c r="C2885" s="194"/>
      <c r="D2885" s="194"/>
      <c r="E2885" s="198"/>
      <c r="G2885" s="202"/>
      <c r="J2885" s="195">
        <v>43</v>
      </c>
      <c r="K2885" s="204" t="s">
        <v>1596</v>
      </c>
      <c r="L2885" s="199">
        <v>3</v>
      </c>
      <c r="M2885" s="200">
        <v>0.6</v>
      </c>
      <c r="N2885" s="201">
        <v>17</v>
      </c>
    </row>
    <row r="2886" spans="1:14">
      <c r="A2886" s="194">
        <v>41288.419641203705</v>
      </c>
      <c r="B2886" s="195">
        <v>2144</v>
      </c>
      <c r="C2886" s="194"/>
      <c r="D2886" s="194"/>
      <c r="E2886" s="198"/>
      <c r="G2886" s="202"/>
      <c r="J2886" s="195">
        <v>43</v>
      </c>
      <c r="K2886" s="204" t="s">
        <v>1596</v>
      </c>
      <c r="L2886" s="199">
        <v>3</v>
      </c>
      <c r="M2886" s="200">
        <v>0.4</v>
      </c>
      <c r="N2886" s="201">
        <v>19</v>
      </c>
    </row>
    <row r="2887" spans="1:14">
      <c r="A2887" s="194">
        <v>41284.811979166669</v>
      </c>
      <c r="B2887" s="195">
        <v>2144</v>
      </c>
      <c r="C2887" s="194"/>
      <c r="D2887" s="194"/>
      <c r="E2887" s="198"/>
      <c r="G2887" s="202"/>
      <c r="J2887" s="195">
        <v>43</v>
      </c>
      <c r="K2887" s="204" t="s">
        <v>1596</v>
      </c>
      <c r="L2887" s="199">
        <v>3</v>
      </c>
      <c r="M2887" s="200">
        <v>0.4</v>
      </c>
      <c r="N2887" s="201">
        <v>22</v>
      </c>
    </row>
    <row r="2888" spans="1:14">
      <c r="A2888" s="194">
        <v>41289.43005787037</v>
      </c>
      <c r="B2888" s="195">
        <v>2144</v>
      </c>
      <c r="C2888" s="194"/>
      <c r="D2888" s="194"/>
      <c r="E2888" s="198"/>
      <c r="G2888" s="202"/>
      <c r="J2888" s="195">
        <v>43</v>
      </c>
      <c r="K2888" s="204" t="s">
        <v>1596</v>
      </c>
      <c r="L2888" s="199">
        <v>3</v>
      </c>
      <c r="M2888" s="200">
        <v>0.5</v>
      </c>
      <c r="N2888" s="201">
        <v>22</v>
      </c>
    </row>
    <row r="2889" spans="1:14">
      <c r="A2889" s="194">
        <v>41283.480370370373</v>
      </c>
      <c r="B2889" s="195">
        <v>2144</v>
      </c>
      <c r="C2889" s="194"/>
      <c r="D2889" s="194"/>
      <c r="E2889" s="198"/>
      <c r="G2889" s="202"/>
      <c r="J2889" s="195">
        <v>43</v>
      </c>
      <c r="K2889" s="204" t="s">
        <v>1596</v>
      </c>
      <c r="L2889" s="199">
        <v>3</v>
      </c>
      <c r="M2889" s="200">
        <v>0.6</v>
      </c>
      <c r="N2889" s="201">
        <v>22</v>
      </c>
    </row>
    <row r="2890" spans="1:14">
      <c r="A2890" s="194">
        <v>41286.874490740738</v>
      </c>
      <c r="B2890" s="195">
        <v>2144</v>
      </c>
      <c r="C2890" s="194"/>
      <c r="D2890" s="194"/>
      <c r="E2890" s="198"/>
      <c r="G2890" s="202"/>
      <c r="J2890" s="195">
        <v>43</v>
      </c>
      <c r="K2890" s="204" t="s">
        <v>1596</v>
      </c>
      <c r="L2890" s="199">
        <v>3</v>
      </c>
      <c r="M2890" s="200">
        <v>0.7</v>
      </c>
      <c r="N2890" s="201">
        <v>24</v>
      </c>
    </row>
    <row r="2891" spans="1:14">
      <c r="A2891" s="194">
        <v>41286.41615740741</v>
      </c>
      <c r="B2891" s="195">
        <v>2144</v>
      </c>
      <c r="C2891" s="194"/>
      <c r="D2891" s="194"/>
      <c r="E2891" s="198"/>
      <c r="G2891" s="202"/>
      <c r="J2891" s="195">
        <v>43</v>
      </c>
      <c r="K2891" s="204" t="s">
        <v>1596</v>
      </c>
      <c r="L2891" s="199">
        <v>3</v>
      </c>
      <c r="M2891" s="200">
        <v>0.8</v>
      </c>
      <c r="N2891" s="201">
        <v>24</v>
      </c>
    </row>
    <row r="2892" spans="1:14">
      <c r="A2892" s="194">
        <v>41286.583692129629</v>
      </c>
      <c r="B2892" s="195">
        <v>2144</v>
      </c>
      <c r="C2892" s="194"/>
      <c r="D2892" s="194"/>
      <c r="E2892" s="198"/>
      <c r="G2892" s="202"/>
      <c r="J2892" s="195">
        <v>43</v>
      </c>
      <c r="K2892" s="204" t="s">
        <v>1596</v>
      </c>
      <c r="L2892" s="199">
        <v>3</v>
      </c>
      <c r="M2892" s="200">
        <v>0.8</v>
      </c>
      <c r="N2892" s="201">
        <v>26</v>
      </c>
    </row>
    <row r="2893" spans="1:14">
      <c r="A2893" s="194">
        <v>41276.726006944446</v>
      </c>
      <c r="B2893" s="195">
        <v>2144</v>
      </c>
      <c r="C2893" s="194"/>
      <c r="D2893" s="194"/>
      <c r="E2893" s="198"/>
      <c r="G2893" s="202"/>
      <c r="J2893" s="195">
        <v>4400</v>
      </c>
      <c r="K2893" s="204" t="s">
        <v>37</v>
      </c>
      <c r="L2893" s="199">
        <v>3</v>
      </c>
      <c r="M2893" s="200">
        <v>0.6</v>
      </c>
      <c r="N2893" s="201">
        <v>17</v>
      </c>
    </row>
    <row r="2894" spans="1:14">
      <c r="A2894" s="194">
        <v>41297.743449074071</v>
      </c>
      <c r="B2894" s="195">
        <v>2144</v>
      </c>
      <c r="C2894" s="194"/>
      <c r="D2894" s="194"/>
      <c r="E2894" s="198"/>
      <c r="G2894" s="202"/>
      <c r="J2894" s="195">
        <v>7400</v>
      </c>
      <c r="K2894" s="204" t="s">
        <v>35</v>
      </c>
      <c r="L2894" s="199">
        <v>1</v>
      </c>
      <c r="M2894" s="200">
        <v>1</v>
      </c>
      <c r="N2894" s="201">
        <v>19</v>
      </c>
    </row>
    <row r="2895" spans="1:14">
      <c r="A2895" s="194">
        <v>41291.500127314815</v>
      </c>
      <c r="B2895" s="195">
        <v>2161</v>
      </c>
      <c r="C2895" s="194"/>
      <c r="D2895" s="194"/>
      <c r="E2895" s="196" t="s">
        <v>326</v>
      </c>
      <c r="F2895" s="195">
        <v>456</v>
      </c>
      <c r="G2895" s="197" t="s">
        <v>141</v>
      </c>
      <c r="H2895" s="197" t="s">
        <v>223</v>
      </c>
      <c r="I2895" s="196" t="s">
        <v>226</v>
      </c>
      <c r="J2895" s="195">
        <v>1</v>
      </c>
      <c r="K2895" s="204" t="s">
        <v>224</v>
      </c>
      <c r="L2895" s="199">
        <v>3</v>
      </c>
      <c r="M2895" s="200">
        <v>0.7</v>
      </c>
      <c r="N2895" s="201">
        <v>15</v>
      </c>
    </row>
    <row r="2896" spans="1:14">
      <c r="A2896" s="194">
        <v>41276.584317129629</v>
      </c>
      <c r="B2896" s="195">
        <v>2161</v>
      </c>
      <c r="C2896" s="194"/>
      <c r="D2896" s="194"/>
      <c r="E2896" s="196" t="s">
        <v>242</v>
      </c>
      <c r="F2896" s="195">
        <v>456</v>
      </c>
      <c r="G2896" s="197" t="s">
        <v>141</v>
      </c>
      <c r="H2896" s="197" t="s">
        <v>223</v>
      </c>
      <c r="I2896" s="196" t="s">
        <v>226</v>
      </c>
      <c r="J2896" s="195">
        <v>1</v>
      </c>
      <c r="K2896" s="204" t="s">
        <v>224</v>
      </c>
      <c r="L2896" s="199">
        <v>3</v>
      </c>
      <c r="M2896" s="200">
        <v>0.4</v>
      </c>
      <c r="N2896" s="201">
        <v>18</v>
      </c>
    </row>
    <row r="2897" spans="1:14">
      <c r="A2897" s="194">
        <v>41278.525358796294</v>
      </c>
      <c r="B2897" s="195">
        <v>2161</v>
      </c>
      <c r="C2897" s="194"/>
      <c r="D2897" s="194"/>
      <c r="E2897" s="196" t="s">
        <v>265</v>
      </c>
      <c r="F2897" s="195">
        <v>456</v>
      </c>
      <c r="G2897" s="197" t="s">
        <v>141</v>
      </c>
      <c r="H2897" s="197" t="s">
        <v>223</v>
      </c>
      <c r="I2897" s="196" t="s">
        <v>226</v>
      </c>
      <c r="J2897" s="195">
        <v>1</v>
      </c>
      <c r="K2897" s="204" t="s">
        <v>224</v>
      </c>
      <c r="L2897" s="199">
        <v>2</v>
      </c>
      <c r="M2897" s="200">
        <v>0.7</v>
      </c>
      <c r="N2897" s="201">
        <v>20</v>
      </c>
    </row>
    <row r="2898" spans="1:14">
      <c r="A2898" s="194">
        <v>41276.52270833333</v>
      </c>
      <c r="B2898" s="195">
        <v>2161</v>
      </c>
      <c r="C2898" s="194"/>
      <c r="D2898" s="194"/>
      <c r="E2898" s="196" t="s">
        <v>241</v>
      </c>
      <c r="F2898" s="195">
        <v>456</v>
      </c>
      <c r="G2898" s="197" t="s">
        <v>141</v>
      </c>
      <c r="H2898" s="197" t="s">
        <v>223</v>
      </c>
      <c r="I2898" s="196" t="s">
        <v>226</v>
      </c>
      <c r="J2898" s="195">
        <v>1</v>
      </c>
      <c r="K2898" s="204" t="s">
        <v>224</v>
      </c>
      <c r="L2898" s="199">
        <v>2</v>
      </c>
      <c r="M2898" s="200">
        <v>0.3</v>
      </c>
      <c r="N2898" s="201">
        <v>23</v>
      </c>
    </row>
    <row r="2899" spans="1:14">
      <c r="A2899" s="194">
        <v>41275.497557870367</v>
      </c>
      <c r="B2899" s="195">
        <v>2161</v>
      </c>
      <c r="C2899" s="194"/>
      <c r="D2899" s="194"/>
      <c r="E2899" s="196" t="s">
        <v>237</v>
      </c>
      <c r="F2899" s="195">
        <v>456</v>
      </c>
      <c r="G2899" s="197" t="s">
        <v>141</v>
      </c>
      <c r="H2899" s="197" t="s">
        <v>223</v>
      </c>
      <c r="I2899" s="196" t="s">
        <v>226</v>
      </c>
      <c r="J2899" s="195">
        <v>1</v>
      </c>
      <c r="K2899" s="204" t="s">
        <v>224</v>
      </c>
      <c r="L2899" s="199">
        <v>3</v>
      </c>
      <c r="M2899" s="200">
        <v>0.4</v>
      </c>
      <c r="N2899" s="201">
        <v>24</v>
      </c>
    </row>
    <row r="2900" spans="1:14">
      <c r="A2900" s="194">
        <v>41277.595601851855</v>
      </c>
      <c r="B2900" s="195">
        <v>2161</v>
      </c>
      <c r="C2900" s="194"/>
      <c r="D2900" s="194"/>
      <c r="E2900" s="196" t="s">
        <v>272</v>
      </c>
      <c r="F2900" s="195">
        <v>456</v>
      </c>
      <c r="G2900" s="197" t="s">
        <v>141</v>
      </c>
      <c r="H2900" s="197" t="s">
        <v>223</v>
      </c>
      <c r="I2900" s="196" t="s">
        <v>226</v>
      </c>
      <c r="J2900" s="195">
        <v>1</v>
      </c>
      <c r="K2900" s="204" t="s">
        <v>224</v>
      </c>
      <c r="L2900" s="199">
        <v>2</v>
      </c>
      <c r="M2900" s="200">
        <v>0.4</v>
      </c>
      <c r="N2900" s="201">
        <v>24</v>
      </c>
    </row>
    <row r="2901" spans="1:14">
      <c r="A2901" s="194">
        <v>41279.718055555553</v>
      </c>
      <c r="B2901" s="195">
        <v>2161</v>
      </c>
      <c r="C2901" s="194"/>
      <c r="D2901" s="194"/>
      <c r="E2901" s="196" t="s">
        <v>275</v>
      </c>
      <c r="F2901" s="195">
        <v>456</v>
      </c>
      <c r="G2901" s="197" t="s">
        <v>141</v>
      </c>
      <c r="H2901" s="197" t="s">
        <v>223</v>
      </c>
      <c r="I2901" s="196" t="s">
        <v>226</v>
      </c>
      <c r="J2901" s="195">
        <v>1</v>
      </c>
      <c r="K2901" s="204" t="s">
        <v>224</v>
      </c>
      <c r="L2901" s="199">
        <v>2</v>
      </c>
      <c r="M2901" s="200">
        <v>0.7</v>
      </c>
      <c r="N2901" s="201">
        <v>24</v>
      </c>
    </row>
    <row r="2902" spans="1:14">
      <c r="A2902" s="194">
        <v>41288.290011574078</v>
      </c>
      <c r="B2902" s="195">
        <v>2161</v>
      </c>
      <c r="C2902" s="194"/>
      <c r="D2902" s="194"/>
      <c r="E2902" s="196" t="s">
        <v>311</v>
      </c>
      <c r="F2902" s="195">
        <v>456</v>
      </c>
      <c r="G2902" s="197" t="s">
        <v>141</v>
      </c>
      <c r="H2902" s="197" t="s">
        <v>223</v>
      </c>
      <c r="I2902" s="196" t="s">
        <v>226</v>
      </c>
      <c r="J2902" s="195">
        <v>1</v>
      </c>
      <c r="K2902" s="204" t="s">
        <v>224</v>
      </c>
      <c r="L2902" s="199">
        <v>1</v>
      </c>
      <c r="M2902" s="200">
        <v>0.3</v>
      </c>
      <c r="N2902" s="201">
        <v>25</v>
      </c>
    </row>
    <row r="2903" spans="1:14">
      <c r="A2903" s="194">
        <v>41300.500960648147</v>
      </c>
      <c r="B2903" s="195">
        <v>2161</v>
      </c>
      <c r="C2903" s="194"/>
      <c r="D2903" s="194"/>
      <c r="E2903" s="196" t="s">
        <v>374</v>
      </c>
      <c r="F2903" s="195">
        <v>456</v>
      </c>
      <c r="G2903" s="197" t="s">
        <v>141</v>
      </c>
      <c r="H2903" s="197" t="s">
        <v>223</v>
      </c>
      <c r="I2903" s="196" t="s">
        <v>226</v>
      </c>
      <c r="J2903" s="195">
        <v>1</v>
      </c>
      <c r="K2903" s="204" t="s">
        <v>224</v>
      </c>
      <c r="L2903" s="199">
        <v>2</v>
      </c>
      <c r="M2903" s="200">
        <v>0.3</v>
      </c>
      <c r="N2903" s="201">
        <v>25</v>
      </c>
    </row>
    <row r="2904" spans="1:14">
      <c r="A2904" s="194">
        <v>41292.495752314811</v>
      </c>
      <c r="B2904" s="195">
        <v>2161</v>
      </c>
      <c r="C2904" s="194"/>
      <c r="D2904" s="194"/>
      <c r="E2904" s="196" t="s">
        <v>332</v>
      </c>
      <c r="F2904" s="195">
        <v>456</v>
      </c>
      <c r="G2904" s="197" t="s">
        <v>141</v>
      </c>
      <c r="H2904" s="197" t="s">
        <v>223</v>
      </c>
      <c r="I2904" s="196" t="s">
        <v>226</v>
      </c>
      <c r="J2904" s="195">
        <v>1</v>
      </c>
      <c r="K2904" s="204" t="s">
        <v>224</v>
      </c>
      <c r="L2904" s="199">
        <v>1</v>
      </c>
      <c r="M2904" s="200">
        <v>0.3</v>
      </c>
      <c r="N2904" s="201">
        <v>26</v>
      </c>
    </row>
    <row r="2905" spans="1:14">
      <c r="A2905" s="194">
        <v>41284.574826388889</v>
      </c>
      <c r="B2905" s="195">
        <v>2161</v>
      </c>
      <c r="C2905" s="194"/>
      <c r="D2905" s="194"/>
      <c r="E2905" s="196" t="s">
        <v>300</v>
      </c>
      <c r="F2905" s="195">
        <v>456</v>
      </c>
      <c r="G2905" s="197" t="s">
        <v>141</v>
      </c>
      <c r="H2905" s="197" t="s">
        <v>223</v>
      </c>
      <c r="I2905" s="196" t="s">
        <v>226</v>
      </c>
      <c r="J2905" s="195">
        <v>1</v>
      </c>
      <c r="K2905" s="204" t="s">
        <v>224</v>
      </c>
      <c r="L2905" s="199">
        <v>3</v>
      </c>
      <c r="M2905" s="200">
        <v>0.7</v>
      </c>
      <c r="N2905" s="201">
        <v>26</v>
      </c>
    </row>
    <row r="2906" spans="1:14">
      <c r="A2906" s="194">
        <v>41290.584328703706</v>
      </c>
      <c r="B2906" s="195">
        <v>2161</v>
      </c>
      <c r="C2906" s="194"/>
      <c r="D2906" s="194"/>
      <c r="E2906" s="196" t="s">
        <v>316</v>
      </c>
      <c r="F2906" s="195">
        <v>456</v>
      </c>
      <c r="G2906" s="197" t="s">
        <v>141</v>
      </c>
      <c r="H2906" s="197" t="s">
        <v>223</v>
      </c>
      <c r="I2906" s="196" t="s">
        <v>226</v>
      </c>
      <c r="J2906" s="195">
        <v>1</v>
      </c>
      <c r="K2906" s="204" t="s">
        <v>224</v>
      </c>
      <c r="L2906" s="199">
        <v>2</v>
      </c>
      <c r="M2906" s="200">
        <v>1.3</v>
      </c>
      <c r="N2906" s="201">
        <v>26</v>
      </c>
    </row>
    <row r="2907" spans="1:14">
      <c r="A2907" s="194">
        <v>41280.807442129626</v>
      </c>
      <c r="B2907" s="195">
        <v>2161</v>
      </c>
      <c r="C2907" s="194"/>
      <c r="D2907" s="194"/>
      <c r="E2907" s="196" t="s">
        <v>254</v>
      </c>
      <c r="F2907" s="195">
        <v>456</v>
      </c>
      <c r="G2907" s="197" t="s">
        <v>141</v>
      </c>
      <c r="H2907" s="197" t="s">
        <v>223</v>
      </c>
      <c r="I2907" s="196" t="s">
        <v>226</v>
      </c>
      <c r="J2907" s="195">
        <v>1</v>
      </c>
      <c r="K2907" s="204" t="s">
        <v>224</v>
      </c>
      <c r="L2907" s="199">
        <v>1</v>
      </c>
      <c r="M2907" s="200">
        <v>0.3</v>
      </c>
      <c r="N2907" s="201">
        <v>27</v>
      </c>
    </row>
    <row r="2908" spans="1:14">
      <c r="A2908" s="194">
        <v>41296.710219907407</v>
      </c>
      <c r="B2908" s="195">
        <v>2161</v>
      </c>
      <c r="C2908" s="194"/>
      <c r="D2908" s="194"/>
      <c r="E2908" s="196" t="s">
        <v>353</v>
      </c>
      <c r="F2908" s="195">
        <v>456</v>
      </c>
      <c r="G2908" s="197" t="s">
        <v>141</v>
      </c>
      <c r="H2908" s="197" t="s">
        <v>223</v>
      </c>
      <c r="I2908" s="196" t="s">
        <v>226</v>
      </c>
      <c r="J2908" s="195">
        <v>1</v>
      </c>
      <c r="K2908" s="204" t="s">
        <v>224</v>
      </c>
      <c r="L2908" s="199">
        <v>1</v>
      </c>
      <c r="M2908" s="200">
        <v>0.4</v>
      </c>
      <c r="N2908" s="201">
        <v>37</v>
      </c>
    </row>
    <row r="2909" spans="1:14">
      <c r="A2909" s="194">
        <v>41275.436805555553</v>
      </c>
      <c r="B2909" s="195">
        <v>2161</v>
      </c>
      <c r="C2909" s="194"/>
      <c r="D2909" s="194"/>
      <c r="E2909" s="196" t="s">
        <v>409</v>
      </c>
      <c r="F2909" s="195">
        <v>466</v>
      </c>
      <c r="G2909" s="197" t="s">
        <v>142</v>
      </c>
      <c r="H2909" s="197" t="s">
        <v>223</v>
      </c>
      <c r="I2909" s="196" t="s">
        <v>402</v>
      </c>
      <c r="J2909" s="195">
        <v>1</v>
      </c>
      <c r="K2909" s="204" t="s">
        <v>224</v>
      </c>
      <c r="L2909" s="199">
        <v>2</v>
      </c>
      <c r="M2909" s="200">
        <v>0.6</v>
      </c>
      <c r="N2909" s="201">
        <v>28</v>
      </c>
    </row>
    <row r="2910" spans="1:14">
      <c r="A2910" s="194">
        <v>41286.059062499997</v>
      </c>
      <c r="B2910" s="195">
        <v>2161</v>
      </c>
      <c r="C2910" s="194"/>
      <c r="D2910" s="194"/>
      <c r="E2910" s="196" t="s">
        <v>434</v>
      </c>
      <c r="F2910" s="195">
        <v>466</v>
      </c>
      <c r="G2910" s="197" t="s">
        <v>142</v>
      </c>
      <c r="H2910" s="197" t="s">
        <v>223</v>
      </c>
      <c r="I2910" s="196" t="s">
        <v>402</v>
      </c>
      <c r="J2910" s="195">
        <v>1</v>
      </c>
      <c r="K2910" s="204" t="s">
        <v>224</v>
      </c>
      <c r="L2910" s="199">
        <v>1</v>
      </c>
      <c r="M2910" s="200">
        <v>0.3</v>
      </c>
      <c r="N2910" s="201">
        <v>29</v>
      </c>
    </row>
    <row r="2911" spans="1:14">
      <c r="A2911" s="194">
        <v>41296.608136574076</v>
      </c>
      <c r="B2911" s="195">
        <v>2161</v>
      </c>
      <c r="C2911" s="194"/>
      <c r="D2911" s="194"/>
      <c r="E2911" s="196" t="s">
        <v>459</v>
      </c>
      <c r="F2911" s="195">
        <v>466</v>
      </c>
      <c r="G2911" s="197" t="s">
        <v>142</v>
      </c>
      <c r="H2911" s="197" t="s">
        <v>223</v>
      </c>
      <c r="I2911" s="196" t="s">
        <v>402</v>
      </c>
      <c r="J2911" s="195">
        <v>1</v>
      </c>
      <c r="K2911" s="204" t="s">
        <v>224</v>
      </c>
      <c r="L2911" s="199">
        <v>2</v>
      </c>
      <c r="M2911" s="200">
        <v>0.3</v>
      </c>
      <c r="N2911" s="201">
        <v>29</v>
      </c>
    </row>
    <row r="2912" spans="1:14">
      <c r="A2912" s="194">
        <v>41278.020254629628</v>
      </c>
      <c r="B2912" s="195">
        <v>2161</v>
      </c>
      <c r="C2912" s="194"/>
      <c r="D2912" s="194"/>
      <c r="E2912" s="196" t="s">
        <v>601</v>
      </c>
      <c r="F2912" s="195">
        <v>800</v>
      </c>
      <c r="G2912" s="197" t="s">
        <v>470</v>
      </c>
      <c r="H2912" s="197" t="s">
        <v>471</v>
      </c>
      <c r="J2912" s="195">
        <v>1</v>
      </c>
      <c r="K2912" s="204" t="s">
        <v>224</v>
      </c>
      <c r="L2912" s="199">
        <v>3</v>
      </c>
      <c r="M2912" s="200">
        <v>9.6999999999999993</v>
      </c>
      <c r="N2912" s="201">
        <v>15</v>
      </c>
    </row>
    <row r="2913" spans="1:14">
      <c r="A2913" s="194">
        <v>41279.902928240743</v>
      </c>
      <c r="B2913" s="195">
        <v>2161</v>
      </c>
      <c r="C2913" s="194"/>
      <c r="D2913" s="194"/>
      <c r="E2913" s="196" t="s">
        <v>662</v>
      </c>
      <c r="F2913" s="195">
        <v>800</v>
      </c>
      <c r="G2913" s="197" t="s">
        <v>470</v>
      </c>
      <c r="H2913" s="197" t="s">
        <v>471</v>
      </c>
      <c r="J2913" s="195">
        <v>1</v>
      </c>
      <c r="K2913" s="204" t="s">
        <v>224</v>
      </c>
      <c r="L2913" s="199">
        <v>3</v>
      </c>
      <c r="M2913" s="200">
        <v>0.3</v>
      </c>
      <c r="N2913" s="201">
        <v>17</v>
      </c>
    </row>
    <row r="2914" spans="1:14">
      <c r="A2914" s="194">
        <v>41290.331655092596</v>
      </c>
      <c r="B2914" s="195">
        <v>2161</v>
      </c>
      <c r="C2914" s="194"/>
      <c r="D2914" s="194"/>
      <c r="E2914" s="196" t="s">
        <v>1051</v>
      </c>
      <c r="F2914" s="195">
        <v>800</v>
      </c>
      <c r="G2914" s="197" t="s">
        <v>470</v>
      </c>
      <c r="H2914" s="197" t="s">
        <v>471</v>
      </c>
      <c r="J2914" s="195">
        <v>1</v>
      </c>
      <c r="K2914" s="204" t="s">
        <v>224</v>
      </c>
      <c r="L2914" s="199">
        <v>3</v>
      </c>
      <c r="M2914" s="200">
        <v>0.4</v>
      </c>
      <c r="N2914" s="201">
        <v>17</v>
      </c>
    </row>
    <row r="2915" spans="1:14">
      <c r="A2915" s="194">
        <v>41277.204247685186</v>
      </c>
      <c r="B2915" s="195">
        <v>2161</v>
      </c>
      <c r="C2915" s="194"/>
      <c r="D2915" s="194"/>
      <c r="E2915" s="196" t="s">
        <v>539</v>
      </c>
      <c r="F2915" s="195">
        <v>800</v>
      </c>
      <c r="G2915" s="197" t="s">
        <v>470</v>
      </c>
      <c r="H2915" s="197" t="s">
        <v>471</v>
      </c>
      <c r="J2915" s="195">
        <v>1</v>
      </c>
      <c r="K2915" s="204" t="s">
        <v>224</v>
      </c>
      <c r="L2915" s="199">
        <v>3</v>
      </c>
      <c r="M2915" s="200">
        <v>9.3000000000000007</v>
      </c>
      <c r="N2915" s="201">
        <v>17</v>
      </c>
    </row>
    <row r="2916" spans="1:14">
      <c r="A2916" s="194">
        <v>41275.056527777779</v>
      </c>
      <c r="B2916" s="195">
        <v>2161</v>
      </c>
      <c r="C2916" s="194"/>
      <c r="D2916" s="194"/>
      <c r="E2916" s="196" t="s">
        <v>506</v>
      </c>
      <c r="F2916" s="195">
        <v>800</v>
      </c>
      <c r="G2916" s="197" t="s">
        <v>470</v>
      </c>
      <c r="H2916" s="197" t="s">
        <v>471</v>
      </c>
      <c r="J2916" s="195">
        <v>1</v>
      </c>
      <c r="K2916" s="204" t="s">
        <v>224</v>
      </c>
      <c r="L2916" s="199">
        <v>2</v>
      </c>
      <c r="M2916" s="200">
        <v>0.3</v>
      </c>
      <c r="N2916" s="201">
        <v>19</v>
      </c>
    </row>
    <row r="2917" spans="1:14">
      <c r="A2917" s="194">
        <v>41278.537499999999</v>
      </c>
      <c r="B2917" s="195">
        <v>2161</v>
      </c>
      <c r="C2917" s="194"/>
      <c r="D2917" s="194"/>
      <c r="E2917" s="196" t="s">
        <v>603</v>
      </c>
      <c r="F2917" s="195">
        <v>800</v>
      </c>
      <c r="G2917" s="197" t="s">
        <v>470</v>
      </c>
      <c r="H2917" s="197" t="s">
        <v>471</v>
      </c>
      <c r="J2917" s="195">
        <v>1</v>
      </c>
      <c r="K2917" s="204" t="s">
        <v>224</v>
      </c>
      <c r="L2917" s="199">
        <v>2</v>
      </c>
      <c r="M2917" s="200">
        <v>0.3</v>
      </c>
      <c r="N2917" s="201">
        <v>19</v>
      </c>
    </row>
    <row r="2918" spans="1:14">
      <c r="A2918" s="194">
        <v>41290.443692129629</v>
      </c>
      <c r="B2918" s="195">
        <v>2161</v>
      </c>
      <c r="C2918" s="194"/>
      <c r="D2918" s="194"/>
      <c r="E2918" s="196" t="s">
        <v>1053</v>
      </c>
      <c r="F2918" s="195">
        <v>800</v>
      </c>
      <c r="G2918" s="197" t="s">
        <v>470</v>
      </c>
      <c r="H2918" s="197" t="s">
        <v>471</v>
      </c>
      <c r="J2918" s="195">
        <v>1</v>
      </c>
      <c r="K2918" s="204" t="s">
        <v>224</v>
      </c>
      <c r="L2918" s="199">
        <v>3</v>
      </c>
      <c r="M2918" s="200">
        <v>0.3</v>
      </c>
      <c r="N2918" s="201">
        <v>19</v>
      </c>
    </row>
    <row r="2919" spans="1:14">
      <c r="A2919" s="194">
        <v>41278.591319444444</v>
      </c>
      <c r="B2919" s="195">
        <v>2161</v>
      </c>
      <c r="C2919" s="194"/>
      <c r="D2919" s="194"/>
      <c r="E2919" s="196" t="s">
        <v>605</v>
      </c>
      <c r="F2919" s="195">
        <v>800</v>
      </c>
      <c r="G2919" s="197" t="s">
        <v>470</v>
      </c>
      <c r="H2919" s="197" t="s">
        <v>471</v>
      </c>
      <c r="J2919" s="195">
        <v>1</v>
      </c>
      <c r="K2919" s="204" t="s">
        <v>224</v>
      </c>
      <c r="L2919" s="199">
        <v>3</v>
      </c>
      <c r="M2919" s="200">
        <v>0.4</v>
      </c>
      <c r="N2919" s="201">
        <v>19</v>
      </c>
    </row>
    <row r="2920" spans="1:14">
      <c r="A2920" s="194">
        <v>41286.614675925928</v>
      </c>
      <c r="B2920" s="195">
        <v>2161</v>
      </c>
      <c r="C2920" s="194"/>
      <c r="D2920" s="194"/>
      <c r="E2920" s="196" t="s">
        <v>916</v>
      </c>
      <c r="F2920" s="195">
        <v>800</v>
      </c>
      <c r="G2920" s="197" t="s">
        <v>470</v>
      </c>
      <c r="H2920" s="197" t="s">
        <v>471</v>
      </c>
      <c r="J2920" s="195">
        <v>1</v>
      </c>
      <c r="K2920" s="204" t="s">
        <v>224</v>
      </c>
      <c r="L2920" s="199">
        <v>3</v>
      </c>
      <c r="M2920" s="200">
        <v>0.3</v>
      </c>
      <c r="N2920" s="201">
        <v>21</v>
      </c>
    </row>
    <row r="2921" spans="1:14">
      <c r="A2921" s="194">
        <v>41276.570428240739</v>
      </c>
      <c r="B2921" s="195">
        <v>2161</v>
      </c>
      <c r="C2921" s="194"/>
      <c r="D2921" s="194"/>
      <c r="E2921" s="196" t="s">
        <v>523</v>
      </c>
      <c r="F2921" s="195">
        <v>800</v>
      </c>
      <c r="G2921" s="197" t="s">
        <v>470</v>
      </c>
      <c r="H2921" s="197" t="s">
        <v>471</v>
      </c>
      <c r="J2921" s="195">
        <v>1</v>
      </c>
      <c r="K2921" s="204" t="s">
        <v>224</v>
      </c>
      <c r="L2921" s="199">
        <v>3</v>
      </c>
      <c r="M2921" s="200">
        <v>0.4</v>
      </c>
      <c r="N2921" s="201">
        <v>21</v>
      </c>
    </row>
    <row r="2922" spans="1:14">
      <c r="A2922" s="194">
        <v>41292.412893518522</v>
      </c>
      <c r="B2922" s="195">
        <v>2161</v>
      </c>
      <c r="C2922" s="194"/>
      <c r="D2922" s="194"/>
      <c r="E2922" s="196" t="s">
        <v>1176</v>
      </c>
      <c r="F2922" s="195">
        <v>800</v>
      </c>
      <c r="G2922" s="197" t="s">
        <v>470</v>
      </c>
      <c r="H2922" s="197" t="s">
        <v>471</v>
      </c>
      <c r="J2922" s="195">
        <v>1</v>
      </c>
      <c r="K2922" s="204" t="s">
        <v>224</v>
      </c>
      <c r="L2922" s="199">
        <v>2</v>
      </c>
      <c r="M2922" s="200">
        <v>0.4</v>
      </c>
      <c r="N2922" s="201">
        <v>21</v>
      </c>
    </row>
    <row r="2923" spans="1:14">
      <c r="A2923" s="194">
        <v>41299.489652777775</v>
      </c>
      <c r="B2923" s="195">
        <v>2161</v>
      </c>
      <c r="C2923" s="194"/>
      <c r="D2923" s="194"/>
      <c r="E2923" s="196" t="s">
        <v>1407</v>
      </c>
      <c r="F2923" s="195">
        <v>800</v>
      </c>
      <c r="G2923" s="197" t="s">
        <v>470</v>
      </c>
      <c r="H2923" s="197" t="s">
        <v>471</v>
      </c>
      <c r="J2923" s="195">
        <v>1</v>
      </c>
      <c r="K2923" s="204" t="s">
        <v>224</v>
      </c>
      <c r="L2923" s="199">
        <v>2</v>
      </c>
      <c r="M2923" s="200">
        <v>0.4</v>
      </c>
      <c r="N2923" s="201">
        <v>21</v>
      </c>
    </row>
    <row r="2924" spans="1:14">
      <c r="A2924" s="194">
        <v>41285.485324074078</v>
      </c>
      <c r="B2924" s="195">
        <v>2161</v>
      </c>
      <c r="C2924" s="194"/>
      <c r="D2924" s="194"/>
      <c r="E2924" s="196" t="s">
        <v>931</v>
      </c>
      <c r="F2924" s="195">
        <v>800</v>
      </c>
      <c r="G2924" s="197" t="s">
        <v>470</v>
      </c>
      <c r="H2924" s="197" t="s">
        <v>471</v>
      </c>
      <c r="J2924" s="195">
        <v>1</v>
      </c>
      <c r="K2924" s="204" t="s">
        <v>224</v>
      </c>
      <c r="L2924" s="199">
        <v>1</v>
      </c>
      <c r="M2924" s="200">
        <v>0.8</v>
      </c>
      <c r="N2924" s="201">
        <v>21</v>
      </c>
    </row>
    <row r="2925" spans="1:14">
      <c r="A2925" s="194">
        <v>41280.263159722221</v>
      </c>
      <c r="B2925" s="195">
        <v>2161</v>
      </c>
      <c r="C2925" s="194"/>
      <c r="D2925" s="194"/>
      <c r="E2925" s="196" t="s">
        <v>569</v>
      </c>
      <c r="F2925" s="195">
        <v>800</v>
      </c>
      <c r="G2925" s="197" t="s">
        <v>470</v>
      </c>
      <c r="H2925" s="197" t="s">
        <v>471</v>
      </c>
      <c r="J2925" s="195">
        <v>1</v>
      </c>
      <c r="K2925" s="204" t="s">
        <v>224</v>
      </c>
      <c r="L2925" s="199">
        <v>3</v>
      </c>
      <c r="M2925" s="200">
        <v>0.9</v>
      </c>
      <c r="N2925" s="201">
        <v>21</v>
      </c>
    </row>
    <row r="2926" spans="1:14">
      <c r="A2926" s="194">
        <v>41296.728981481479</v>
      </c>
      <c r="B2926" s="195">
        <v>2161</v>
      </c>
      <c r="C2926" s="194"/>
      <c r="D2926" s="194"/>
      <c r="E2926" s="196" t="s">
        <v>1328</v>
      </c>
      <c r="F2926" s="195">
        <v>800</v>
      </c>
      <c r="G2926" s="197" t="s">
        <v>470</v>
      </c>
      <c r="H2926" s="197" t="s">
        <v>471</v>
      </c>
      <c r="J2926" s="195">
        <v>1</v>
      </c>
      <c r="K2926" s="204" t="s">
        <v>224</v>
      </c>
      <c r="L2926" s="199">
        <v>2</v>
      </c>
      <c r="M2926" s="200">
        <v>0.9</v>
      </c>
      <c r="N2926" s="201">
        <v>21</v>
      </c>
    </row>
    <row r="2927" spans="1:14">
      <c r="A2927" s="194">
        <v>41283.749826388892</v>
      </c>
      <c r="B2927" s="195">
        <v>2161</v>
      </c>
      <c r="C2927" s="194"/>
      <c r="D2927" s="194"/>
      <c r="E2927" s="196" t="s">
        <v>771</v>
      </c>
      <c r="F2927" s="195">
        <v>800</v>
      </c>
      <c r="G2927" s="197" t="s">
        <v>470</v>
      </c>
      <c r="H2927" s="197" t="s">
        <v>471</v>
      </c>
      <c r="J2927" s="195">
        <v>1</v>
      </c>
      <c r="K2927" s="204" t="s">
        <v>224</v>
      </c>
      <c r="L2927" s="199">
        <v>2</v>
      </c>
      <c r="M2927" s="200">
        <v>0.4</v>
      </c>
      <c r="N2927" s="201">
        <v>22</v>
      </c>
    </row>
    <row r="2928" spans="1:14">
      <c r="A2928" s="194">
        <v>41286.611203703702</v>
      </c>
      <c r="B2928" s="195">
        <v>2161</v>
      </c>
      <c r="C2928" s="194"/>
      <c r="D2928" s="194"/>
      <c r="E2928" s="196" t="s">
        <v>915</v>
      </c>
      <c r="F2928" s="195">
        <v>800</v>
      </c>
      <c r="G2928" s="197" t="s">
        <v>470</v>
      </c>
      <c r="H2928" s="197" t="s">
        <v>471</v>
      </c>
      <c r="J2928" s="195">
        <v>1</v>
      </c>
      <c r="K2928" s="204" t="s">
        <v>224</v>
      </c>
      <c r="L2928" s="199">
        <v>1</v>
      </c>
      <c r="M2928" s="200">
        <v>0.4</v>
      </c>
      <c r="N2928" s="201">
        <v>22</v>
      </c>
    </row>
    <row r="2929" spans="1:14">
      <c r="A2929" s="194">
        <v>41280.808310185188</v>
      </c>
      <c r="B2929" s="195">
        <v>2161</v>
      </c>
      <c r="C2929" s="194"/>
      <c r="D2929" s="194"/>
      <c r="E2929" s="196" t="s">
        <v>571</v>
      </c>
      <c r="F2929" s="195">
        <v>800</v>
      </c>
      <c r="G2929" s="197" t="s">
        <v>470</v>
      </c>
      <c r="H2929" s="197" t="s">
        <v>471</v>
      </c>
      <c r="J2929" s="195">
        <v>1</v>
      </c>
      <c r="K2929" s="204" t="s">
        <v>224</v>
      </c>
      <c r="L2929" s="199">
        <v>2</v>
      </c>
      <c r="M2929" s="200">
        <v>0.5</v>
      </c>
      <c r="N2929" s="201">
        <v>22</v>
      </c>
    </row>
    <row r="2930" spans="1:14">
      <c r="A2930" s="194">
        <v>41291.750902777778</v>
      </c>
      <c r="B2930" s="195">
        <v>2161</v>
      </c>
      <c r="C2930" s="194"/>
      <c r="D2930" s="194"/>
      <c r="E2930" s="196" t="s">
        <v>1123</v>
      </c>
      <c r="F2930" s="195">
        <v>800</v>
      </c>
      <c r="G2930" s="197" t="s">
        <v>470</v>
      </c>
      <c r="H2930" s="197" t="s">
        <v>471</v>
      </c>
      <c r="J2930" s="195">
        <v>1</v>
      </c>
      <c r="K2930" s="204" t="s">
        <v>224</v>
      </c>
      <c r="L2930" s="199">
        <v>1</v>
      </c>
      <c r="M2930" s="200">
        <v>1</v>
      </c>
      <c r="N2930" s="201">
        <v>22</v>
      </c>
    </row>
    <row r="2931" spans="1:14">
      <c r="A2931" s="194">
        <v>41291.896793981483</v>
      </c>
      <c r="B2931" s="195">
        <v>2161</v>
      </c>
      <c r="C2931" s="194"/>
      <c r="D2931" s="194"/>
      <c r="E2931" s="196" t="s">
        <v>1125</v>
      </c>
      <c r="F2931" s="195">
        <v>800</v>
      </c>
      <c r="G2931" s="197" t="s">
        <v>470</v>
      </c>
      <c r="H2931" s="197" t="s">
        <v>471</v>
      </c>
      <c r="J2931" s="195">
        <v>1</v>
      </c>
      <c r="K2931" s="204" t="s">
        <v>224</v>
      </c>
      <c r="L2931" s="199">
        <v>2</v>
      </c>
      <c r="M2931" s="200">
        <v>0.7</v>
      </c>
      <c r="N2931" s="201">
        <v>23</v>
      </c>
    </row>
    <row r="2932" spans="1:14">
      <c r="A2932" s="194">
        <v>41300.794351851851</v>
      </c>
      <c r="B2932" s="195">
        <v>2161</v>
      </c>
      <c r="C2932" s="194"/>
      <c r="D2932" s="194"/>
      <c r="E2932" s="196" t="s">
        <v>1451</v>
      </c>
      <c r="F2932" s="195">
        <v>800</v>
      </c>
      <c r="G2932" s="197" t="s">
        <v>470</v>
      </c>
      <c r="H2932" s="197" t="s">
        <v>471</v>
      </c>
      <c r="J2932" s="195">
        <v>1</v>
      </c>
      <c r="K2932" s="204" t="s">
        <v>224</v>
      </c>
      <c r="L2932" s="199">
        <v>2</v>
      </c>
      <c r="M2932" s="200">
        <v>1.5</v>
      </c>
      <c r="N2932" s="201">
        <v>23</v>
      </c>
    </row>
    <row r="2933" spans="1:14">
      <c r="A2933" s="194">
        <v>41301.059074074074</v>
      </c>
      <c r="B2933" s="195">
        <v>2161</v>
      </c>
      <c r="C2933" s="194"/>
      <c r="D2933" s="194"/>
      <c r="E2933" s="196" t="s">
        <v>1420</v>
      </c>
      <c r="F2933" s="195">
        <v>800</v>
      </c>
      <c r="G2933" s="197" t="s">
        <v>470</v>
      </c>
      <c r="H2933" s="197" t="s">
        <v>471</v>
      </c>
      <c r="J2933" s="195">
        <v>1</v>
      </c>
      <c r="K2933" s="204" t="s">
        <v>224</v>
      </c>
      <c r="L2933" s="199">
        <v>3</v>
      </c>
      <c r="M2933" s="200">
        <v>1.6</v>
      </c>
      <c r="N2933" s="201">
        <v>23</v>
      </c>
    </row>
    <row r="2934" spans="1:14">
      <c r="A2934" s="194">
        <v>41279.664212962962</v>
      </c>
      <c r="B2934" s="195">
        <v>2161</v>
      </c>
      <c r="C2934" s="194"/>
      <c r="D2934" s="194"/>
      <c r="E2934" s="196" t="s">
        <v>655</v>
      </c>
      <c r="F2934" s="195">
        <v>800</v>
      </c>
      <c r="G2934" s="197" t="s">
        <v>470</v>
      </c>
      <c r="H2934" s="197" t="s">
        <v>471</v>
      </c>
      <c r="J2934" s="195">
        <v>1</v>
      </c>
      <c r="K2934" s="204" t="s">
        <v>224</v>
      </c>
      <c r="L2934" s="199">
        <v>2</v>
      </c>
      <c r="M2934" s="200">
        <v>0.3</v>
      </c>
      <c r="N2934" s="201">
        <v>24</v>
      </c>
    </row>
    <row r="2935" spans="1:14">
      <c r="A2935" s="194">
        <v>41300.508773148147</v>
      </c>
      <c r="B2935" s="195">
        <v>2161</v>
      </c>
      <c r="C2935" s="194"/>
      <c r="D2935" s="194"/>
      <c r="E2935" s="196" t="s">
        <v>1450</v>
      </c>
      <c r="F2935" s="195">
        <v>800</v>
      </c>
      <c r="G2935" s="197" t="s">
        <v>470</v>
      </c>
      <c r="H2935" s="197" t="s">
        <v>471</v>
      </c>
      <c r="J2935" s="195">
        <v>1</v>
      </c>
      <c r="K2935" s="204" t="s">
        <v>224</v>
      </c>
      <c r="L2935" s="199">
        <v>2</v>
      </c>
      <c r="M2935" s="200">
        <v>0.3</v>
      </c>
      <c r="N2935" s="201">
        <v>24</v>
      </c>
    </row>
    <row r="2936" spans="1:14">
      <c r="A2936" s="194">
        <v>41287.36818287037</v>
      </c>
      <c r="B2936" s="195">
        <v>2161</v>
      </c>
      <c r="C2936" s="194"/>
      <c r="D2936" s="194"/>
      <c r="E2936" s="196" t="s">
        <v>866</v>
      </c>
      <c r="F2936" s="195">
        <v>800</v>
      </c>
      <c r="G2936" s="197" t="s">
        <v>470</v>
      </c>
      <c r="H2936" s="197" t="s">
        <v>471</v>
      </c>
      <c r="J2936" s="195">
        <v>1</v>
      </c>
      <c r="K2936" s="204" t="s">
        <v>224</v>
      </c>
      <c r="L2936" s="199">
        <v>2</v>
      </c>
      <c r="M2936" s="200">
        <v>0.4</v>
      </c>
      <c r="N2936" s="201">
        <v>24</v>
      </c>
    </row>
    <row r="2937" spans="1:14">
      <c r="A2937" s="194">
        <v>41275.075624999998</v>
      </c>
      <c r="B2937" s="195">
        <v>2161</v>
      </c>
      <c r="C2937" s="194"/>
      <c r="D2937" s="194"/>
      <c r="E2937" s="196" t="s">
        <v>508</v>
      </c>
      <c r="F2937" s="195">
        <v>800</v>
      </c>
      <c r="G2937" s="197" t="s">
        <v>470</v>
      </c>
      <c r="H2937" s="197" t="s">
        <v>471</v>
      </c>
      <c r="J2937" s="195">
        <v>1</v>
      </c>
      <c r="K2937" s="204" t="s">
        <v>224</v>
      </c>
      <c r="L2937" s="199">
        <v>2</v>
      </c>
      <c r="M2937" s="200">
        <v>0.5</v>
      </c>
      <c r="N2937" s="201">
        <v>24</v>
      </c>
    </row>
    <row r="2938" spans="1:14">
      <c r="A2938" s="194">
        <v>41296.875925925924</v>
      </c>
      <c r="B2938" s="195">
        <v>2161</v>
      </c>
      <c r="C2938" s="194"/>
      <c r="D2938" s="194"/>
      <c r="E2938" s="196" t="s">
        <v>1329</v>
      </c>
      <c r="F2938" s="195">
        <v>800</v>
      </c>
      <c r="G2938" s="197" t="s">
        <v>470</v>
      </c>
      <c r="H2938" s="197" t="s">
        <v>471</v>
      </c>
      <c r="J2938" s="195">
        <v>1</v>
      </c>
      <c r="K2938" s="204" t="s">
        <v>224</v>
      </c>
      <c r="L2938" s="199">
        <v>2</v>
      </c>
      <c r="M2938" s="200">
        <v>1.3</v>
      </c>
      <c r="N2938" s="201">
        <v>24</v>
      </c>
    </row>
    <row r="2939" spans="1:14">
      <c r="A2939" s="194">
        <v>41280.423750000002</v>
      </c>
      <c r="B2939" s="195">
        <v>2161</v>
      </c>
      <c r="C2939" s="194"/>
      <c r="D2939" s="194"/>
      <c r="E2939" s="196" t="s">
        <v>570</v>
      </c>
      <c r="F2939" s="195">
        <v>800</v>
      </c>
      <c r="G2939" s="197" t="s">
        <v>470</v>
      </c>
      <c r="H2939" s="197" t="s">
        <v>471</v>
      </c>
      <c r="J2939" s="195">
        <v>1</v>
      </c>
      <c r="K2939" s="204" t="s">
        <v>224</v>
      </c>
      <c r="L2939" s="199">
        <v>2</v>
      </c>
      <c r="M2939" s="200">
        <v>0.4</v>
      </c>
      <c r="N2939" s="201">
        <v>25</v>
      </c>
    </row>
    <row r="2940" spans="1:14">
      <c r="A2940" s="194">
        <v>41301.601643518516</v>
      </c>
      <c r="B2940" s="195">
        <v>2161</v>
      </c>
      <c r="C2940" s="194"/>
      <c r="D2940" s="194"/>
      <c r="E2940" s="196" t="s">
        <v>1421</v>
      </c>
      <c r="F2940" s="195">
        <v>800</v>
      </c>
      <c r="G2940" s="197" t="s">
        <v>470</v>
      </c>
      <c r="H2940" s="197" t="s">
        <v>471</v>
      </c>
      <c r="J2940" s="195">
        <v>1</v>
      </c>
      <c r="K2940" s="204" t="s">
        <v>224</v>
      </c>
      <c r="L2940" s="199">
        <v>2</v>
      </c>
      <c r="M2940" s="200">
        <v>0.9</v>
      </c>
      <c r="N2940" s="201">
        <v>25</v>
      </c>
    </row>
    <row r="2941" spans="1:14">
      <c r="A2941" s="194">
        <v>41279.744097222225</v>
      </c>
      <c r="B2941" s="195">
        <v>2161</v>
      </c>
      <c r="C2941" s="194"/>
      <c r="D2941" s="194"/>
      <c r="E2941" s="196" t="s">
        <v>656</v>
      </c>
      <c r="F2941" s="195">
        <v>800</v>
      </c>
      <c r="G2941" s="197" t="s">
        <v>470</v>
      </c>
      <c r="H2941" s="197" t="s">
        <v>471</v>
      </c>
      <c r="J2941" s="195">
        <v>1</v>
      </c>
      <c r="K2941" s="204" t="s">
        <v>224</v>
      </c>
      <c r="L2941" s="199">
        <v>1</v>
      </c>
      <c r="M2941" s="200">
        <v>0.4</v>
      </c>
      <c r="N2941" s="201">
        <v>26</v>
      </c>
    </row>
    <row r="2942" spans="1:14">
      <c r="A2942" s="194">
        <v>41305.428854166668</v>
      </c>
      <c r="B2942" s="195">
        <v>2161</v>
      </c>
      <c r="C2942" s="194"/>
      <c r="D2942" s="194"/>
      <c r="E2942" s="196" t="s">
        <v>1589</v>
      </c>
      <c r="F2942" s="195">
        <v>800</v>
      </c>
      <c r="G2942" s="197" t="s">
        <v>470</v>
      </c>
      <c r="H2942" s="197" t="s">
        <v>471</v>
      </c>
      <c r="J2942" s="195">
        <v>1</v>
      </c>
      <c r="K2942" s="204" t="s">
        <v>224</v>
      </c>
      <c r="L2942" s="199">
        <v>2</v>
      </c>
      <c r="M2942" s="200">
        <v>0.4</v>
      </c>
      <c r="N2942" s="201">
        <v>26</v>
      </c>
    </row>
    <row r="2943" spans="1:14">
      <c r="A2943" s="194">
        <v>41288.380636574075</v>
      </c>
      <c r="B2943" s="195">
        <v>2161</v>
      </c>
      <c r="C2943" s="194"/>
      <c r="D2943" s="194"/>
      <c r="E2943" s="196" t="s">
        <v>982</v>
      </c>
      <c r="F2943" s="195">
        <v>800</v>
      </c>
      <c r="G2943" s="197" t="s">
        <v>470</v>
      </c>
      <c r="H2943" s="197" t="s">
        <v>471</v>
      </c>
      <c r="J2943" s="195">
        <v>1</v>
      </c>
      <c r="K2943" s="204" t="s">
        <v>224</v>
      </c>
      <c r="L2943" s="199">
        <v>1</v>
      </c>
      <c r="M2943" s="200">
        <v>0.6</v>
      </c>
      <c r="N2943" s="201">
        <v>26</v>
      </c>
    </row>
    <row r="2944" spans="1:14">
      <c r="A2944" s="194">
        <v>41279.563530092593</v>
      </c>
      <c r="B2944" s="195">
        <v>2161</v>
      </c>
      <c r="C2944" s="194"/>
      <c r="D2944" s="194"/>
      <c r="E2944" s="196" t="s">
        <v>653</v>
      </c>
      <c r="F2944" s="195">
        <v>800</v>
      </c>
      <c r="G2944" s="197" t="s">
        <v>470</v>
      </c>
      <c r="H2944" s="197" t="s">
        <v>471</v>
      </c>
      <c r="J2944" s="195">
        <v>1</v>
      </c>
      <c r="K2944" s="204" t="s">
        <v>224</v>
      </c>
      <c r="L2944" s="199">
        <v>2</v>
      </c>
      <c r="M2944" s="200">
        <v>0.7</v>
      </c>
      <c r="N2944" s="201">
        <v>26</v>
      </c>
    </row>
    <row r="2945" spans="1:14">
      <c r="A2945" s="194">
        <v>41275.842199074075</v>
      </c>
      <c r="B2945" s="195">
        <v>2161</v>
      </c>
      <c r="C2945" s="194"/>
      <c r="D2945" s="194"/>
      <c r="E2945" s="196" t="s">
        <v>511</v>
      </c>
      <c r="F2945" s="195">
        <v>800</v>
      </c>
      <c r="G2945" s="197" t="s">
        <v>470</v>
      </c>
      <c r="H2945" s="197" t="s">
        <v>471</v>
      </c>
      <c r="J2945" s="195">
        <v>1</v>
      </c>
      <c r="K2945" s="204" t="s">
        <v>224</v>
      </c>
      <c r="L2945" s="199">
        <v>2</v>
      </c>
      <c r="M2945" s="200">
        <v>0.9</v>
      </c>
      <c r="N2945" s="201">
        <v>26</v>
      </c>
    </row>
    <row r="2946" spans="1:14">
      <c r="A2946" s="194">
        <v>41278.580914351849</v>
      </c>
      <c r="B2946" s="195">
        <v>2161</v>
      </c>
      <c r="C2946" s="194"/>
      <c r="D2946" s="194"/>
      <c r="E2946" s="196" t="s">
        <v>604</v>
      </c>
      <c r="F2946" s="195">
        <v>800</v>
      </c>
      <c r="G2946" s="197" t="s">
        <v>470</v>
      </c>
      <c r="H2946" s="197" t="s">
        <v>471</v>
      </c>
      <c r="J2946" s="195">
        <v>1</v>
      </c>
      <c r="K2946" s="204" t="s">
        <v>224</v>
      </c>
      <c r="L2946" s="199">
        <v>1</v>
      </c>
      <c r="M2946" s="200">
        <v>1.1000000000000001</v>
      </c>
      <c r="N2946" s="201">
        <v>26</v>
      </c>
    </row>
    <row r="2947" spans="1:14">
      <c r="A2947" s="194">
        <v>41283.56695601852</v>
      </c>
      <c r="B2947" s="195">
        <v>2161</v>
      </c>
      <c r="C2947" s="194"/>
      <c r="D2947" s="194"/>
      <c r="E2947" s="196" t="s">
        <v>769</v>
      </c>
      <c r="F2947" s="195">
        <v>800</v>
      </c>
      <c r="G2947" s="197" t="s">
        <v>470</v>
      </c>
      <c r="H2947" s="197" t="s">
        <v>471</v>
      </c>
      <c r="J2947" s="195">
        <v>1</v>
      </c>
      <c r="K2947" s="204" t="s">
        <v>224</v>
      </c>
      <c r="L2947" s="199">
        <v>3</v>
      </c>
      <c r="M2947" s="200">
        <v>1.2</v>
      </c>
      <c r="N2947" s="201">
        <v>26</v>
      </c>
    </row>
    <row r="2948" spans="1:14">
      <c r="A2948" s="194">
        <v>41283.655034722222</v>
      </c>
      <c r="B2948" s="195">
        <v>2161</v>
      </c>
      <c r="C2948" s="194"/>
      <c r="D2948" s="194"/>
      <c r="E2948" s="196" t="s">
        <v>770</v>
      </c>
      <c r="F2948" s="195">
        <v>800</v>
      </c>
      <c r="G2948" s="197" t="s">
        <v>470</v>
      </c>
      <c r="H2948" s="197" t="s">
        <v>471</v>
      </c>
      <c r="J2948" s="195">
        <v>1</v>
      </c>
      <c r="K2948" s="204" t="s">
        <v>224</v>
      </c>
      <c r="L2948" s="199">
        <v>2</v>
      </c>
      <c r="M2948" s="200">
        <v>0.3</v>
      </c>
      <c r="N2948" s="201">
        <v>27</v>
      </c>
    </row>
    <row r="2949" spans="1:14">
      <c r="A2949" s="194">
        <v>41298.905405092592</v>
      </c>
      <c r="B2949" s="195">
        <v>2161</v>
      </c>
      <c r="C2949" s="194"/>
      <c r="D2949" s="194"/>
      <c r="E2949" s="196" t="s">
        <v>1332</v>
      </c>
      <c r="F2949" s="195">
        <v>800</v>
      </c>
      <c r="G2949" s="197" t="s">
        <v>470</v>
      </c>
      <c r="H2949" s="197" t="s">
        <v>471</v>
      </c>
      <c r="J2949" s="195">
        <v>1</v>
      </c>
      <c r="K2949" s="204" t="s">
        <v>224</v>
      </c>
      <c r="L2949" s="199">
        <v>2</v>
      </c>
      <c r="M2949" s="200">
        <v>0.3</v>
      </c>
      <c r="N2949" s="201">
        <v>27</v>
      </c>
    </row>
    <row r="2950" spans="1:14">
      <c r="A2950" s="194">
        <v>41281.838622685187</v>
      </c>
      <c r="B2950" s="195">
        <v>2161</v>
      </c>
      <c r="C2950" s="194"/>
      <c r="D2950" s="194"/>
      <c r="E2950" s="196" t="s">
        <v>719</v>
      </c>
      <c r="F2950" s="195">
        <v>800</v>
      </c>
      <c r="G2950" s="197" t="s">
        <v>470</v>
      </c>
      <c r="H2950" s="197" t="s">
        <v>471</v>
      </c>
      <c r="J2950" s="195">
        <v>1</v>
      </c>
      <c r="K2950" s="204" t="s">
        <v>224</v>
      </c>
      <c r="L2950" s="199">
        <v>1</v>
      </c>
      <c r="M2950" s="200">
        <v>1.5</v>
      </c>
      <c r="N2950" s="201">
        <v>27</v>
      </c>
    </row>
    <row r="2951" spans="1:14">
      <c r="A2951" s="194">
        <v>41275.607199074075</v>
      </c>
      <c r="B2951" s="195">
        <v>2161</v>
      </c>
      <c r="C2951" s="194"/>
      <c r="D2951" s="194"/>
      <c r="E2951" s="196" t="s">
        <v>510</v>
      </c>
      <c r="F2951" s="195">
        <v>800</v>
      </c>
      <c r="G2951" s="197" t="s">
        <v>470</v>
      </c>
      <c r="H2951" s="197" t="s">
        <v>471</v>
      </c>
      <c r="J2951" s="195">
        <v>1</v>
      </c>
      <c r="K2951" s="204" t="s">
        <v>224</v>
      </c>
      <c r="L2951" s="199">
        <v>2</v>
      </c>
      <c r="M2951" s="200">
        <v>1.9</v>
      </c>
      <c r="N2951" s="201">
        <v>27</v>
      </c>
    </row>
    <row r="2952" spans="1:14">
      <c r="A2952" s="194">
        <v>41279.768391203703</v>
      </c>
      <c r="B2952" s="195">
        <v>2161</v>
      </c>
      <c r="C2952" s="194"/>
      <c r="D2952" s="194"/>
      <c r="E2952" s="196" t="s">
        <v>658</v>
      </c>
      <c r="F2952" s="195">
        <v>800</v>
      </c>
      <c r="G2952" s="197" t="s">
        <v>470</v>
      </c>
      <c r="H2952" s="197" t="s">
        <v>471</v>
      </c>
      <c r="J2952" s="195">
        <v>1</v>
      </c>
      <c r="K2952" s="204" t="s">
        <v>224</v>
      </c>
      <c r="L2952" s="199">
        <v>2</v>
      </c>
      <c r="M2952" s="200">
        <v>0.4</v>
      </c>
      <c r="N2952" s="201">
        <v>28</v>
      </c>
    </row>
    <row r="2953" spans="1:14">
      <c r="A2953" s="194">
        <v>41279.745833333334</v>
      </c>
      <c r="B2953" s="195">
        <v>2161</v>
      </c>
      <c r="C2953" s="194"/>
      <c r="D2953" s="194"/>
      <c r="E2953" s="196" t="s">
        <v>657</v>
      </c>
      <c r="F2953" s="195">
        <v>800</v>
      </c>
      <c r="G2953" s="197" t="s">
        <v>470</v>
      </c>
      <c r="H2953" s="197" t="s">
        <v>471</v>
      </c>
      <c r="J2953" s="195">
        <v>1</v>
      </c>
      <c r="K2953" s="204" t="s">
        <v>224</v>
      </c>
      <c r="L2953" s="199">
        <v>1</v>
      </c>
      <c r="M2953" s="200">
        <v>0.5</v>
      </c>
      <c r="N2953" s="201">
        <v>28</v>
      </c>
    </row>
    <row r="2954" spans="1:14">
      <c r="A2954" s="194">
        <v>41286.767534722225</v>
      </c>
      <c r="B2954" s="195">
        <v>2161</v>
      </c>
      <c r="C2954" s="194"/>
      <c r="D2954" s="194"/>
      <c r="E2954" s="196" t="s">
        <v>917</v>
      </c>
      <c r="F2954" s="195">
        <v>800</v>
      </c>
      <c r="G2954" s="197" t="s">
        <v>470</v>
      </c>
      <c r="H2954" s="197" t="s">
        <v>471</v>
      </c>
      <c r="J2954" s="195">
        <v>1</v>
      </c>
      <c r="K2954" s="204" t="s">
        <v>224</v>
      </c>
      <c r="L2954" s="199">
        <v>3</v>
      </c>
      <c r="M2954" s="200">
        <v>0.7</v>
      </c>
      <c r="N2954" s="201">
        <v>28</v>
      </c>
    </row>
    <row r="2955" spans="1:14">
      <c r="A2955" s="194">
        <v>41283.978356481479</v>
      </c>
      <c r="B2955" s="195">
        <v>2161</v>
      </c>
      <c r="C2955" s="194"/>
      <c r="D2955" s="194"/>
      <c r="E2955" s="196" t="s">
        <v>774</v>
      </c>
      <c r="F2955" s="195">
        <v>800</v>
      </c>
      <c r="G2955" s="197" t="s">
        <v>470</v>
      </c>
      <c r="H2955" s="197" t="s">
        <v>471</v>
      </c>
      <c r="J2955" s="195">
        <v>1</v>
      </c>
      <c r="K2955" s="204" t="s">
        <v>224</v>
      </c>
      <c r="L2955" s="199">
        <v>1</v>
      </c>
      <c r="M2955" s="200">
        <v>0.8</v>
      </c>
      <c r="N2955" s="201">
        <v>28</v>
      </c>
    </row>
    <row r="2956" spans="1:14">
      <c r="A2956" s="194">
        <v>41287.634641203702</v>
      </c>
      <c r="B2956" s="195">
        <v>2161</v>
      </c>
      <c r="C2956" s="194"/>
      <c r="D2956" s="194"/>
      <c r="E2956" s="196" t="s">
        <v>869</v>
      </c>
      <c r="F2956" s="195">
        <v>800</v>
      </c>
      <c r="G2956" s="197" t="s">
        <v>470</v>
      </c>
      <c r="H2956" s="197" t="s">
        <v>471</v>
      </c>
      <c r="J2956" s="195">
        <v>1</v>
      </c>
      <c r="K2956" s="204" t="s">
        <v>224</v>
      </c>
      <c r="L2956" s="199">
        <v>2</v>
      </c>
      <c r="M2956" s="200">
        <v>0.8</v>
      </c>
      <c r="N2956" s="201">
        <v>28</v>
      </c>
    </row>
    <row r="2957" spans="1:14">
      <c r="A2957" s="194">
        <v>41278.905543981484</v>
      </c>
      <c r="B2957" s="195">
        <v>2161</v>
      </c>
      <c r="C2957" s="194"/>
      <c r="D2957" s="194"/>
      <c r="E2957" s="196" t="s">
        <v>607</v>
      </c>
      <c r="F2957" s="195">
        <v>800</v>
      </c>
      <c r="G2957" s="197" t="s">
        <v>470</v>
      </c>
      <c r="H2957" s="197" t="s">
        <v>471</v>
      </c>
      <c r="J2957" s="195">
        <v>1</v>
      </c>
      <c r="K2957" s="204" t="s">
        <v>224</v>
      </c>
      <c r="L2957" s="199">
        <v>3</v>
      </c>
      <c r="M2957" s="200">
        <v>0.9</v>
      </c>
      <c r="N2957" s="201">
        <v>28</v>
      </c>
    </row>
    <row r="2958" spans="1:14">
      <c r="A2958" s="194">
        <v>41290.634236111109</v>
      </c>
      <c r="B2958" s="195">
        <v>2161</v>
      </c>
      <c r="C2958" s="194"/>
      <c r="D2958" s="194"/>
      <c r="E2958" s="196" t="s">
        <v>1055</v>
      </c>
      <c r="F2958" s="195">
        <v>800</v>
      </c>
      <c r="G2958" s="197" t="s">
        <v>470</v>
      </c>
      <c r="H2958" s="197" t="s">
        <v>471</v>
      </c>
      <c r="J2958" s="195">
        <v>1</v>
      </c>
      <c r="K2958" s="204" t="s">
        <v>224</v>
      </c>
      <c r="L2958" s="199">
        <v>2</v>
      </c>
      <c r="M2958" s="200">
        <v>1.2</v>
      </c>
      <c r="N2958" s="201">
        <v>28</v>
      </c>
    </row>
    <row r="2959" spans="1:14">
      <c r="A2959" s="194">
        <v>41276.700902777775</v>
      </c>
      <c r="B2959" s="195">
        <v>2161</v>
      </c>
      <c r="C2959" s="194"/>
      <c r="D2959" s="194"/>
      <c r="E2959" s="196" t="s">
        <v>525</v>
      </c>
      <c r="F2959" s="195">
        <v>800</v>
      </c>
      <c r="G2959" s="197" t="s">
        <v>470</v>
      </c>
      <c r="H2959" s="197" t="s">
        <v>471</v>
      </c>
      <c r="J2959" s="195">
        <v>1</v>
      </c>
      <c r="K2959" s="204" t="s">
        <v>224</v>
      </c>
      <c r="L2959" s="199">
        <v>1</v>
      </c>
      <c r="M2959" s="200">
        <v>0.7</v>
      </c>
      <c r="N2959" s="201">
        <v>29</v>
      </c>
    </row>
    <row r="2960" spans="1:14">
      <c r="A2960" s="194">
        <v>41291.674849537034</v>
      </c>
      <c r="B2960" s="195">
        <v>2161</v>
      </c>
      <c r="C2960" s="194"/>
      <c r="D2960" s="194"/>
      <c r="E2960" s="196" t="s">
        <v>1121</v>
      </c>
      <c r="F2960" s="195">
        <v>800</v>
      </c>
      <c r="G2960" s="197" t="s">
        <v>470</v>
      </c>
      <c r="H2960" s="197" t="s">
        <v>471</v>
      </c>
      <c r="J2960" s="195">
        <v>1</v>
      </c>
      <c r="K2960" s="204" t="s">
        <v>224</v>
      </c>
      <c r="L2960" s="199">
        <v>3</v>
      </c>
      <c r="M2960" s="200">
        <v>1</v>
      </c>
      <c r="N2960" s="201">
        <v>29</v>
      </c>
    </row>
    <row r="2961" spans="1:14">
      <c r="A2961" s="194">
        <v>41299.048634259256</v>
      </c>
      <c r="B2961" s="195">
        <v>2161</v>
      </c>
      <c r="C2961" s="194"/>
      <c r="D2961" s="194"/>
      <c r="E2961" s="196" t="s">
        <v>1313</v>
      </c>
      <c r="F2961" s="195">
        <v>800</v>
      </c>
      <c r="G2961" s="197" t="s">
        <v>470</v>
      </c>
      <c r="H2961" s="197" t="s">
        <v>471</v>
      </c>
      <c r="J2961" s="195">
        <v>1</v>
      </c>
      <c r="K2961" s="204" t="s">
        <v>224</v>
      </c>
      <c r="L2961" s="199">
        <v>2</v>
      </c>
      <c r="M2961" s="200">
        <v>1.1000000000000001</v>
      </c>
      <c r="N2961" s="201">
        <v>29</v>
      </c>
    </row>
    <row r="2962" spans="1:14">
      <c r="A2962" s="194">
        <v>41291.952337962961</v>
      </c>
      <c r="B2962" s="195">
        <v>2161</v>
      </c>
      <c r="C2962" s="194"/>
      <c r="D2962" s="194"/>
      <c r="E2962" s="196" t="s">
        <v>1126</v>
      </c>
      <c r="F2962" s="195">
        <v>800</v>
      </c>
      <c r="G2962" s="197" t="s">
        <v>470</v>
      </c>
      <c r="H2962" s="197" t="s">
        <v>471</v>
      </c>
      <c r="J2962" s="195">
        <v>1</v>
      </c>
      <c r="K2962" s="204" t="s">
        <v>224</v>
      </c>
      <c r="L2962" s="199">
        <v>2</v>
      </c>
      <c r="M2962" s="200">
        <v>0.3</v>
      </c>
      <c r="N2962" s="201">
        <v>30</v>
      </c>
    </row>
    <row r="2963" spans="1:14">
      <c r="A2963" s="194">
        <v>41279.895115740743</v>
      </c>
      <c r="B2963" s="195">
        <v>2161</v>
      </c>
      <c r="C2963" s="194"/>
      <c r="D2963" s="194"/>
      <c r="E2963" s="196" t="s">
        <v>660</v>
      </c>
      <c r="F2963" s="195">
        <v>800</v>
      </c>
      <c r="G2963" s="197" t="s">
        <v>470</v>
      </c>
      <c r="H2963" s="197" t="s">
        <v>471</v>
      </c>
      <c r="J2963" s="195">
        <v>1</v>
      </c>
      <c r="K2963" s="204" t="s">
        <v>224</v>
      </c>
      <c r="L2963" s="199">
        <v>2</v>
      </c>
      <c r="M2963" s="200">
        <v>0.4</v>
      </c>
      <c r="N2963" s="201">
        <v>30</v>
      </c>
    </row>
    <row r="2964" spans="1:14">
      <c r="A2964" s="194">
        <v>41285.764409722222</v>
      </c>
      <c r="B2964" s="195">
        <v>2161</v>
      </c>
      <c r="C2964" s="194"/>
      <c r="D2964" s="194"/>
      <c r="E2964" s="196" t="s">
        <v>932</v>
      </c>
      <c r="F2964" s="195">
        <v>800</v>
      </c>
      <c r="G2964" s="197" t="s">
        <v>470</v>
      </c>
      <c r="H2964" s="197" t="s">
        <v>471</v>
      </c>
      <c r="J2964" s="195">
        <v>1</v>
      </c>
      <c r="K2964" s="204" t="s">
        <v>224</v>
      </c>
      <c r="L2964" s="199">
        <v>2</v>
      </c>
      <c r="M2964" s="200">
        <v>0.4</v>
      </c>
      <c r="N2964" s="201">
        <v>30</v>
      </c>
    </row>
    <row r="2965" spans="1:14">
      <c r="A2965" s="194">
        <v>41283.845567129632</v>
      </c>
      <c r="B2965" s="195">
        <v>2161</v>
      </c>
      <c r="C2965" s="194"/>
      <c r="D2965" s="194"/>
      <c r="E2965" s="196" t="s">
        <v>772</v>
      </c>
      <c r="F2965" s="195">
        <v>800</v>
      </c>
      <c r="G2965" s="197" t="s">
        <v>470</v>
      </c>
      <c r="H2965" s="197" t="s">
        <v>471</v>
      </c>
      <c r="J2965" s="195">
        <v>1</v>
      </c>
      <c r="K2965" s="204" t="s">
        <v>224</v>
      </c>
      <c r="L2965" s="199">
        <v>1</v>
      </c>
      <c r="M2965" s="200">
        <v>0.5</v>
      </c>
      <c r="N2965" s="201">
        <v>30</v>
      </c>
    </row>
    <row r="2966" spans="1:14">
      <c r="A2966" s="194">
        <v>41286.546099537038</v>
      </c>
      <c r="B2966" s="195">
        <v>2161</v>
      </c>
      <c r="C2966" s="194"/>
      <c r="D2966" s="194"/>
      <c r="E2966" s="196" t="s">
        <v>914</v>
      </c>
      <c r="F2966" s="195">
        <v>800</v>
      </c>
      <c r="G2966" s="197" t="s">
        <v>470</v>
      </c>
      <c r="H2966" s="197" t="s">
        <v>471</v>
      </c>
      <c r="J2966" s="195">
        <v>1</v>
      </c>
      <c r="K2966" s="204" t="s">
        <v>224</v>
      </c>
      <c r="L2966" s="199">
        <v>2</v>
      </c>
      <c r="M2966" s="200">
        <v>0.5</v>
      </c>
      <c r="N2966" s="201">
        <v>30</v>
      </c>
    </row>
    <row r="2967" spans="1:14">
      <c r="A2967" s="194">
        <v>41279.867349537039</v>
      </c>
      <c r="B2967" s="195">
        <v>2161</v>
      </c>
      <c r="C2967" s="194"/>
      <c r="D2967" s="194"/>
      <c r="E2967" s="196" t="s">
        <v>659</v>
      </c>
      <c r="F2967" s="195">
        <v>800</v>
      </c>
      <c r="G2967" s="197" t="s">
        <v>470</v>
      </c>
      <c r="H2967" s="197" t="s">
        <v>471</v>
      </c>
      <c r="J2967" s="195">
        <v>1</v>
      </c>
      <c r="K2967" s="204" t="s">
        <v>224</v>
      </c>
      <c r="L2967" s="199">
        <v>1</v>
      </c>
      <c r="M2967" s="200">
        <v>0.6</v>
      </c>
      <c r="N2967" s="201">
        <v>30</v>
      </c>
    </row>
    <row r="2968" spans="1:14">
      <c r="A2968" s="194">
        <v>41297.887199074074</v>
      </c>
      <c r="B2968" s="195">
        <v>2161</v>
      </c>
      <c r="C2968" s="194"/>
      <c r="D2968" s="194"/>
      <c r="E2968" s="196" t="s">
        <v>1345</v>
      </c>
      <c r="F2968" s="195">
        <v>800</v>
      </c>
      <c r="G2968" s="197" t="s">
        <v>470</v>
      </c>
      <c r="H2968" s="197" t="s">
        <v>471</v>
      </c>
      <c r="J2968" s="195">
        <v>1</v>
      </c>
      <c r="K2968" s="204" t="s">
        <v>224</v>
      </c>
      <c r="L2968" s="199">
        <v>2</v>
      </c>
      <c r="M2968" s="200">
        <v>0.6</v>
      </c>
      <c r="N2968" s="201">
        <v>30</v>
      </c>
    </row>
    <row r="2969" spans="1:14">
      <c r="A2969" s="194">
        <v>41280.085219907407</v>
      </c>
      <c r="B2969" s="195">
        <v>2161</v>
      </c>
      <c r="C2969" s="194"/>
      <c r="D2969" s="194"/>
      <c r="E2969" s="196" t="s">
        <v>568</v>
      </c>
      <c r="F2969" s="195">
        <v>800</v>
      </c>
      <c r="G2969" s="197" t="s">
        <v>470</v>
      </c>
      <c r="H2969" s="197" t="s">
        <v>471</v>
      </c>
      <c r="J2969" s="195">
        <v>1</v>
      </c>
      <c r="K2969" s="204" t="s">
        <v>224</v>
      </c>
      <c r="L2969" s="199">
        <v>2</v>
      </c>
      <c r="M2969" s="200">
        <v>0.7</v>
      </c>
      <c r="N2969" s="201">
        <v>30</v>
      </c>
    </row>
    <row r="2970" spans="1:14">
      <c r="A2970" s="194">
        <v>41285.855104166665</v>
      </c>
      <c r="B2970" s="195">
        <v>2161</v>
      </c>
      <c r="C2970" s="194"/>
      <c r="D2970" s="194"/>
      <c r="E2970" s="196" t="s">
        <v>933</v>
      </c>
      <c r="F2970" s="195">
        <v>800</v>
      </c>
      <c r="G2970" s="197" t="s">
        <v>470</v>
      </c>
      <c r="H2970" s="197" t="s">
        <v>471</v>
      </c>
      <c r="J2970" s="195">
        <v>1</v>
      </c>
      <c r="K2970" s="204" t="s">
        <v>224</v>
      </c>
      <c r="L2970" s="199">
        <v>1</v>
      </c>
      <c r="M2970" s="200">
        <v>0.8</v>
      </c>
      <c r="N2970" s="201">
        <v>30</v>
      </c>
    </row>
    <row r="2971" spans="1:14">
      <c r="A2971" s="194">
        <v>41282.030416666668</v>
      </c>
      <c r="B2971" s="195">
        <v>2161</v>
      </c>
      <c r="C2971" s="194"/>
      <c r="D2971" s="194"/>
      <c r="E2971" s="196" t="s">
        <v>744</v>
      </c>
      <c r="F2971" s="195">
        <v>800</v>
      </c>
      <c r="G2971" s="197" t="s">
        <v>470</v>
      </c>
      <c r="H2971" s="197" t="s">
        <v>471</v>
      </c>
      <c r="J2971" s="195">
        <v>1</v>
      </c>
      <c r="K2971" s="204" t="s">
        <v>224</v>
      </c>
      <c r="L2971" s="199">
        <v>2</v>
      </c>
      <c r="M2971" s="200">
        <v>0.9</v>
      </c>
      <c r="N2971" s="201">
        <v>30</v>
      </c>
    </row>
    <row r="2972" spans="1:14">
      <c r="A2972" s="194">
        <v>41276.604745370372</v>
      </c>
      <c r="B2972" s="195">
        <v>2161</v>
      </c>
      <c r="C2972" s="194"/>
      <c r="D2972" s="194"/>
      <c r="E2972" s="196" t="s">
        <v>524</v>
      </c>
      <c r="F2972" s="195">
        <v>800</v>
      </c>
      <c r="G2972" s="197" t="s">
        <v>470</v>
      </c>
      <c r="H2972" s="197" t="s">
        <v>471</v>
      </c>
      <c r="J2972" s="195">
        <v>1</v>
      </c>
      <c r="K2972" s="204" t="s">
        <v>224</v>
      </c>
      <c r="L2972" s="199">
        <v>2</v>
      </c>
      <c r="M2972" s="200">
        <v>0.3</v>
      </c>
      <c r="N2972" s="201">
        <v>31</v>
      </c>
    </row>
    <row r="2973" spans="1:14">
      <c r="A2973" s="194">
        <v>41278.67386574074</v>
      </c>
      <c r="B2973" s="195">
        <v>2161</v>
      </c>
      <c r="C2973" s="194"/>
      <c r="D2973" s="194"/>
      <c r="E2973" s="196" t="s">
        <v>606</v>
      </c>
      <c r="F2973" s="195">
        <v>800</v>
      </c>
      <c r="G2973" s="197" t="s">
        <v>470</v>
      </c>
      <c r="H2973" s="197" t="s">
        <v>471</v>
      </c>
      <c r="J2973" s="195">
        <v>1</v>
      </c>
      <c r="K2973" s="204" t="s">
        <v>224</v>
      </c>
      <c r="L2973" s="199">
        <v>2</v>
      </c>
      <c r="M2973" s="200">
        <v>0.6</v>
      </c>
      <c r="N2973" s="201">
        <v>31</v>
      </c>
    </row>
    <row r="2974" spans="1:14">
      <c r="A2974" s="194">
        <v>41283.932349537034</v>
      </c>
      <c r="B2974" s="195">
        <v>2161</v>
      </c>
      <c r="C2974" s="194"/>
      <c r="D2974" s="194"/>
      <c r="E2974" s="196" t="s">
        <v>773</v>
      </c>
      <c r="F2974" s="195">
        <v>800</v>
      </c>
      <c r="G2974" s="197" t="s">
        <v>470</v>
      </c>
      <c r="H2974" s="197" t="s">
        <v>471</v>
      </c>
      <c r="J2974" s="195">
        <v>1</v>
      </c>
      <c r="K2974" s="204" t="s">
        <v>224</v>
      </c>
      <c r="L2974" s="199">
        <v>2</v>
      </c>
      <c r="M2974" s="200">
        <v>0.7</v>
      </c>
      <c r="N2974" s="201">
        <v>31</v>
      </c>
    </row>
    <row r="2975" spans="1:14">
      <c r="A2975" s="194">
        <v>41275.060868055552</v>
      </c>
      <c r="B2975" s="195">
        <v>2161</v>
      </c>
      <c r="C2975" s="194"/>
      <c r="D2975" s="194"/>
      <c r="E2975" s="196" t="s">
        <v>507</v>
      </c>
      <c r="F2975" s="195">
        <v>800</v>
      </c>
      <c r="G2975" s="197" t="s">
        <v>470</v>
      </c>
      <c r="H2975" s="197" t="s">
        <v>471</v>
      </c>
      <c r="J2975" s="195">
        <v>1</v>
      </c>
      <c r="K2975" s="204" t="s">
        <v>224</v>
      </c>
      <c r="L2975" s="199">
        <v>2</v>
      </c>
      <c r="M2975" s="200">
        <v>0.8</v>
      </c>
      <c r="N2975" s="201">
        <v>31</v>
      </c>
    </row>
    <row r="2976" spans="1:14">
      <c r="A2976" s="194">
        <v>41277.718657407408</v>
      </c>
      <c r="B2976" s="195">
        <v>2161</v>
      </c>
      <c r="C2976" s="194"/>
      <c r="D2976" s="194"/>
      <c r="E2976" s="196" t="s">
        <v>633</v>
      </c>
      <c r="F2976" s="195">
        <v>800</v>
      </c>
      <c r="G2976" s="197" t="s">
        <v>470</v>
      </c>
      <c r="H2976" s="197" t="s">
        <v>471</v>
      </c>
      <c r="J2976" s="195">
        <v>1</v>
      </c>
      <c r="K2976" s="204" t="s">
        <v>224</v>
      </c>
      <c r="L2976" s="199">
        <v>2</v>
      </c>
      <c r="M2976" s="200">
        <v>1.4</v>
      </c>
      <c r="N2976" s="201">
        <v>31</v>
      </c>
    </row>
    <row r="2977" spans="1:14">
      <c r="A2977" s="194">
        <v>41275.079965277779</v>
      </c>
      <c r="B2977" s="195">
        <v>2161</v>
      </c>
      <c r="C2977" s="194"/>
      <c r="D2977" s="194"/>
      <c r="E2977" s="196" t="s">
        <v>509</v>
      </c>
      <c r="F2977" s="195">
        <v>800</v>
      </c>
      <c r="G2977" s="197" t="s">
        <v>470</v>
      </c>
      <c r="H2977" s="197" t="s">
        <v>471</v>
      </c>
      <c r="J2977" s="195">
        <v>1</v>
      </c>
      <c r="K2977" s="204" t="s">
        <v>224</v>
      </c>
      <c r="L2977" s="199">
        <v>2</v>
      </c>
      <c r="M2977" s="200">
        <v>0.3</v>
      </c>
      <c r="N2977" s="201">
        <v>32</v>
      </c>
    </row>
    <row r="2978" spans="1:14">
      <c r="A2978" s="194">
        <v>41288.779039351852</v>
      </c>
      <c r="B2978" s="195">
        <v>2161</v>
      </c>
      <c r="C2978" s="194"/>
      <c r="D2978" s="194"/>
      <c r="E2978" s="196" t="s">
        <v>983</v>
      </c>
      <c r="F2978" s="195">
        <v>800</v>
      </c>
      <c r="G2978" s="197" t="s">
        <v>470</v>
      </c>
      <c r="H2978" s="197" t="s">
        <v>471</v>
      </c>
      <c r="J2978" s="195">
        <v>1</v>
      </c>
      <c r="K2978" s="204" t="s">
        <v>224</v>
      </c>
      <c r="L2978" s="199">
        <v>2</v>
      </c>
      <c r="M2978" s="200">
        <v>0.3</v>
      </c>
      <c r="N2978" s="201">
        <v>32</v>
      </c>
    </row>
    <row r="2979" spans="1:14">
      <c r="A2979" s="194">
        <v>41291.785254629627</v>
      </c>
      <c r="B2979" s="195">
        <v>2161</v>
      </c>
      <c r="C2979" s="194"/>
      <c r="D2979" s="194"/>
      <c r="E2979" s="196" t="s">
        <v>1124</v>
      </c>
      <c r="F2979" s="195">
        <v>800</v>
      </c>
      <c r="G2979" s="197" t="s">
        <v>470</v>
      </c>
      <c r="H2979" s="197" t="s">
        <v>471</v>
      </c>
      <c r="J2979" s="195">
        <v>1</v>
      </c>
      <c r="K2979" s="204" t="s">
        <v>224</v>
      </c>
      <c r="L2979" s="199">
        <v>2</v>
      </c>
      <c r="M2979" s="200">
        <v>0.4</v>
      </c>
      <c r="N2979" s="201">
        <v>32</v>
      </c>
    </row>
    <row r="2980" spans="1:14">
      <c r="A2980" s="194">
        <v>41298.849861111114</v>
      </c>
      <c r="B2980" s="195">
        <v>2161</v>
      </c>
      <c r="C2980" s="194"/>
      <c r="D2980" s="194"/>
      <c r="E2980" s="196" t="s">
        <v>1331</v>
      </c>
      <c r="F2980" s="195">
        <v>800</v>
      </c>
      <c r="G2980" s="197" t="s">
        <v>470</v>
      </c>
      <c r="H2980" s="197" t="s">
        <v>471</v>
      </c>
      <c r="J2980" s="195">
        <v>1</v>
      </c>
      <c r="K2980" s="204" t="s">
        <v>224</v>
      </c>
      <c r="L2980" s="199">
        <v>2</v>
      </c>
      <c r="M2980" s="200">
        <v>0.4</v>
      </c>
      <c r="N2980" s="201">
        <v>32</v>
      </c>
    </row>
    <row r="2981" spans="1:14">
      <c r="A2981" s="194">
        <v>41287.476678240739</v>
      </c>
      <c r="B2981" s="195">
        <v>2161</v>
      </c>
      <c r="C2981" s="194"/>
      <c r="D2981" s="194"/>
      <c r="E2981" s="196" t="s">
        <v>867</v>
      </c>
      <c r="F2981" s="195">
        <v>800</v>
      </c>
      <c r="G2981" s="197" t="s">
        <v>470</v>
      </c>
      <c r="H2981" s="197" t="s">
        <v>471</v>
      </c>
      <c r="J2981" s="195">
        <v>1</v>
      </c>
      <c r="K2981" s="204" t="s">
        <v>224</v>
      </c>
      <c r="L2981" s="199">
        <v>2</v>
      </c>
      <c r="M2981" s="200">
        <v>0.8</v>
      </c>
      <c r="N2981" s="201">
        <v>32</v>
      </c>
    </row>
    <row r="2982" spans="1:14">
      <c r="A2982" s="194">
        <v>41299.352453703701</v>
      </c>
      <c r="B2982" s="195">
        <v>2161</v>
      </c>
      <c r="C2982" s="194"/>
      <c r="D2982" s="194"/>
      <c r="E2982" s="196" t="s">
        <v>1406</v>
      </c>
      <c r="F2982" s="195">
        <v>800</v>
      </c>
      <c r="G2982" s="197" t="s">
        <v>470</v>
      </c>
      <c r="H2982" s="197" t="s">
        <v>471</v>
      </c>
      <c r="J2982" s="195">
        <v>1</v>
      </c>
      <c r="K2982" s="204" t="s">
        <v>224</v>
      </c>
      <c r="L2982" s="199">
        <v>2</v>
      </c>
      <c r="M2982" s="200">
        <v>1.3</v>
      </c>
      <c r="N2982" s="201">
        <v>32</v>
      </c>
    </row>
    <row r="2983" spans="1:14">
      <c r="A2983" s="194">
        <v>41281.326493055552</v>
      </c>
      <c r="B2983" s="195">
        <v>2161</v>
      </c>
      <c r="C2983" s="194"/>
      <c r="D2983" s="194"/>
      <c r="E2983" s="196" t="s">
        <v>717</v>
      </c>
      <c r="F2983" s="195">
        <v>800</v>
      </c>
      <c r="G2983" s="197" t="s">
        <v>470</v>
      </c>
      <c r="H2983" s="197" t="s">
        <v>471</v>
      </c>
      <c r="J2983" s="195">
        <v>1</v>
      </c>
      <c r="K2983" s="204" t="s">
        <v>224</v>
      </c>
      <c r="L2983" s="199">
        <v>2</v>
      </c>
      <c r="M2983" s="200">
        <v>0.5</v>
      </c>
      <c r="N2983" s="201">
        <v>33</v>
      </c>
    </row>
    <row r="2984" spans="1:14">
      <c r="A2984" s="194">
        <v>41290.623807870368</v>
      </c>
      <c r="B2984" s="195">
        <v>2161</v>
      </c>
      <c r="C2984" s="194"/>
      <c r="D2984" s="194"/>
      <c r="E2984" s="196" t="s">
        <v>1054</v>
      </c>
      <c r="F2984" s="195">
        <v>800</v>
      </c>
      <c r="G2984" s="197" t="s">
        <v>470</v>
      </c>
      <c r="H2984" s="197" t="s">
        <v>471</v>
      </c>
      <c r="J2984" s="195">
        <v>1</v>
      </c>
      <c r="K2984" s="204" t="s">
        <v>224</v>
      </c>
      <c r="L2984" s="199">
        <v>1</v>
      </c>
      <c r="M2984" s="200">
        <v>0.5</v>
      </c>
      <c r="N2984" s="201">
        <v>34</v>
      </c>
    </row>
    <row r="2985" spans="1:14">
      <c r="A2985" s="194">
        <v>41286.007847222223</v>
      </c>
      <c r="B2985" s="195">
        <v>2161</v>
      </c>
      <c r="C2985" s="194"/>
      <c r="D2985" s="194"/>
      <c r="E2985" s="196" t="s">
        <v>913</v>
      </c>
      <c r="F2985" s="195">
        <v>800</v>
      </c>
      <c r="G2985" s="197" t="s">
        <v>470</v>
      </c>
      <c r="H2985" s="197" t="s">
        <v>471</v>
      </c>
      <c r="J2985" s="195">
        <v>1</v>
      </c>
      <c r="K2985" s="204" t="s">
        <v>224</v>
      </c>
      <c r="L2985" s="199">
        <v>2</v>
      </c>
      <c r="M2985" s="200">
        <v>0.3</v>
      </c>
      <c r="N2985" s="201">
        <v>35</v>
      </c>
    </row>
    <row r="2986" spans="1:14">
      <c r="A2986" s="194">
        <v>41284.330659722225</v>
      </c>
      <c r="B2986" s="195">
        <v>2161</v>
      </c>
      <c r="C2986" s="194"/>
      <c r="D2986" s="194"/>
      <c r="E2986" s="196" t="s">
        <v>863</v>
      </c>
      <c r="F2986" s="195">
        <v>800</v>
      </c>
      <c r="G2986" s="197" t="s">
        <v>470</v>
      </c>
      <c r="H2986" s="197" t="s">
        <v>471</v>
      </c>
      <c r="J2986" s="195">
        <v>1</v>
      </c>
      <c r="K2986" s="204" t="s">
        <v>224</v>
      </c>
      <c r="L2986" s="199">
        <v>2</v>
      </c>
      <c r="M2986" s="200">
        <v>0.9</v>
      </c>
      <c r="N2986" s="201">
        <v>35</v>
      </c>
    </row>
    <row r="2987" spans="1:14">
      <c r="A2987" s="194">
        <v>41290.380613425928</v>
      </c>
      <c r="B2987" s="195">
        <v>2161</v>
      </c>
      <c r="C2987" s="194"/>
      <c r="D2987" s="194"/>
      <c r="E2987" s="196" t="s">
        <v>1052</v>
      </c>
      <c r="F2987" s="195">
        <v>800</v>
      </c>
      <c r="G2987" s="197" t="s">
        <v>470</v>
      </c>
      <c r="H2987" s="197" t="s">
        <v>471</v>
      </c>
      <c r="J2987" s="195">
        <v>1</v>
      </c>
      <c r="K2987" s="204" t="s">
        <v>224</v>
      </c>
      <c r="L2987" s="199">
        <v>1</v>
      </c>
      <c r="M2987" s="200">
        <v>0.9</v>
      </c>
      <c r="N2987" s="201">
        <v>35</v>
      </c>
    </row>
    <row r="2988" spans="1:14">
      <c r="A2988" s="194">
        <v>41281.79042824074</v>
      </c>
      <c r="B2988" s="195">
        <v>2161</v>
      </c>
      <c r="C2988" s="194"/>
      <c r="D2988" s="194"/>
      <c r="E2988" s="196" t="s">
        <v>718</v>
      </c>
      <c r="F2988" s="195">
        <v>800</v>
      </c>
      <c r="G2988" s="197" t="s">
        <v>470</v>
      </c>
      <c r="H2988" s="197" t="s">
        <v>471</v>
      </c>
      <c r="J2988" s="195">
        <v>1</v>
      </c>
      <c r="K2988" s="204" t="s">
        <v>224</v>
      </c>
      <c r="L2988" s="199">
        <v>2</v>
      </c>
      <c r="M2988" s="200">
        <v>0.3</v>
      </c>
      <c r="N2988" s="201">
        <v>36</v>
      </c>
    </row>
    <row r="2989" spans="1:14">
      <c r="A2989" s="194">
        <v>41284.37232638889</v>
      </c>
      <c r="B2989" s="195">
        <v>2161</v>
      </c>
      <c r="C2989" s="194"/>
      <c r="D2989" s="194"/>
      <c r="E2989" s="196" t="s">
        <v>864</v>
      </c>
      <c r="F2989" s="195">
        <v>800</v>
      </c>
      <c r="G2989" s="197" t="s">
        <v>470</v>
      </c>
      <c r="H2989" s="197" t="s">
        <v>471</v>
      </c>
      <c r="J2989" s="195">
        <v>1</v>
      </c>
      <c r="K2989" s="204" t="s">
        <v>224</v>
      </c>
      <c r="L2989" s="199">
        <v>1</v>
      </c>
      <c r="M2989" s="200">
        <v>0.7</v>
      </c>
      <c r="N2989" s="201">
        <v>36</v>
      </c>
    </row>
    <row r="2990" spans="1:14">
      <c r="A2990" s="194">
        <v>41278.199803240743</v>
      </c>
      <c r="B2990" s="195">
        <v>2161</v>
      </c>
      <c r="C2990" s="194"/>
      <c r="D2990" s="194"/>
      <c r="E2990" s="196" t="s">
        <v>602</v>
      </c>
      <c r="F2990" s="195">
        <v>800</v>
      </c>
      <c r="G2990" s="197" t="s">
        <v>470</v>
      </c>
      <c r="H2990" s="197" t="s">
        <v>471</v>
      </c>
      <c r="J2990" s="195">
        <v>1</v>
      </c>
      <c r="K2990" s="204" t="s">
        <v>224</v>
      </c>
      <c r="L2990" s="199">
        <v>2</v>
      </c>
      <c r="M2990" s="200">
        <v>0.4</v>
      </c>
      <c r="N2990" s="201">
        <v>39</v>
      </c>
    </row>
    <row r="2991" spans="1:14">
      <c r="A2991" s="194">
        <v>41296.949675925927</v>
      </c>
      <c r="B2991" s="195">
        <v>2161</v>
      </c>
      <c r="C2991" s="194"/>
      <c r="D2991" s="194"/>
      <c r="E2991" s="198"/>
      <c r="G2991" s="202"/>
      <c r="J2991" s="195">
        <v>2</v>
      </c>
      <c r="K2991" s="204" t="s">
        <v>32</v>
      </c>
      <c r="L2991" s="199">
        <v>3</v>
      </c>
      <c r="M2991" s="200">
        <v>0.5</v>
      </c>
      <c r="N2991" s="201">
        <v>17</v>
      </c>
    </row>
    <row r="2992" spans="1:14">
      <c r="A2992" s="194">
        <v>41283.743576388886</v>
      </c>
      <c r="B2992" s="195">
        <v>2161</v>
      </c>
      <c r="C2992" s="194"/>
      <c r="D2992" s="194"/>
      <c r="E2992" s="198"/>
      <c r="G2992" s="202"/>
      <c r="J2992" s="195">
        <v>2</v>
      </c>
      <c r="K2992" s="204" t="s">
        <v>32</v>
      </c>
      <c r="L2992" s="199">
        <v>1</v>
      </c>
      <c r="M2992" s="200">
        <v>0.3</v>
      </c>
      <c r="N2992" s="201">
        <v>18</v>
      </c>
    </row>
    <row r="2993" spans="1:14">
      <c r="A2993" s="194">
        <v>41300.854224537034</v>
      </c>
      <c r="B2993" s="195">
        <v>2161</v>
      </c>
      <c r="C2993" s="194"/>
      <c r="D2993" s="194"/>
      <c r="E2993" s="198"/>
      <c r="G2993" s="202"/>
      <c r="J2993" s="195">
        <v>2</v>
      </c>
      <c r="K2993" s="204" t="s">
        <v>32</v>
      </c>
      <c r="L2993" s="199">
        <v>3</v>
      </c>
      <c r="M2993" s="200">
        <v>0.4</v>
      </c>
      <c r="N2993" s="201">
        <v>18</v>
      </c>
    </row>
    <row r="2994" spans="1:14">
      <c r="A2994" s="194">
        <v>41286.71020833333</v>
      </c>
      <c r="B2994" s="195">
        <v>2161</v>
      </c>
      <c r="C2994" s="194"/>
      <c r="D2994" s="194"/>
      <c r="E2994" s="198"/>
      <c r="G2994" s="202"/>
      <c r="J2994" s="195">
        <v>2</v>
      </c>
      <c r="K2994" s="204" t="s">
        <v>32</v>
      </c>
      <c r="L2994" s="199">
        <v>3</v>
      </c>
      <c r="M2994" s="200">
        <v>0.5</v>
      </c>
      <c r="N2994" s="201">
        <v>21</v>
      </c>
    </row>
    <row r="2995" spans="1:14">
      <c r="A2995" s="194">
        <v>41290.842986111114</v>
      </c>
      <c r="B2995" s="195">
        <v>2161</v>
      </c>
      <c r="C2995" s="194"/>
      <c r="D2995" s="194"/>
      <c r="E2995" s="198"/>
      <c r="G2995" s="202"/>
      <c r="J2995" s="195">
        <v>2</v>
      </c>
      <c r="K2995" s="204" t="s">
        <v>32</v>
      </c>
      <c r="L2995" s="199">
        <v>3</v>
      </c>
      <c r="M2995" s="200">
        <v>0.8</v>
      </c>
      <c r="N2995" s="201">
        <v>22</v>
      </c>
    </row>
    <row r="2996" spans="1:14">
      <c r="A2996" s="194">
        <v>41286.518321759257</v>
      </c>
      <c r="B2996" s="195">
        <v>2161</v>
      </c>
      <c r="C2996" s="194"/>
      <c r="D2996" s="194"/>
      <c r="E2996" s="198"/>
      <c r="G2996" s="202"/>
      <c r="J2996" s="195">
        <v>2</v>
      </c>
      <c r="K2996" s="204" t="s">
        <v>32</v>
      </c>
      <c r="L2996" s="199">
        <v>2</v>
      </c>
      <c r="M2996" s="200">
        <v>1</v>
      </c>
      <c r="N2996" s="201">
        <v>23</v>
      </c>
    </row>
    <row r="2997" spans="1:14">
      <c r="A2997" s="194">
        <v>41278.49150462963</v>
      </c>
      <c r="B2997" s="195">
        <v>2161</v>
      </c>
      <c r="C2997" s="194"/>
      <c r="D2997" s="194"/>
      <c r="E2997" s="198"/>
      <c r="G2997" s="202"/>
      <c r="J2997" s="195">
        <v>2</v>
      </c>
      <c r="K2997" s="204" t="s">
        <v>32</v>
      </c>
      <c r="L2997" s="199">
        <v>2</v>
      </c>
      <c r="M2997" s="200">
        <v>0.4</v>
      </c>
      <c r="N2997" s="201">
        <v>24</v>
      </c>
    </row>
    <row r="2998" spans="1:14">
      <c r="A2998" s="194">
        <v>41285.932372685187</v>
      </c>
      <c r="B2998" s="195">
        <v>2161</v>
      </c>
      <c r="C2998" s="194"/>
      <c r="D2998" s="194"/>
      <c r="E2998" s="198"/>
      <c r="G2998" s="202"/>
      <c r="J2998" s="195">
        <v>2</v>
      </c>
      <c r="K2998" s="204" t="s">
        <v>32</v>
      </c>
      <c r="L2998" s="199">
        <v>2</v>
      </c>
      <c r="M2998" s="200">
        <v>2.5</v>
      </c>
      <c r="N2998" s="201">
        <v>24</v>
      </c>
    </row>
    <row r="2999" spans="1:14">
      <c r="A2999" s="194">
        <v>41300.81690972222</v>
      </c>
      <c r="B2999" s="195">
        <v>2161</v>
      </c>
      <c r="C2999" s="194"/>
      <c r="D2999" s="194"/>
      <c r="E2999" s="198"/>
      <c r="G2999" s="202"/>
      <c r="J2999" s="195">
        <v>2</v>
      </c>
      <c r="K2999" s="204" t="s">
        <v>32</v>
      </c>
      <c r="L2999" s="199">
        <v>1</v>
      </c>
      <c r="M2999" s="200">
        <v>0.3</v>
      </c>
      <c r="N2999" s="201">
        <v>26</v>
      </c>
    </row>
    <row r="3000" spans="1:14">
      <c r="A3000" s="194">
        <v>41290.507060185184</v>
      </c>
      <c r="B3000" s="195">
        <v>2161</v>
      </c>
      <c r="C3000" s="194"/>
      <c r="D3000" s="194"/>
      <c r="E3000" s="198"/>
      <c r="G3000" s="202"/>
      <c r="J3000" s="195">
        <v>2</v>
      </c>
      <c r="K3000" s="204" t="s">
        <v>32</v>
      </c>
      <c r="L3000" s="199">
        <v>1</v>
      </c>
      <c r="M3000" s="200">
        <v>0.3</v>
      </c>
      <c r="N3000" s="201">
        <v>26</v>
      </c>
    </row>
    <row r="3001" spans="1:14">
      <c r="A3001" s="194">
        <v>41278.661365740743</v>
      </c>
      <c r="B3001" s="195">
        <v>2161</v>
      </c>
      <c r="C3001" s="194"/>
      <c r="D3001" s="194"/>
      <c r="E3001" s="198"/>
      <c r="G3001" s="202"/>
      <c r="J3001" s="195">
        <v>2</v>
      </c>
      <c r="K3001" s="204" t="s">
        <v>32</v>
      </c>
      <c r="L3001" s="199">
        <v>1</v>
      </c>
      <c r="M3001" s="200">
        <v>0.6</v>
      </c>
      <c r="N3001" s="201">
        <v>26</v>
      </c>
    </row>
    <row r="3002" spans="1:14">
      <c r="A3002" s="194">
        <v>41283.500972222224</v>
      </c>
      <c r="B3002" s="195">
        <v>2161</v>
      </c>
      <c r="C3002" s="194"/>
      <c r="D3002" s="194"/>
      <c r="E3002" s="198"/>
      <c r="G3002" s="202"/>
      <c r="J3002" s="195">
        <v>2</v>
      </c>
      <c r="K3002" s="204" t="s">
        <v>32</v>
      </c>
      <c r="L3002" s="199">
        <v>1</v>
      </c>
      <c r="M3002" s="200">
        <v>0.4</v>
      </c>
      <c r="N3002" s="201">
        <v>29</v>
      </c>
    </row>
    <row r="3003" spans="1:14">
      <c r="A3003" s="194">
        <v>41279.717187499999</v>
      </c>
      <c r="B3003" s="195">
        <v>2161</v>
      </c>
      <c r="C3003" s="194"/>
      <c r="D3003" s="194"/>
      <c r="E3003" s="198"/>
      <c r="G3003" s="202"/>
      <c r="J3003" s="195">
        <v>2</v>
      </c>
      <c r="K3003" s="204" t="s">
        <v>32</v>
      </c>
      <c r="L3003" s="199">
        <v>1</v>
      </c>
      <c r="M3003" s="200">
        <v>0.4</v>
      </c>
      <c r="N3003" s="201">
        <v>29</v>
      </c>
    </row>
    <row r="3004" spans="1:14">
      <c r="A3004" s="194">
        <v>41301.592962962961</v>
      </c>
      <c r="B3004" s="195">
        <v>2161</v>
      </c>
      <c r="C3004" s="194"/>
      <c r="D3004" s="194"/>
      <c r="E3004" s="198"/>
      <c r="G3004" s="202"/>
      <c r="J3004" s="195">
        <v>2</v>
      </c>
      <c r="K3004" s="204" t="s">
        <v>32</v>
      </c>
      <c r="L3004" s="199">
        <v>2</v>
      </c>
      <c r="M3004" s="200">
        <v>0.6</v>
      </c>
      <c r="N3004" s="201">
        <v>29</v>
      </c>
    </row>
    <row r="3005" spans="1:14">
      <c r="A3005" s="194">
        <v>41289.394189814811</v>
      </c>
      <c r="B3005" s="195">
        <v>2161</v>
      </c>
      <c r="C3005" s="194"/>
      <c r="D3005" s="194"/>
      <c r="E3005" s="198"/>
      <c r="G3005" s="202"/>
      <c r="J3005" s="195">
        <v>2</v>
      </c>
      <c r="K3005" s="204" t="s">
        <v>32</v>
      </c>
      <c r="L3005" s="199">
        <v>1</v>
      </c>
      <c r="M3005" s="200">
        <v>0.9</v>
      </c>
      <c r="N3005" s="201">
        <v>29</v>
      </c>
    </row>
    <row r="3006" spans="1:14">
      <c r="A3006" s="194">
        <v>41286.051261574074</v>
      </c>
      <c r="B3006" s="195">
        <v>2161</v>
      </c>
      <c r="C3006" s="194"/>
      <c r="D3006" s="194"/>
      <c r="E3006" s="198"/>
      <c r="G3006" s="202"/>
      <c r="J3006" s="195">
        <v>2</v>
      </c>
      <c r="K3006" s="204" t="s">
        <v>32</v>
      </c>
      <c r="L3006" s="199">
        <v>3</v>
      </c>
      <c r="M3006" s="200">
        <v>1</v>
      </c>
      <c r="N3006" s="201">
        <v>29</v>
      </c>
    </row>
    <row r="3007" spans="1:14">
      <c r="A3007" s="194">
        <v>41305.631030092591</v>
      </c>
      <c r="B3007" s="195">
        <v>2161</v>
      </c>
      <c r="C3007" s="194"/>
      <c r="D3007" s="194"/>
      <c r="E3007" s="198"/>
      <c r="G3007" s="202"/>
      <c r="J3007" s="195">
        <v>2</v>
      </c>
      <c r="K3007" s="204" t="s">
        <v>32</v>
      </c>
      <c r="L3007" s="199">
        <v>1</v>
      </c>
      <c r="M3007" s="200">
        <v>0.3</v>
      </c>
      <c r="N3007" s="201">
        <v>30</v>
      </c>
    </row>
    <row r="3008" spans="1:14">
      <c r="A3008" s="194">
        <v>41292.507048611114</v>
      </c>
      <c r="B3008" s="195">
        <v>2161</v>
      </c>
      <c r="C3008" s="194"/>
      <c r="D3008" s="194"/>
      <c r="E3008" s="198"/>
      <c r="G3008" s="202"/>
      <c r="J3008" s="195">
        <v>2</v>
      </c>
      <c r="K3008" s="204" t="s">
        <v>32</v>
      </c>
      <c r="L3008" s="199">
        <v>1</v>
      </c>
      <c r="M3008" s="200">
        <v>0.7</v>
      </c>
      <c r="N3008" s="201">
        <v>30</v>
      </c>
    </row>
    <row r="3009" spans="1:14">
      <c r="A3009" s="194">
        <v>41291.99486111111</v>
      </c>
      <c r="B3009" s="195">
        <v>2161</v>
      </c>
      <c r="C3009" s="194"/>
      <c r="D3009" s="194"/>
      <c r="E3009" s="198"/>
      <c r="G3009" s="202"/>
      <c r="J3009" s="195">
        <v>2</v>
      </c>
      <c r="K3009" s="204" t="s">
        <v>32</v>
      </c>
      <c r="L3009" s="199">
        <v>2</v>
      </c>
      <c r="M3009" s="200">
        <v>0.6</v>
      </c>
      <c r="N3009" s="201">
        <v>31</v>
      </c>
    </row>
    <row r="3010" spans="1:14">
      <c r="A3010" s="194">
        <v>41276.571296296293</v>
      </c>
      <c r="B3010" s="195">
        <v>2161</v>
      </c>
      <c r="C3010" s="194"/>
      <c r="D3010" s="194"/>
      <c r="E3010" s="198"/>
      <c r="G3010" s="202"/>
      <c r="J3010" s="195">
        <v>2</v>
      </c>
      <c r="K3010" s="204" t="s">
        <v>32</v>
      </c>
      <c r="L3010" s="199">
        <v>2</v>
      </c>
      <c r="M3010" s="200">
        <v>0.3</v>
      </c>
      <c r="N3010" s="201">
        <v>33</v>
      </c>
    </row>
    <row r="3011" spans="1:14">
      <c r="A3011" s="194">
        <v>41275.142465277779</v>
      </c>
      <c r="B3011" s="195">
        <v>2161</v>
      </c>
      <c r="C3011" s="194"/>
      <c r="D3011" s="194"/>
      <c r="E3011" s="198"/>
      <c r="G3011" s="202"/>
      <c r="J3011" s="195">
        <v>2</v>
      </c>
      <c r="K3011" s="204" t="s">
        <v>32</v>
      </c>
      <c r="L3011" s="199">
        <v>2</v>
      </c>
      <c r="M3011" s="200">
        <v>0.5</v>
      </c>
      <c r="N3011" s="201">
        <v>33</v>
      </c>
    </row>
    <row r="3012" spans="1:14">
      <c r="A3012" s="194">
        <v>41284.411909722221</v>
      </c>
      <c r="B3012" s="195">
        <v>2161</v>
      </c>
      <c r="C3012" s="194"/>
      <c r="D3012" s="194"/>
      <c r="E3012" s="198"/>
      <c r="G3012" s="202"/>
      <c r="J3012" s="195">
        <v>2</v>
      </c>
      <c r="K3012" s="204" t="s">
        <v>32</v>
      </c>
      <c r="L3012" s="199">
        <v>1</v>
      </c>
      <c r="M3012" s="200">
        <v>0.5</v>
      </c>
      <c r="N3012" s="201">
        <v>34</v>
      </c>
    </row>
    <row r="3013" spans="1:14">
      <c r="A3013" s="194">
        <v>41276.018553240741</v>
      </c>
      <c r="B3013" s="195">
        <v>2161</v>
      </c>
      <c r="C3013" s="194"/>
      <c r="D3013" s="194"/>
      <c r="E3013" s="198"/>
      <c r="G3013" s="202"/>
      <c r="J3013" s="195">
        <v>2</v>
      </c>
      <c r="K3013" s="204" t="s">
        <v>32</v>
      </c>
      <c r="L3013" s="199">
        <v>2</v>
      </c>
      <c r="M3013" s="200">
        <v>14.6</v>
      </c>
      <c r="N3013" s="201">
        <v>34</v>
      </c>
    </row>
    <row r="3014" spans="1:14">
      <c r="A3014" s="194">
        <v>41305.594664351855</v>
      </c>
      <c r="B3014" s="195">
        <v>2161</v>
      </c>
      <c r="C3014" s="194"/>
      <c r="D3014" s="194"/>
      <c r="E3014" s="198"/>
      <c r="G3014" s="202"/>
      <c r="J3014" s="195">
        <v>3</v>
      </c>
      <c r="K3014" s="204" t="s">
        <v>1595</v>
      </c>
      <c r="L3014" s="199">
        <v>1</v>
      </c>
      <c r="M3014" s="200">
        <v>0.6</v>
      </c>
      <c r="N3014" s="201">
        <v>21</v>
      </c>
    </row>
    <row r="3015" spans="1:14">
      <c r="A3015" s="194">
        <v>41298.99046296296</v>
      </c>
      <c r="B3015" s="195">
        <v>2161</v>
      </c>
      <c r="C3015" s="194"/>
      <c r="D3015" s="194"/>
      <c r="E3015" s="198"/>
      <c r="G3015" s="202"/>
      <c r="J3015" s="195">
        <v>3</v>
      </c>
      <c r="K3015" s="204" t="s">
        <v>1595</v>
      </c>
      <c r="L3015" s="199">
        <v>2</v>
      </c>
      <c r="M3015" s="200">
        <v>0.4</v>
      </c>
      <c r="N3015" s="201">
        <v>23</v>
      </c>
    </row>
    <row r="3016" spans="1:14">
      <c r="A3016" s="194">
        <v>41281.581689814811</v>
      </c>
      <c r="B3016" s="195">
        <v>2161</v>
      </c>
      <c r="C3016" s="194"/>
      <c r="D3016" s="194"/>
      <c r="E3016" s="198"/>
      <c r="G3016" s="202"/>
      <c r="J3016" s="195">
        <v>3</v>
      </c>
      <c r="K3016" s="204" t="s">
        <v>1595</v>
      </c>
      <c r="L3016" s="199">
        <v>2</v>
      </c>
      <c r="M3016" s="200">
        <v>1.1000000000000001</v>
      </c>
      <c r="N3016" s="201">
        <v>25</v>
      </c>
    </row>
    <row r="3017" spans="1:14">
      <c r="A3017" s="194">
        <v>41282.026064814818</v>
      </c>
      <c r="B3017" s="195">
        <v>2161</v>
      </c>
      <c r="C3017" s="194"/>
      <c r="D3017" s="194"/>
      <c r="E3017" s="198"/>
      <c r="G3017" s="202"/>
      <c r="J3017" s="195">
        <v>3</v>
      </c>
      <c r="K3017" s="204" t="s">
        <v>1595</v>
      </c>
      <c r="L3017" s="199">
        <v>2</v>
      </c>
      <c r="M3017" s="200">
        <v>0.6</v>
      </c>
      <c r="N3017" s="201">
        <v>26</v>
      </c>
    </row>
    <row r="3018" spans="1:14">
      <c r="A3018" s="194">
        <v>41286.388148148151</v>
      </c>
      <c r="B3018" s="195">
        <v>2161</v>
      </c>
      <c r="C3018" s="194"/>
      <c r="D3018" s="194"/>
      <c r="E3018" s="198"/>
      <c r="G3018" s="202"/>
      <c r="J3018" s="195">
        <v>3</v>
      </c>
      <c r="K3018" s="204" t="s">
        <v>1595</v>
      </c>
      <c r="L3018" s="199">
        <v>2</v>
      </c>
      <c r="M3018" s="200">
        <v>1.3</v>
      </c>
      <c r="N3018" s="201">
        <v>26</v>
      </c>
    </row>
    <row r="3019" spans="1:14">
      <c r="A3019" s="194">
        <v>41282.87945601852</v>
      </c>
      <c r="B3019" s="195">
        <v>2161</v>
      </c>
      <c r="C3019" s="194"/>
      <c r="D3019" s="194"/>
      <c r="E3019" s="198"/>
      <c r="G3019" s="202"/>
      <c r="J3019" s="195">
        <v>3</v>
      </c>
      <c r="K3019" s="204" t="s">
        <v>1595</v>
      </c>
      <c r="L3019" s="199">
        <v>2</v>
      </c>
      <c r="M3019" s="200">
        <v>0.4</v>
      </c>
      <c r="N3019" s="201">
        <v>27</v>
      </c>
    </row>
    <row r="3020" spans="1:14">
      <c r="A3020" s="194">
        <v>41283.960127314815</v>
      </c>
      <c r="B3020" s="195">
        <v>2161</v>
      </c>
      <c r="C3020" s="194"/>
      <c r="D3020" s="194"/>
      <c r="E3020" s="198"/>
      <c r="G3020" s="202"/>
      <c r="J3020" s="195">
        <v>3</v>
      </c>
      <c r="K3020" s="204" t="s">
        <v>1595</v>
      </c>
      <c r="L3020" s="199">
        <v>1</v>
      </c>
      <c r="M3020" s="200">
        <v>1</v>
      </c>
      <c r="N3020" s="201">
        <v>27</v>
      </c>
    </row>
    <row r="3021" spans="1:14">
      <c r="A3021" s="194">
        <v>41288.502754629626</v>
      </c>
      <c r="B3021" s="195">
        <v>2161</v>
      </c>
      <c r="C3021" s="194"/>
      <c r="D3021" s="194"/>
      <c r="E3021" s="198"/>
      <c r="G3021" s="202"/>
      <c r="J3021" s="195">
        <v>3</v>
      </c>
      <c r="K3021" s="204" t="s">
        <v>1595</v>
      </c>
      <c r="L3021" s="199">
        <v>1</v>
      </c>
      <c r="M3021" s="200">
        <v>0.7</v>
      </c>
      <c r="N3021" s="201">
        <v>28</v>
      </c>
    </row>
    <row r="3022" spans="1:14">
      <c r="A3022" s="194">
        <v>41288.552210648151</v>
      </c>
      <c r="B3022" s="195">
        <v>2161</v>
      </c>
      <c r="C3022" s="194"/>
      <c r="D3022" s="194"/>
      <c r="E3022" s="198"/>
      <c r="G3022" s="202"/>
      <c r="J3022" s="195">
        <v>3</v>
      </c>
      <c r="K3022" s="204" t="s">
        <v>1595</v>
      </c>
      <c r="L3022" s="199">
        <v>2</v>
      </c>
      <c r="M3022" s="200">
        <v>0.4</v>
      </c>
      <c r="N3022" s="201">
        <v>30</v>
      </c>
    </row>
    <row r="3023" spans="1:14">
      <c r="A3023" s="194">
        <v>41280.645972222221</v>
      </c>
      <c r="B3023" s="195">
        <v>2161</v>
      </c>
      <c r="C3023" s="194"/>
      <c r="D3023" s="194"/>
      <c r="E3023" s="196" t="s">
        <v>1672</v>
      </c>
      <c r="G3023" s="202"/>
      <c r="J3023" s="195">
        <v>7</v>
      </c>
      <c r="K3023" s="204" t="s">
        <v>30</v>
      </c>
      <c r="L3023" s="199">
        <v>2</v>
      </c>
      <c r="M3023" s="200">
        <v>0.3</v>
      </c>
      <c r="N3023" s="201">
        <v>22</v>
      </c>
    </row>
    <row r="3024" spans="1:14">
      <c r="A3024" s="194">
        <v>41297.439305555556</v>
      </c>
      <c r="B3024" s="195">
        <v>2161</v>
      </c>
      <c r="C3024" s="194"/>
      <c r="D3024" s="194"/>
      <c r="E3024" s="198"/>
      <c r="G3024" s="202"/>
      <c r="J3024" s="195">
        <v>7</v>
      </c>
      <c r="K3024" s="204" t="s">
        <v>30</v>
      </c>
      <c r="L3024" s="199">
        <v>1</v>
      </c>
      <c r="M3024" s="200">
        <v>0.3</v>
      </c>
      <c r="N3024" s="201">
        <v>25</v>
      </c>
    </row>
    <row r="3025" spans="1:14">
      <c r="A3025" s="194">
        <v>41298.586851851855</v>
      </c>
      <c r="B3025" s="195">
        <v>2161</v>
      </c>
      <c r="C3025" s="194"/>
      <c r="D3025" s="194"/>
      <c r="E3025" s="198"/>
      <c r="G3025" s="202"/>
      <c r="J3025" s="195">
        <v>10</v>
      </c>
      <c r="K3025" s="204" t="s">
        <v>31</v>
      </c>
      <c r="L3025" s="199">
        <v>3</v>
      </c>
      <c r="M3025" s="200">
        <v>0.3</v>
      </c>
      <c r="N3025" s="201">
        <v>15</v>
      </c>
    </row>
    <row r="3026" spans="1:14">
      <c r="A3026" s="194">
        <v>41299.468819444446</v>
      </c>
      <c r="B3026" s="195">
        <v>2161</v>
      </c>
      <c r="C3026" s="194"/>
      <c r="D3026" s="194"/>
      <c r="E3026" s="198"/>
      <c r="G3026" s="202"/>
      <c r="J3026" s="195">
        <v>10</v>
      </c>
      <c r="K3026" s="204" t="s">
        <v>31</v>
      </c>
      <c r="L3026" s="199">
        <v>3</v>
      </c>
      <c r="M3026" s="200">
        <v>0.5</v>
      </c>
      <c r="N3026" s="201">
        <v>16</v>
      </c>
    </row>
    <row r="3027" spans="1:14">
      <c r="A3027" s="194">
        <v>41275.549641203703</v>
      </c>
      <c r="B3027" s="195">
        <v>2161</v>
      </c>
      <c r="C3027" s="194"/>
      <c r="D3027" s="194"/>
      <c r="E3027" s="198"/>
      <c r="G3027" s="202"/>
      <c r="J3027" s="195">
        <v>10</v>
      </c>
      <c r="K3027" s="204" t="s">
        <v>31</v>
      </c>
      <c r="L3027" s="199">
        <v>3</v>
      </c>
      <c r="M3027" s="200">
        <v>0.6</v>
      </c>
      <c r="N3027" s="201">
        <v>17</v>
      </c>
    </row>
    <row r="3028" spans="1:14">
      <c r="A3028" s="194">
        <v>41290.504467592589</v>
      </c>
      <c r="B3028" s="195">
        <v>2161</v>
      </c>
      <c r="C3028" s="194"/>
      <c r="D3028" s="194"/>
      <c r="E3028" s="198"/>
      <c r="G3028" s="202"/>
      <c r="J3028" s="195">
        <v>10</v>
      </c>
      <c r="K3028" s="204" t="s">
        <v>31</v>
      </c>
      <c r="L3028" s="199">
        <v>3</v>
      </c>
      <c r="M3028" s="200">
        <v>1.7</v>
      </c>
      <c r="N3028" s="201">
        <v>17</v>
      </c>
    </row>
    <row r="3029" spans="1:14">
      <c r="A3029" s="194">
        <v>41298.546064814815</v>
      </c>
      <c r="B3029" s="195">
        <v>2161</v>
      </c>
      <c r="C3029" s="194"/>
      <c r="D3029" s="194"/>
      <c r="E3029" s="198"/>
      <c r="G3029" s="202"/>
      <c r="J3029" s="195">
        <v>10</v>
      </c>
      <c r="K3029" s="204" t="s">
        <v>31</v>
      </c>
      <c r="L3029" s="199">
        <v>1</v>
      </c>
      <c r="M3029" s="200">
        <v>0.3</v>
      </c>
      <c r="N3029" s="201">
        <v>20</v>
      </c>
    </row>
    <row r="3030" spans="1:14">
      <c r="A3030" s="194">
        <v>41285.445428240739</v>
      </c>
      <c r="B3030" s="195">
        <v>2161</v>
      </c>
      <c r="C3030" s="194"/>
      <c r="D3030" s="194"/>
      <c r="E3030" s="198"/>
      <c r="G3030" s="202"/>
      <c r="J3030" s="195">
        <v>10</v>
      </c>
      <c r="K3030" s="204" t="s">
        <v>31</v>
      </c>
      <c r="L3030" s="199">
        <v>1</v>
      </c>
      <c r="M3030" s="200">
        <v>2.2999999999999998</v>
      </c>
      <c r="N3030" s="201">
        <v>22</v>
      </c>
    </row>
    <row r="3031" spans="1:14">
      <c r="A3031" s="194">
        <v>41276.518379629626</v>
      </c>
      <c r="B3031" s="195">
        <v>2161</v>
      </c>
      <c r="C3031" s="194"/>
      <c r="D3031" s="194"/>
      <c r="E3031" s="196" t="s">
        <v>1687</v>
      </c>
      <c r="G3031" s="202"/>
      <c r="J3031" s="195">
        <v>10</v>
      </c>
      <c r="K3031" s="204" t="s">
        <v>31</v>
      </c>
      <c r="L3031" s="199">
        <v>1</v>
      </c>
      <c r="M3031" s="200">
        <v>1.1000000000000001</v>
      </c>
      <c r="N3031" s="201">
        <v>23</v>
      </c>
    </row>
    <row r="3032" spans="1:14">
      <c r="A3032" s="194">
        <v>41277.545243055552</v>
      </c>
      <c r="B3032" s="195">
        <v>2161</v>
      </c>
      <c r="C3032" s="194"/>
      <c r="D3032" s="194"/>
      <c r="E3032" s="198"/>
      <c r="G3032" s="202"/>
      <c r="J3032" s="195">
        <v>10</v>
      </c>
      <c r="K3032" s="204" t="s">
        <v>31</v>
      </c>
      <c r="L3032" s="199">
        <v>1</v>
      </c>
      <c r="M3032" s="200">
        <v>0.3</v>
      </c>
      <c r="N3032" s="201">
        <v>24</v>
      </c>
    </row>
    <row r="3033" spans="1:14">
      <c r="A3033" s="194">
        <v>41291.561747685184</v>
      </c>
      <c r="B3033" s="195">
        <v>2161</v>
      </c>
      <c r="C3033" s="194"/>
      <c r="D3033" s="194"/>
      <c r="E3033" s="198"/>
      <c r="G3033" s="202"/>
      <c r="J3033" s="195">
        <v>10</v>
      </c>
      <c r="K3033" s="204" t="s">
        <v>31</v>
      </c>
      <c r="L3033" s="199">
        <v>1</v>
      </c>
      <c r="M3033" s="200">
        <v>0.9</v>
      </c>
      <c r="N3033" s="201">
        <v>24</v>
      </c>
    </row>
    <row r="3034" spans="1:14">
      <c r="A3034" s="194">
        <v>41301.566041666665</v>
      </c>
      <c r="B3034" s="195">
        <v>2161</v>
      </c>
      <c r="C3034" s="194"/>
      <c r="D3034" s="194"/>
      <c r="E3034" s="198"/>
      <c r="G3034" s="202"/>
      <c r="J3034" s="195">
        <v>10</v>
      </c>
      <c r="K3034" s="204" t="s">
        <v>31</v>
      </c>
      <c r="L3034" s="199">
        <v>1</v>
      </c>
      <c r="M3034" s="200">
        <v>0.6</v>
      </c>
      <c r="N3034" s="201">
        <v>26</v>
      </c>
    </row>
    <row r="3035" spans="1:14">
      <c r="A3035" s="194">
        <v>41285.53738425926</v>
      </c>
      <c r="B3035" s="195">
        <v>2161</v>
      </c>
      <c r="C3035" s="194"/>
      <c r="D3035" s="194"/>
      <c r="E3035" s="198"/>
      <c r="G3035" s="202"/>
      <c r="J3035" s="195">
        <v>10</v>
      </c>
      <c r="K3035" s="204" t="s">
        <v>31</v>
      </c>
      <c r="L3035" s="199">
        <v>2</v>
      </c>
      <c r="M3035" s="200">
        <v>0.3</v>
      </c>
      <c r="N3035" s="201">
        <v>27</v>
      </c>
    </row>
    <row r="3036" spans="1:14">
      <c r="A3036" s="194">
        <v>41275.522731481484</v>
      </c>
      <c r="B3036" s="195">
        <v>2161</v>
      </c>
      <c r="C3036" s="194"/>
      <c r="D3036" s="194"/>
      <c r="E3036" s="198"/>
      <c r="G3036" s="202"/>
      <c r="J3036" s="195">
        <v>10</v>
      </c>
      <c r="K3036" s="204" t="s">
        <v>31</v>
      </c>
      <c r="L3036" s="199">
        <v>1</v>
      </c>
      <c r="M3036" s="200">
        <v>0.8</v>
      </c>
      <c r="N3036" s="201">
        <v>27</v>
      </c>
    </row>
    <row r="3037" spans="1:14">
      <c r="A3037" s="194">
        <v>41285.595555555556</v>
      </c>
      <c r="B3037" s="195">
        <v>2161</v>
      </c>
      <c r="C3037" s="194"/>
      <c r="D3037" s="194"/>
      <c r="E3037" s="198"/>
      <c r="G3037" s="202"/>
      <c r="J3037" s="195">
        <v>10</v>
      </c>
      <c r="K3037" s="204" t="s">
        <v>31</v>
      </c>
      <c r="L3037" s="199">
        <v>2</v>
      </c>
      <c r="M3037" s="200">
        <v>0.3</v>
      </c>
      <c r="N3037" s="201">
        <v>28</v>
      </c>
    </row>
    <row r="3038" spans="1:14">
      <c r="A3038" s="194">
        <v>41275.558321759258</v>
      </c>
      <c r="B3038" s="195">
        <v>2161</v>
      </c>
      <c r="C3038" s="194"/>
      <c r="D3038" s="194"/>
      <c r="E3038" s="196" t="s">
        <v>1920</v>
      </c>
      <c r="G3038" s="202"/>
      <c r="J3038" s="195">
        <v>10</v>
      </c>
      <c r="K3038" s="204" t="s">
        <v>31</v>
      </c>
      <c r="L3038" s="199">
        <v>2</v>
      </c>
      <c r="M3038" s="200">
        <v>0.5</v>
      </c>
      <c r="N3038" s="201">
        <v>29</v>
      </c>
    </row>
    <row r="3039" spans="1:14">
      <c r="A3039" s="194">
        <v>41287.522662037038</v>
      </c>
      <c r="B3039" s="195">
        <v>2161</v>
      </c>
      <c r="C3039" s="194"/>
      <c r="D3039" s="194"/>
      <c r="E3039" s="198"/>
      <c r="G3039" s="202"/>
      <c r="J3039" s="195">
        <v>10</v>
      </c>
      <c r="K3039" s="204" t="s">
        <v>31</v>
      </c>
      <c r="L3039" s="199">
        <v>1</v>
      </c>
      <c r="M3039" s="200">
        <v>0.6</v>
      </c>
      <c r="N3039" s="201">
        <v>29</v>
      </c>
    </row>
    <row r="3040" spans="1:14">
      <c r="A3040" s="194">
        <v>41298.489652777775</v>
      </c>
      <c r="B3040" s="195">
        <v>2161</v>
      </c>
      <c r="C3040" s="194"/>
      <c r="D3040" s="194"/>
      <c r="E3040" s="198"/>
      <c r="G3040" s="202"/>
      <c r="J3040" s="195">
        <v>10</v>
      </c>
      <c r="K3040" s="204" t="s">
        <v>31</v>
      </c>
      <c r="L3040" s="199">
        <v>2</v>
      </c>
      <c r="M3040" s="200">
        <v>0.5</v>
      </c>
      <c r="N3040" s="201">
        <v>30</v>
      </c>
    </row>
    <row r="3041" spans="1:14">
      <c r="A3041" s="194">
        <v>41298.612314814818</v>
      </c>
      <c r="B3041" s="195">
        <v>2161</v>
      </c>
      <c r="C3041" s="194"/>
      <c r="D3041" s="194"/>
      <c r="E3041" s="198"/>
      <c r="G3041" s="202"/>
      <c r="J3041" s="195">
        <v>10</v>
      </c>
      <c r="K3041" s="204" t="s">
        <v>31</v>
      </c>
      <c r="L3041" s="199">
        <v>2</v>
      </c>
      <c r="M3041" s="200">
        <v>3.7</v>
      </c>
      <c r="N3041" s="201">
        <v>30</v>
      </c>
    </row>
    <row r="3042" spans="1:14">
      <c r="A3042" s="194">
        <v>41286.556516203702</v>
      </c>
      <c r="B3042" s="195">
        <v>2161</v>
      </c>
      <c r="C3042" s="194"/>
      <c r="D3042" s="194"/>
      <c r="E3042" s="198"/>
      <c r="G3042" s="202"/>
      <c r="J3042" s="195">
        <v>10</v>
      </c>
      <c r="K3042" s="204" t="s">
        <v>31</v>
      </c>
      <c r="L3042" s="199">
        <v>1</v>
      </c>
      <c r="M3042" s="200">
        <v>0.5</v>
      </c>
      <c r="N3042" s="201">
        <v>31</v>
      </c>
    </row>
    <row r="3043" spans="1:14">
      <c r="A3043" s="194">
        <v>41291.569560185184</v>
      </c>
      <c r="B3043" s="195">
        <v>2161</v>
      </c>
      <c r="C3043" s="194"/>
      <c r="D3043" s="194"/>
      <c r="E3043" s="196" t="s">
        <v>1767</v>
      </c>
      <c r="G3043" s="202"/>
      <c r="J3043" s="195">
        <v>10</v>
      </c>
      <c r="K3043" s="204" t="s">
        <v>31</v>
      </c>
      <c r="L3043" s="199">
        <v>1</v>
      </c>
      <c r="M3043" s="200">
        <v>0.6</v>
      </c>
      <c r="N3043" s="201">
        <v>35</v>
      </c>
    </row>
    <row r="3044" spans="1:14">
      <c r="A3044" s="194">
        <v>41298.587731481479</v>
      </c>
      <c r="B3044" s="195">
        <v>2161</v>
      </c>
      <c r="C3044" s="194"/>
      <c r="D3044" s="194"/>
      <c r="E3044" s="198"/>
      <c r="G3044" s="202"/>
      <c r="J3044" s="195">
        <v>10</v>
      </c>
      <c r="K3044" s="204" t="s">
        <v>31</v>
      </c>
      <c r="L3044" s="199">
        <v>1</v>
      </c>
      <c r="M3044" s="200">
        <v>0.9</v>
      </c>
      <c r="N3044" s="201">
        <v>36</v>
      </c>
    </row>
    <row r="3045" spans="1:14">
      <c r="A3045" s="194">
        <v>41279.519259259258</v>
      </c>
      <c r="B3045" s="195">
        <v>2161</v>
      </c>
      <c r="C3045" s="194"/>
      <c r="D3045" s="194"/>
      <c r="E3045" s="198"/>
      <c r="G3045" s="202"/>
      <c r="J3045" s="195">
        <v>11</v>
      </c>
      <c r="K3045" s="204" t="s">
        <v>1</v>
      </c>
      <c r="L3045" s="199">
        <v>1</v>
      </c>
      <c r="M3045" s="200">
        <v>0.4</v>
      </c>
      <c r="N3045" s="201">
        <v>32</v>
      </c>
    </row>
    <row r="3046" spans="1:14">
      <c r="A3046" s="194">
        <v>41275.150266203702</v>
      </c>
      <c r="B3046" s="195">
        <v>2161</v>
      </c>
      <c r="C3046" s="194"/>
      <c r="D3046" s="194"/>
      <c r="E3046" s="198"/>
      <c r="G3046" s="202"/>
      <c r="J3046" s="195">
        <v>11</v>
      </c>
      <c r="K3046" s="204" t="s">
        <v>1</v>
      </c>
      <c r="L3046" s="199">
        <v>1</v>
      </c>
      <c r="M3046" s="200">
        <v>0.4</v>
      </c>
      <c r="N3046" s="201">
        <v>32</v>
      </c>
    </row>
    <row r="3047" spans="1:14">
      <c r="A3047" s="194">
        <v>41305.960925925923</v>
      </c>
      <c r="B3047" s="195">
        <v>2161</v>
      </c>
      <c r="C3047" s="194"/>
      <c r="D3047" s="194"/>
      <c r="E3047" s="198"/>
      <c r="G3047" s="202"/>
      <c r="J3047" s="195">
        <v>11</v>
      </c>
      <c r="K3047" s="204" t="s">
        <v>1</v>
      </c>
      <c r="L3047" s="199">
        <v>1</v>
      </c>
      <c r="M3047" s="200">
        <v>0.4</v>
      </c>
      <c r="N3047" s="201">
        <v>35</v>
      </c>
    </row>
    <row r="3048" spans="1:14">
      <c r="A3048" s="194">
        <v>41297.273263888892</v>
      </c>
      <c r="B3048" s="195">
        <v>2161</v>
      </c>
      <c r="C3048" s="194"/>
      <c r="D3048" s="194"/>
      <c r="E3048" s="198"/>
      <c r="G3048" s="202"/>
      <c r="J3048" s="195">
        <v>11</v>
      </c>
      <c r="K3048" s="204" t="s">
        <v>1</v>
      </c>
      <c r="L3048" s="199">
        <v>1</v>
      </c>
      <c r="M3048" s="200">
        <v>1.1000000000000001</v>
      </c>
      <c r="N3048" s="201">
        <v>40</v>
      </c>
    </row>
    <row r="3049" spans="1:14">
      <c r="A3049" s="194">
        <v>41296.530451388891</v>
      </c>
      <c r="B3049" s="195">
        <v>2161</v>
      </c>
      <c r="C3049" s="194"/>
      <c r="D3049" s="194"/>
      <c r="E3049" s="198"/>
      <c r="G3049" s="202"/>
      <c r="J3049" s="195">
        <v>12</v>
      </c>
      <c r="K3049" s="204" t="s">
        <v>7</v>
      </c>
      <c r="L3049" s="199">
        <v>3</v>
      </c>
      <c r="M3049" s="200">
        <v>0.8</v>
      </c>
      <c r="N3049" s="201">
        <v>17</v>
      </c>
    </row>
    <row r="3050" spans="1:14">
      <c r="A3050" s="194">
        <v>41284.495833333334</v>
      </c>
      <c r="B3050" s="195">
        <v>2161</v>
      </c>
      <c r="C3050" s="194"/>
      <c r="D3050" s="194"/>
      <c r="E3050" s="198"/>
      <c r="G3050" s="202"/>
      <c r="J3050" s="195">
        <v>12</v>
      </c>
      <c r="K3050" s="204" t="s">
        <v>7</v>
      </c>
      <c r="L3050" s="199">
        <v>3</v>
      </c>
      <c r="M3050" s="200">
        <v>0.9</v>
      </c>
      <c r="N3050" s="201">
        <v>18</v>
      </c>
    </row>
    <row r="3051" spans="1:14">
      <c r="A3051" s="194">
        <v>41277.155833333331</v>
      </c>
      <c r="B3051" s="195">
        <v>2161</v>
      </c>
      <c r="C3051" s="194"/>
      <c r="D3051" s="194"/>
      <c r="E3051" s="198"/>
      <c r="G3051" s="202"/>
      <c r="J3051" s="195">
        <v>12</v>
      </c>
      <c r="K3051" s="204" t="s">
        <v>7</v>
      </c>
      <c r="L3051" s="199">
        <v>3</v>
      </c>
      <c r="M3051" s="200">
        <v>29.8</v>
      </c>
      <c r="N3051" s="201">
        <v>18</v>
      </c>
    </row>
    <row r="3052" spans="1:14">
      <c r="A3052" s="194">
        <v>41283.774814814817</v>
      </c>
      <c r="B3052" s="195">
        <v>2161</v>
      </c>
      <c r="C3052" s="194"/>
      <c r="D3052" s="194"/>
      <c r="E3052" s="198"/>
      <c r="G3052" s="202"/>
      <c r="J3052" s="195">
        <v>12</v>
      </c>
      <c r="K3052" s="204" t="s">
        <v>7</v>
      </c>
      <c r="L3052" s="199">
        <v>1</v>
      </c>
      <c r="M3052" s="200">
        <v>0.3</v>
      </c>
      <c r="N3052" s="201">
        <v>29</v>
      </c>
    </row>
    <row r="3053" spans="1:14">
      <c r="A3053" s="194">
        <v>41296.270150462966</v>
      </c>
      <c r="B3053" s="195">
        <v>2161</v>
      </c>
      <c r="C3053" s="194"/>
      <c r="D3053" s="194"/>
      <c r="E3053" s="198"/>
      <c r="G3053" s="202"/>
      <c r="J3053" s="195">
        <v>12</v>
      </c>
      <c r="K3053" s="204" t="s">
        <v>7</v>
      </c>
      <c r="L3053" s="199">
        <v>1</v>
      </c>
      <c r="M3053" s="200">
        <v>0.6</v>
      </c>
      <c r="N3053" s="201">
        <v>40</v>
      </c>
    </row>
    <row r="3054" spans="1:14">
      <c r="A3054" s="194">
        <v>41289.886608796296</v>
      </c>
      <c r="B3054" s="195">
        <v>2161</v>
      </c>
      <c r="C3054" s="194"/>
      <c r="D3054" s="194"/>
      <c r="E3054" s="196" t="s">
        <v>1691</v>
      </c>
      <c r="G3054" s="202"/>
      <c r="J3054" s="195">
        <v>13</v>
      </c>
      <c r="K3054" s="204" t="s">
        <v>3</v>
      </c>
      <c r="L3054" s="199">
        <v>3</v>
      </c>
      <c r="M3054" s="200">
        <v>16.899999999999999</v>
      </c>
      <c r="N3054" s="201">
        <v>24</v>
      </c>
    </row>
    <row r="3055" spans="1:14">
      <c r="A3055" s="194">
        <v>41301.615532407406</v>
      </c>
      <c r="B3055" s="195">
        <v>2161</v>
      </c>
      <c r="C3055" s="194"/>
      <c r="D3055" s="194"/>
      <c r="E3055" s="198"/>
      <c r="G3055" s="202"/>
      <c r="J3055" s="195">
        <v>14</v>
      </c>
      <c r="K3055" s="204" t="s">
        <v>2</v>
      </c>
      <c r="L3055" s="199">
        <v>1</v>
      </c>
      <c r="M3055" s="200">
        <v>0.4</v>
      </c>
      <c r="N3055" s="201">
        <v>25</v>
      </c>
    </row>
    <row r="3056" spans="1:14">
      <c r="A3056" s="194">
        <v>41299.438449074078</v>
      </c>
      <c r="B3056" s="195">
        <v>2161</v>
      </c>
      <c r="C3056" s="194"/>
      <c r="D3056" s="194"/>
      <c r="E3056" s="198"/>
      <c r="G3056" s="202"/>
      <c r="J3056" s="195">
        <v>14</v>
      </c>
      <c r="K3056" s="204" t="s">
        <v>2</v>
      </c>
      <c r="L3056" s="199">
        <v>1</v>
      </c>
      <c r="M3056" s="200">
        <v>0.4</v>
      </c>
      <c r="N3056" s="201">
        <v>28</v>
      </c>
    </row>
    <row r="3057" spans="1:14">
      <c r="A3057" s="194">
        <v>41285.489664351851</v>
      </c>
      <c r="B3057" s="195">
        <v>2161</v>
      </c>
      <c r="C3057" s="194"/>
      <c r="D3057" s="194"/>
      <c r="E3057" s="198"/>
      <c r="G3057" s="202"/>
      <c r="J3057" s="195">
        <v>14</v>
      </c>
      <c r="K3057" s="204" t="s">
        <v>2</v>
      </c>
      <c r="L3057" s="199">
        <v>1</v>
      </c>
      <c r="M3057" s="200">
        <v>0.6</v>
      </c>
      <c r="N3057" s="201">
        <v>28</v>
      </c>
    </row>
    <row r="3058" spans="1:14">
      <c r="A3058" s="194">
        <v>41287.751851851855</v>
      </c>
      <c r="B3058" s="195">
        <v>2161</v>
      </c>
      <c r="C3058" s="194"/>
      <c r="D3058" s="194"/>
      <c r="E3058" s="198"/>
      <c r="G3058" s="202"/>
      <c r="J3058" s="195">
        <v>14</v>
      </c>
      <c r="K3058" s="204" t="s">
        <v>2</v>
      </c>
      <c r="L3058" s="199">
        <v>1</v>
      </c>
      <c r="M3058" s="200">
        <v>0.3</v>
      </c>
      <c r="N3058" s="201">
        <v>30</v>
      </c>
    </row>
    <row r="3059" spans="1:14">
      <c r="A3059" s="194">
        <v>41291.835185185184</v>
      </c>
      <c r="B3059" s="195">
        <v>2161</v>
      </c>
      <c r="C3059" s="194"/>
      <c r="D3059" s="194"/>
      <c r="E3059" s="198"/>
      <c r="G3059" s="202"/>
      <c r="J3059" s="195">
        <v>14</v>
      </c>
      <c r="K3059" s="204" t="s">
        <v>2</v>
      </c>
      <c r="L3059" s="199">
        <v>1</v>
      </c>
      <c r="M3059" s="200">
        <v>0.9</v>
      </c>
      <c r="N3059" s="201">
        <v>32</v>
      </c>
    </row>
    <row r="3060" spans="1:14">
      <c r="A3060" s="194">
        <v>41275.794699074075</v>
      </c>
      <c r="B3060" s="195">
        <v>2161</v>
      </c>
      <c r="C3060" s="194"/>
      <c r="D3060" s="194"/>
      <c r="E3060" s="198"/>
      <c r="G3060" s="202"/>
      <c r="J3060" s="195">
        <v>15</v>
      </c>
      <c r="K3060" s="204" t="s">
        <v>4</v>
      </c>
      <c r="L3060" s="199">
        <v>3</v>
      </c>
      <c r="M3060" s="200">
        <v>0.3</v>
      </c>
      <c r="N3060" s="201">
        <v>18</v>
      </c>
    </row>
    <row r="3061" spans="1:14">
      <c r="A3061" s="194">
        <v>41280.787476851852</v>
      </c>
      <c r="B3061" s="195">
        <v>2161</v>
      </c>
      <c r="C3061" s="194"/>
      <c r="D3061" s="194"/>
      <c r="E3061" s="198"/>
      <c r="G3061" s="202"/>
      <c r="J3061" s="195">
        <v>15</v>
      </c>
      <c r="K3061" s="204" t="s">
        <v>4</v>
      </c>
      <c r="L3061" s="199">
        <v>1</v>
      </c>
      <c r="M3061" s="200">
        <v>0.3</v>
      </c>
      <c r="N3061" s="201">
        <v>20</v>
      </c>
    </row>
    <row r="3062" spans="1:14">
      <c r="A3062" s="194">
        <v>41283.301458333335</v>
      </c>
      <c r="B3062" s="195">
        <v>2161</v>
      </c>
      <c r="C3062" s="194"/>
      <c r="D3062" s="194"/>
      <c r="E3062" s="198"/>
      <c r="G3062" s="202"/>
      <c r="J3062" s="195">
        <v>15</v>
      </c>
      <c r="K3062" s="204" t="s">
        <v>4</v>
      </c>
      <c r="L3062" s="199">
        <v>1</v>
      </c>
      <c r="M3062" s="200">
        <v>0.5</v>
      </c>
      <c r="N3062" s="201">
        <v>27</v>
      </c>
    </row>
    <row r="3063" spans="1:14">
      <c r="A3063" s="194">
        <v>41296.471412037034</v>
      </c>
      <c r="B3063" s="195">
        <v>2161</v>
      </c>
      <c r="C3063" s="194"/>
      <c r="D3063" s="194"/>
      <c r="E3063" s="198"/>
      <c r="G3063" s="202"/>
      <c r="J3063" s="195">
        <v>15</v>
      </c>
      <c r="K3063" s="204" t="s">
        <v>4</v>
      </c>
      <c r="L3063" s="199">
        <v>1</v>
      </c>
      <c r="M3063" s="200">
        <v>0.4</v>
      </c>
      <c r="N3063" s="201">
        <v>31</v>
      </c>
    </row>
    <row r="3064" spans="1:14">
      <c r="A3064" s="194">
        <v>41283.892430555556</v>
      </c>
      <c r="B3064" s="195">
        <v>2161</v>
      </c>
      <c r="C3064" s="194"/>
      <c r="D3064" s="194"/>
      <c r="E3064" s="198"/>
      <c r="G3064" s="202"/>
      <c r="J3064" s="195">
        <v>17</v>
      </c>
      <c r="K3064" s="204" t="s">
        <v>11</v>
      </c>
      <c r="L3064" s="199">
        <v>3</v>
      </c>
      <c r="M3064" s="200">
        <v>0.7</v>
      </c>
      <c r="N3064" s="201">
        <v>17</v>
      </c>
    </row>
    <row r="3065" spans="1:14">
      <c r="A3065" s="194">
        <v>41290.807141203702</v>
      </c>
      <c r="B3065" s="195">
        <v>2161</v>
      </c>
      <c r="C3065" s="194"/>
      <c r="D3065" s="194"/>
      <c r="E3065" s="198"/>
      <c r="G3065" s="202"/>
      <c r="J3065" s="195">
        <v>17</v>
      </c>
      <c r="K3065" s="204" t="s">
        <v>11</v>
      </c>
      <c r="L3065" s="199">
        <v>1</v>
      </c>
      <c r="M3065" s="200">
        <v>0.8</v>
      </c>
      <c r="N3065" s="201">
        <v>17</v>
      </c>
    </row>
    <row r="3066" spans="1:14">
      <c r="A3066" s="194">
        <v>41287.683275462965</v>
      </c>
      <c r="B3066" s="195">
        <v>2161</v>
      </c>
      <c r="C3066" s="194"/>
      <c r="D3066" s="194"/>
      <c r="E3066" s="198"/>
      <c r="G3066" s="202"/>
      <c r="J3066" s="195">
        <v>17</v>
      </c>
      <c r="K3066" s="204" t="s">
        <v>11</v>
      </c>
      <c r="L3066" s="199">
        <v>1</v>
      </c>
      <c r="M3066" s="200">
        <v>1.9</v>
      </c>
      <c r="N3066" s="201">
        <v>17</v>
      </c>
    </row>
    <row r="3067" spans="1:14">
      <c r="A3067" s="194">
        <v>41301.147777777776</v>
      </c>
      <c r="B3067" s="195">
        <v>2161</v>
      </c>
      <c r="C3067" s="194"/>
      <c r="D3067" s="194"/>
      <c r="E3067" s="198"/>
      <c r="G3067" s="202"/>
      <c r="J3067" s="195">
        <v>17</v>
      </c>
      <c r="K3067" s="204" t="s">
        <v>11</v>
      </c>
      <c r="L3067" s="199">
        <v>3</v>
      </c>
      <c r="M3067" s="200">
        <v>17.399999999999999</v>
      </c>
      <c r="N3067" s="201">
        <v>17</v>
      </c>
    </row>
    <row r="3068" spans="1:14">
      <c r="A3068" s="194">
        <v>41282.020254629628</v>
      </c>
      <c r="B3068" s="195">
        <v>2161</v>
      </c>
      <c r="C3068" s="194"/>
      <c r="D3068" s="194"/>
      <c r="E3068" s="198"/>
      <c r="G3068" s="202"/>
      <c r="J3068" s="195">
        <v>17</v>
      </c>
      <c r="K3068" s="204" t="s">
        <v>11</v>
      </c>
      <c r="L3068" s="199">
        <v>3</v>
      </c>
      <c r="M3068" s="200">
        <v>23</v>
      </c>
      <c r="N3068" s="201">
        <v>17</v>
      </c>
    </row>
    <row r="3069" spans="1:14">
      <c r="A3069" s="194">
        <v>41298.150520833333</v>
      </c>
      <c r="B3069" s="195">
        <v>2161</v>
      </c>
      <c r="C3069" s="194"/>
      <c r="D3069" s="194"/>
      <c r="E3069" s="198"/>
      <c r="G3069" s="202"/>
      <c r="J3069" s="195">
        <v>17</v>
      </c>
      <c r="K3069" s="204" t="s">
        <v>11</v>
      </c>
      <c r="L3069" s="199">
        <v>1</v>
      </c>
      <c r="M3069" s="200">
        <v>25.3</v>
      </c>
      <c r="N3069" s="201">
        <v>17</v>
      </c>
    </row>
    <row r="3070" spans="1:14">
      <c r="A3070" s="194">
        <v>41282.586064814815</v>
      </c>
      <c r="B3070" s="195">
        <v>2161</v>
      </c>
      <c r="C3070" s="194"/>
      <c r="D3070" s="194"/>
      <c r="E3070" s="198"/>
      <c r="G3070" s="202"/>
      <c r="J3070" s="195">
        <v>17</v>
      </c>
      <c r="K3070" s="204" t="s">
        <v>11</v>
      </c>
      <c r="L3070" s="199">
        <v>2</v>
      </c>
      <c r="M3070" s="200">
        <v>0.3</v>
      </c>
      <c r="N3070" s="201">
        <v>18</v>
      </c>
    </row>
    <row r="3071" spans="1:14">
      <c r="A3071" s="194">
        <v>41291.857743055552</v>
      </c>
      <c r="B3071" s="195">
        <v>2161</v>
      </c>
      <c r="C3071" s="194"/>
      <c r="D3071" s="194"/>
      <c r="E3071" s="198"/>
      <c r="G3071" s="202"/>
      <c r="J3071" s="195">
        <v>17</v>
      </c>
      <c r="K3071" s="204" t="s">
        <v>11</v>
      </c>
      <c r="L3071" s="199">
        <v>3</v>
      </c>
      <c r="M3071" s="200">
        <v>0.6</v>
      </c>
      <c r="N3071" s="201">
        <v>18</v>
      </c>
    </row>
    <row r="3072" spans="1:14">
      <c r="A3072" s="194">
        <v>41285.662314814814</v>
      </c>
      <c r="B3072" s="195">
        <v>2161</v>
      </c>
      <c r="C3072" s="194"/>
      <c r="D3072" s="194"/>
      <c r="E3072" s="198"/>
      <c r="G3072" s="202"/>
      <c r="J3072" s="195">
        <v>17</v>
      </c>
      <c r="K3072" s="204" t="s">
        <v>11</v>
      </c>
      <c r="L3072" s="199">
        <v>3</v>
      </c>
      <c r="M3072" s="200">
        <v>0.9</v>
      </c>
      <c r="N3072" s="201">
        <v>18</v>
      </c>
    </row>
    <row r="3073" spans="1:14">
      <c r="A3073" s="194">
        <v>41292.606273148151</v>
      </c>
      <c r="B3073" s="195">
        <v>2161</v>
      </c>
      <c r="C3073" s="194"/>
      <c r="D3073" s="194"/>
      <c r="E3073" s="198"/>
      <c r="G3073" s="202"/>
      <c r="J3073" s="195">
        <v>17</v>
      </c>
      <c r="K3073" s="204" t="s">
        <v>11</v>
      </c>
      <c r="L3073" s="199">
        <v>2</v>
      </c>
      <c r="M3073" s="200">
        <v>19.3</v>
      </c>
      <c r="N3073" s="201">
        <v>18</v>
      </c>
    </row>
    <row r="3074" spans="1:14">
      <c r="A3074" s="194">
        <v>41287.148854166669</v>
      </c>
      <c r="B3074" s="195">
        <v>2161</v>
      </c>
      <c r="C3074" s="194"/>
      <c r="D3074" s="194"/>
      <c r="E3074" s="198"/>
      <c r="G3074" s="202"/>
      <c r="J3074" s="195">
        <v>17</v>
      </c>
      <c r="K3074" s="204" t="s">
        <v>11</v>
      </c>
      <c r="L3074" s="199">
        <v>2</v>
      </c>
      <c r="M3074" s="200">
        <v>23.9</v>
      </c>
      <c r="N3074" s="201">
        <v>18</v>
      </c>
    </row>
    <row r="3075" spans="1:14">
      <c r="A3075" s="194">
        <v>41284.124560185184</v>
      </c>
      <c r="B3075" s="195">
        <v>2161</v>
      </c>
      <c r="C3075" s="194"/>
      <c r="D3075" s="194"/>
      <c r="E3075" s="198"/>
      <c r="G3075" s="202"/>
      <c r="J3075" s="195">
        <v>17</v>
      </c>
      <c r="K3075" s="204" t="s">
        <v>11</v>
      </c>
      <c r="L3075" s="199">
        <v>3</v>
      </c>
      <c r="M3075" s="200">
        <v>30.5</v>
      </c>
      <c r="N3075" s="201">
        <v>18</v>
      </c>
    </row>
    <row r="3076" spans="1:14">
      <c r="A3076" s="194">
        <v>41299.84033564815</v>
      </c>
      <c r="B3076" s="195">
        <v>2161</v>
      </c>
      <c r="C3076" s="194"/>
      <c r="D3076" s="194"/>
      <c r="E3076" s="198"/>
      <c r="G3076" s="202"/>
      <c r="J3076" s="195">
        <v>17</v>
      </c>
      <c r="K3076" s="204" t="s">
        <v>11</v>
      </c>
      <c r="L3076" s="199">
        <v>2</v>
      </c>
      <c r="M3076" s="200">
        <v>0.9</v>
      </c>
      <c r="N3076" s="201">
        <v>19</v>
      </c>
    </row>
    <row r="3077" spans="1:14">
      <c r="A3077" s="194">
        <v>41285.087152777778</v>
      </c>
      <c r="B3077" s="195">
        <v>2161</v>
      </c>
      <c r="C3077" s="194"/>
      <c r="D3077" s="194"/>
      <c r="E3077" s="198"/>
      <c r="G3077" s="202"/>
      <c r="J3077" s="195">
        <v>17</v>
      </c>
      <c r="K3077" s="204" t="s">
        <v>11</v>
      </c>
      <c r="L3077" s="199">
        <v>1</v>
      </c>
      <c r="M3077" s="200">
        <v>17.3</v>
      </c>
      <c r="N3077" s="201">
        <v>20</v>
      </c>
    </row>
    <row r="3078" spans="1:14">
      <c r="A3078" s="194">
        <v>41292.29310185185</v>
      </c>
      <c r="B3078" s="195">
        <v>2161</v>
      </c>
      <c r="C3078" s="194"/>
      <c r="D3078" s="194"/>
      <c r="E3078" s="198"/>
      <c r="G3078" s="202"/>
      <c r="J3078" s="195">
        <v>17</v>
      </c>
      <c r="K3078" s="204" t="s">
        <v>11</v>
      </c>
      <c r="L3078" s="199">
        <v>3</v>
      </c>
      <c r="M3078" s="200">
        <v>0.7</v>
      </c>
      <c r="N3078" s="201">
        <v>21</v>
      </c>
    </row>
    <row r="3079" spans="1:14">
      <c r="A3079" s="194">
        <v>41285.775856481479</v>
      </c>
      <c r="B3079" s="195">
        <v>2161</v>
      </c>
      <c r="C3079" s="194"/>
      <c r="D3079" s="194"/>
      <c r="E3079" s="198"/>
      <c r="G3079" s="202"/>
      <c r="J3079" s="195">
        <v>17</v>
      </c>
      <c r="K3079" s="204" t="s">
        <v>11</v>
      </c>
      <c r="L3079" s="199">
        <v>3</v>
      </c>
      <c r="M3079" s="200">
        <v>0.6</v>
      </c>
      <c r="N3079" s="201">
        <v>23</v>
      </c>
    </row>
    <row r="3080" spans="1:14">
      <c r="A3080" s="194">
        <v>41285.980081018519</v>
      </c>
      <c r="B3080" s="195">
        <v>2161</v>
      </c>
      <c r="C3080" s="194"/>
      <c r="D3080" s="194"/>
      <c r="E3080" s="196" t="s">
        <v>1819</v>
      </c>
      <c r="G3080" s="202"/>
      <c r="J3080" s="195">
        <v>17</v>
      </c>
      <c r="K3080" s="204" t="s">
        <v>11</v>
      </c>
      <c r="L3080" s="199">
        <v>3</v>
      </c>
      <c r="M3080" s="200">
        <v>1</v>
      </c>
      <c r="N3080" s="201">
        <v>24</v>
      </c>
    </row>
    <row r="3081" spans="1:14">
      <c r="A3081" s="194">
        <v>41285.988761574074</v>
      </c>
      <c r="B3081" s="195">
        <v>2161</v>
      </c>
      <c r="C3081" s="194"/>
      <c r="D3081" s="194"/>
      <c r="E3081" s="196" t="s">
        <v>1668</v>
      </c>
      <c r="G3081" s="202"/>
      <c r="J3081" s="195">
        <v>17</v>
      </c>
      <c r="K3081" s="204" t="s">
        <v>11</v>
      </c>
      <c r="L3081" s="199">
        <v>3</v>
      </c>
      <c r="M3081" s="200">
        <v>0.8</v>
      </c>
      <c r="N3081" s="201">
        <v>27</v>
      </c>
    </row>
    <row r="3082" spans="1:14">
      <c r="A3082" s="194">
        <v>41301.123460648145</v>
      </c>
      <c r="B3082" s="195">
        <v>2161</v>
      </c>
      <c r="C3082" s="194"/>
      <c r="D3082" s="194"/>
      <c r="E3082" s="198"/>
      <c r="G3082" s="202"/>
      <c r="J3082" s="195">
        <v>17</v>
      </c>
      <c r="K3082" s="204" t="s">
        <v>11</v>
      </c>
      <c r="L3082" s="199">
        <v>3</v>
      </c>
      <c r="M3082" s="200">
        <v>15.9</v>
      </c>
      <c r="N3082" s="201">
        <v>27</v>
      </c>
    </row>
    <row r="3083" spans="1:14">
      <c r="A3083" s="194">
        <v>41290.615543981483</v>
      </c>
      <c r="B3083" s="195">
        <v>2161</v>
      </c>
      <c r="C3083" s="194"/>
      <c r="D3083" s="194"/>
      <c r="E3083" s="198"/>
      <c r="G3083" s="202"/>
      <c r="J3083" s="195">
        <v>18</v>
      </c>
      <c r="K3083" s="204" t="s">
        <v>5</v>
      </c>
      <c r="L3083" s="199">
        <v>1</v>
      </c>
      <c r="M3083" s="200">
        <v>6.7</v>
      </c>
      <c r="N3083" s="201">
        <v>17</v>
      </c>
    </row>
    <row r="3084" spans="1:14">
      <c r="A3084" s="194">
        <v>41280.079270833332</v>
      </c>
      <c r="B3084" s="195">
        <v>2161</v>
      </c>
      <c r="C3084" s="194"/>
      <c r="D3084" s="194"/>
      <c r="E3084" s="198"/>
      <c r="G3084" s="202"/>
      <c r="J3084" s="195">
        <v>18</v>
      </c>
      <c r="K3084" s="204" t="s">
        <v>5</v>
      </c>
      <c r="L3084" s="199">
        <v>1</v>
      </c>
      <c r="M3084" s="200">
        <v>11.1</v>
      </c>
      <c r="N3084" s="201">
        <v>17</v>
      </c>
    </row>
    <row r="3085" spans="1:14">
      <c r="A3085" s="194">
        <v>41300.225127314814</v>
      </c>
      <c r="B3085" s="195">
        <v>2161</v>
      </c>
      <c r="C3085" s="194"/>
      <c r="D3085" s="194"/>
      <c r="E3085" s="198"/>
      <c r="G3085" s="202"/>
      <c r="J3085" s="195">
        <v>18</v>
      </c>
      <c r="K3085" s="204" t="s">
        <v>5</v>
      </c>
      <c r="L3085" s="199">
        <v>2</v>
      </c>
      <c r="M3085" s="200">
        <v>22.4</v>
      </c>
      <c r="N3085" s="201">
        <v>18</v>
      </c>
    </row>
    <row r="3086" spans="1:14">
      <c r="A3086" s="194">
        <v>41277.447175925925</v>
      </c>
      <c r="B3086" s="195">
        <v>2161</v>
      </c>
      <c r="C3086" s="194"/>
      <c r="D3086" s="194"/>
      <c r="E3086" s="198"/>
      <c r="G3086" s="202"/>
      <c r="J3086" s="195">
        <v>18</v>
      </c>
      <c r="K3086" s="204" t="s">
        <v>5</v>
      </c>
      <c r="L3086" s="199">
        <v>2</v>
      </c>
      <c r="M3086" s="200">
        <v>0.7</v>
      </c>
      <c r="N3086" s="201">
        <v>25</v>
      </c>
    </row>
    <row r="3087" spans="1:14">
      <c r="A3087" s="194">
        <v>41297.908888888887</v>
      </c>
      <c r="B3087" s="195">
        <v>2161</v>
      </c>
      <c r="C3087" s="194"/>
      <c r="D3087" s="194"/>
      <c r="E3087" s="196" t="s">
        <v>2028</v>
      </c>
      <c r="G3087" s="202"/>
      <c r="J3087" s="195">
        <v>24</v>
      </c>
      <c r="K3087" s="204" t="s">
        <v>25</v>
      </c>
      <c r="L3087" s="199">
        <v>3</v>
      </c>
      <c r="M3087" s="200">
        <v>0.8</v>
      </c>
      <c r="N3087" s="201">
        <v>17</v>
      </c>
    </row>
    <row r="3088" spans="1:14">
      <c r="A3088" s="194">
        <v>41281.976585648146</v>
      </c>
      <c r="B3088" s="195">
        <v>2161</v>
      </c>
      <c r="C3088" s="194"/>
      <c r="D3088" s="194"/>
      <c r="E3088" s="196" t="s">
        <v>2007</v>
      </c>
      <c r="G3088" s="202"/>
      <c r="J3088" s="195">
        <v>24</v>
      </c>
      <c r="K3088" s="204" t="s">
        <v>25</v>
      </c>
      <c r="L3088" s="199">
        <v>1</v>
      </c>
      <c r="M3088" s="200">
        <v>0.6</v>
      </c>
      <c r="N3088" s="201">
        <v>18</v>
      </c>
    </row>
    <row r="3089" spans="1:14">
      <c r="A3089" s="194">
        <v>41289.66238425926</v>
      </c>
      <c r="B3089" s="195">
        <v>2161</v>
      </c>
      <c r="C3089" s="194"/>
      <c r="D3089" s="194"/>
      <c r="E3089" s="196" t="s">
        <v>2121</v>
      </c>
      <c r="G3089" s="202"/>
      <c r="J3089" s="195">
        <v>24</v>
      </c>
      <c r="K3089" s="204" t="s">
        <v>25</v>
      </c>
      <c r="L3089" s="199">
        <v>3</v>
      </c>
      <c r="M3089" s="200">
        <v>1.1000000000000001</v>
      </c>
      <c r="N3089" s="201">
        <v>19</v>
      </c>
    </row>
    <row r="3090" spans="1:14">
      <c r="A3090" s="194">
        <v>41282.952372685184</v>
      </c>
      <c r="B3090" s="195">
        <v>2161</v>
      </c>
      <c r="C3090" s="194"/>
      <c r="D3090" s="194"/>
      <c r="E3090" s="196" t="s">
        <v>1683</v>
      </c>
      <c r="G3090" s="202"/>
      <c r="J3090" s="195">
        <v>24</v>
      </c>
      <c r="K3090" s="204" t="s">
        <v>25</v>
      </c>
      <c r="L3090" s="199">
        <v>2</v>
      </c>
      <c r="M3090" s="200">
        <v>0.4</v>
      </c>
      <c r="N3090" s="201">
        <v>20</v>
      </c>
    </row>
    <row r="3091" spans="1:14">
      <c r="A3091" s="194">
        <v>41299.820625</v>
      </c>
      <c r="B3091" s="195">
        <v>2161</v>
      </c>
      <c r="C3091" s="194"/>
      <c r="D3091" s="194"/>
      <c r="E3091" s="196" t="s">
        <v>2106</v>
      </c>
      <c r="G3091" s="202"/>
      <c r="J3091" s="195">
        <v>24</v>
      </c>
      <c r="K3091" s="204" t="s">
        <v>25</v>
      </c>
      <c r="L3091" s="199">
        <v>1</v>
      </c>
      <c r="M3091" s="200">
        <v>0.5</v>
      </c>
      <c r="N3091" s="201">
        <v>24</v>
      </c>
    </row>
    <row r="3092" spans="1:14">
      <c r="A3092" s="194">
        <v>41286.933333333334</v>
      </c>
      <c r="B3092" s="195">
        <v>2161</v>
      </c>
      <c r="C3092" s="194"/>
      <c r="D3092" s="194"/>
      <c r="E3092" s="196" t="s">
        <v>1703</v>
      </c>
      <c r="G3092" s="202"/>
      <c r="J3092" s="195">
        <v>24</v>
      </c>
      <c r="K3092" s="204" t="s">
        <v>25</v>
      </c>
      <c r="L3092" s="199">
        <v>1</v>
      </c>
      <c r="M3092" s="200">
        <v>1.6</v>
      </c>
      <c r="N3092" s="201">
        <v>24</v>
      </c>
    </row>
    <row r="3093" spans="1:14">
      <c r="A3093" s="194">
        <v>41277.435023148151</v>
      </c>
      <c r="B3093" s="195">
        <v>2161</v>
      </c>
      <c r="C3093" s="194"/>
      <c r="D3093" s="194"/>
      <c r="E3093" s="196" t="s">
        <v>1891</v>
      </c>
      <c r="G3093" s="202"/>
      <c r="J3093" s="195">
        <v>24</v>
      </c>
      <c r="K3093" s="204" t="s">
        <v>25</v>
      </c>
      <c r="L3093" s="199">
        <v>2</v>
      </c>
      <c r="M3093" s="200">
        <v>0.5</v>
      </c>
      <c r="N3093" s="201">
        <v>26</v>
      </c>
    </row>
    <row r="3094" spans="1:14">
      <c r="A3094" s="194">
        <v>41279.661631944444</v>
      </c>
      <c r="B3094" s="195">
        <v>2161</v>
      </c>
      <c r="C3094" s="194"/>
      <c r="D3094" s="194"/>
      <c r="E3094" s="196" t="s">
        <v>1642</v>
      </c>
      <c r="G3094" s="202"/>
      <c r="J3094" s="195">
        <v>24</v>
      </c>
      <c r="K3094" s="204" t="s">
        <v>25</v>
      </c>
      <c r="L3094" s="199">
        <v>1</v>
      </c>
      <c r="M3094" s="200">
        <v>1.6</v>
      </c>
      <c r="N3094" s="201">
        <v>26</v>
      </c>
    </row>
    <row r="3095" spans="1:14">
      <c r="A3095" s="194">
        <v>41291.997465277775</v>
      </c>
      <c r="B3095" s="195">
        <v>2161</v>
      </c>
      <c r="C3095" s="194"/>
      <c r="D3095" s="194"/>
      <c r="E3095" s="196" t="s">
        <v>1950</v>
      </c>
      <c r="G3095" s="202"/>
      <c r="J3095" s="195">
        <v>24</v>
      </c>
      <c r="K3095" s="204" t="s">
        <v>25</v>
      </c>
      <c r="L3095" s="199">
        <v>2</v>
      </c>
      <c r="M3095" s="200">
        <v>0.3</v>
      </c>
      <c r="N3095" s="201">
        <v>27</v>
      </c>
    </row>
    <row r="3096" spans="1:14">
      <c r="A3096" s="194">
        <v>41282.477581018517</v>
      </c>
      <c r="B3096" s="195">
        <v>2161</v>
      </c>
      <c r="C3096" s="194"/>
      <c r="D3096" s="194"/>
      <c r="E3096" s="196" t="s">
        <v>1875</v>
      </c>
      <c r="G3096" s="202"/>
      <c r="J3096" s="195">
        <v>24</v>
      </c>
      <c r="K3096" s="204" t="s">
        <v>25</v>
      </c>
      <c r="L3096" s="199">
        <v>1</v>
      </c>
      <c r="M3096" s="200">
        <v>0.4</v>
      </c>
      <c r="N3096" s="201">
        <v>27</v>
      </c>
    </row>
    <row r="3097" spans="1:14">
      <c r="A3097" s="194">
        <v>41282.442002314812</v>
      </c>
      <c r="B3097" s="195">
        <v>2161</v>
      </c>
      <c r="C3097" s="194"/>
      <c r="D3097" s="194"/>
      <c r="E3097" s="196" t="s">
        <v>1991</v>
      </c>
      <c r="G3097" s="202"/>
      <c r="J3097" s="195">
        <v>24</v>
      </c>
      <c r="K3097" s="204" t="s">
        <v>25</v>
      </c>
      <c r="L3097" s="199">
        <v>1</v>
      </c>
      <c r="M3097" s="200">
        <v>0.5</v>
      </c>
      <c r="N3097" s="201">
        <v>27</v>
      </c>
    </row>
    <row r="3098" spans="1:14">
      <c r="A3098" s="194">
        <v>41292.446284722224</v>
      </c>
      <c r="B3098" s="195">
        <v>2161</v>
      </c>
      <c r="C3098" s="194"/>
      <c r="D3098" s="194"/>
      <c r="E3098" s="196" t="s">
        <v>1848</v>
      </c>
      <c r="G3098" s="202"/>
      <c r="J3098" s="195">
        <v>24</v>
      </c>
      <c r="K3098" s="204" t="s">
        <v>25</v>
      </c>
      <c r="L3098" s="199">
        <v>1</v>
      </c>
      <c r="M3098" s="200">
        <v>0.5</v>
      </c>
      <c r="N3098" s="201">
        <v>28</v>
      </c>
    </row>
    <row r="3099" spans="1:14">
      <c r="A3099" s="194">
        <v>41285.475775462961</v>
      </c>
      <c r="B3099" s="195">
        <v>2161</v>
      </c>
      <c r="C3099" s="194"/>
      <c r="D3099" s="194"/>
      <c r="E3099" s="196" t="s">
        <v>2149</v>
      </c>
      <c r="G3099" s="202"/>
      <c r="J3099" s="195">
        <v>24</v>
      </c>
      <c r="K3099" s="204" t="s">
        <v>25</v>
      </c>
      <c r="L3099" s="199">
        <v>2</v>
      </c>
      <c r="M3099" s="200">
        <v>0.3</v>
      </c>
      <c r="N3099" s="201">
        <v>29</v>
      </c>
    </row>
    <row r="3100" spans="1:14">
      <c r="A3100" s="194">
        <v>41297.553900462961</v>
      </c>
      <c r="B3100" s="195">
        <v>2161</v>
      </c>
      <c r="C3100" s="194"/>
      <c r="D3100" s="194"/>
      <c r="E3100" s="196" t="s">
        <v>1996</v>
      </c>
      <c r="G3100" s="202"/>
      <c r="J3100" s="195">
        <v>24</v>
      </c>
      <c r="K3100" s="204" t="s">
        <v>25</v>
      </c>
      <c r="L3100" s="199">
        <v>3</v>
      </c>
      <c r="M3100" s="200">
        <v>0.4</v>
      </c>
      <c r="N3100" s="201">
        <v>32</v>
      </c>
    </row>
    <row r="3101" spans="1:14">
      <c r="A3101" s="194">
        <v>41292.762361111112</v>
      </c>
      <c r="B3101" s="195">
        <v>2161</v>
      </c>
      <c r="C3101" s="194"/>
      <c r="D3101" s="194"/>
      <c r="E3101" s="196" t="s">
        <v>2098</v>
      </c>
      <c r="G3101" s="202"/>
      <c r="J3101" s="195">
        <v>24</v>
      </c>
      <c r="K3101" s="204" t="s">
        <v>25</v>
      </c>
      <c r="L3101" s="199">
        <v>2</v>
      </c>
      <c r="M3101" s="200">
        <v>0.4</v>
      </c>
      <c r="N3101" s="201">
        <v>32</v>
      </c>
    </row>
    <row r="3102" spans="1:14">
      <c r="A3102" s="194">
        <v>41284.629062499997</v>
      </c>
      <c r="B3102" s="195">
        <v>2161</v>
      </c>
      <c r="C3102" s="194"/>
      <c r="D3102" s="194"/>
      <c r="E3102" s="196" t="s">
        <v>1645</v>
      </c>
      <c r="G3102" s="202"/>
      <c r="J3102" s="195">
        <v>24</v>
      </c>
      <c r="K3102" s="204" t="s">
        <v>25</v>
      </c>
      <c r="L3102" s="199">
        <v>1</v>
      </c>
      <c r="M3102" s="200">
        <v>0.5</v>
      </c>
      <c r="N3102" s="201">
        <v>32</v>
      </c>
    </row>
    <row r="3103" spans="1:14">
      <c r="A3103" s="194">
        <v>41275.16070601852</v>
      </c>
      <c r="B3103" s="195">
        <v>2161</v>
      </c>
      <c r="C3103" s="194"/>
      <c r="D3103" s="194"/>
      <c r="E3103" s="196" t="s">
        <v>1706</v>
      </c>
      <c r="G3103" s="202"/>
      <c r="J3103" s="195">
        <v>24</v>
      </c>
      <c r="K3103" s="204" t="s">
        <v>25</v>
      </c>
      <c r="L3103" s="199">
        <v>1</v>
      </c>
      <c r="M3103" s="200">
        <v>1.6</v>
      </c>
      <c r="N3103" s="201">
        <v>32</v>
      </c>
    </row>
    <row r="3104" spans="1:14">
      <c r="A3104" s="194">
        <v>41278.462858796294</v>
      </c>
      <c r="B3104" s="195">
        <v>2161</v>
      </c>
      <c r="C3104" s="194"/>
      <c r="D3104" s="194"/>
      <c r="E3104" s="196" t="s">
        <v>1786</v>
      </c>
      <c r="G3104" s="202"/>
      <c r="J3104" s="195">
        <v>24</v>
      </c>
      <c r="K3104" s="204" t="s">
        <v>25</v>
      </c>
      <c r="L3104" s="199">
        <v>1</v>
      </c>
      <c r="M3104" s="200">
        <v>0.7</v>
      </c>
      <c r="N3104" s="201">
        <v>34</v>
      </c>
    </row>
    <row r="3105" spans="1:14">
      <c r="A3105" s="194">
        <v>41300.695381944446</v>
      </c>
      <c r="B3105" s="195">
        <v>2161</v>
      </c>
      <c r="C3105" s="194"/>
      <c r="D3105" s="194"/>
      <c r="E3105" s="196" t="s">
        <v>2132</v>
      </c>
      <c r="G3105" s="202"/>
      <c r="J3105" s="195">
        <v>29</v>
      </c>
      <c r="K3105" s="204" t="s">
        <v>39</v>
      </c>
      <c r="L3105" s="199">
        <v>2</v>
      </c>
      <c r="M3105" s="200">
        <v>0.3</v>
      </c>
      <c r="N3105" s="201">
        <v>18</v>
      </c>
    </row>
    <row r="3106" spans="1:14">
      <c r="A3106" s="194">
        <v>41305.746655092589</v>
      </c>
      <c r="B3106" s="195">
        <v>2161</v>
      </c>
      <c r="C3106" s="194"/>
      <c r="D3106" s="194"/>
      <c r="E3106" s="196" t="s">
        <v>1913</v>
      </c>
      <c r="G3106" s="202"/>
      <c r="J3106" s="195">
        <v>29</v>
      </c>
      <c r="K3106" s="204" t="s">
        <v>39</v>
      </c>
      <c r="L3106" s="199">
        <v>3</v>
      </c>
      <c r="M3106" s="200">
        <v>0.5</v>
      </c>
      <c r="N3106" s="201">
        <v>18</v>
      </c>
    </row>
    <row r="3107" spans="1:14">
      <c r="A3107" s="194">
        <v>41277.580833333333</v>
      </c>
      <c r="B3107" s="195">
        <v>2161</v>
      </c>
      <c r="C3107" s="194"/>
      <c r="D3107" s="194"/>
      <c r="E3107" s="196" t="s">
        <v>1856</v>
      </c>
      <c r="G3107" s="202"/>
      <c r="J3107" s="195">
        <v>29</v>
      </c>
      <c r="K3107" s="204" t="s">
        <v>39</v>
      </c>
      <c r="L3107" s="199">
        <v>2</v>
      </c>
      <c r="M3107" s="200">
        <v>0.4</v>
      </c>
      <c r="N3107" s="201">
        <v>26</v>
      </c>
    </row>
    <row r="3108" spans="1:14">
      <c r="A3108" s="194">
        <v>41305.588587962964</v>
      </c>
      <c r="B3108" s="195">
        <v>2161</v>
      </c>
      <c r="C3108" s="194"/>
      <c r="D3108" s="194"/>
      <c r="E3108" s="196" t="s">
        <v>1789</v>
      </c>
      <c r="G3108" s="202"/>
      <c r="J3108" s="195">
        <v>29</v>
      </c>
      <c r="K3108" s="204" t="s">
        <v>39</v>
      </c>
      <c r="L3108" s="199">
        <v>1</v>
      </c>
      <c r="M3108" s="200">
        <v>0.8</v>
      </c>
      <c r="N3108" s="201">
        <v>26</v>
      </c>
    </row>
    <row r="3109" spans="1:14">
      <c r="A3109" s="194">
        <v>41276.974953703706</v>
      </c>
      <c r="B3109" s="195">
        <v>2161</v>
      </c>
      <c r="C3109" s="194"/>
      <c r="D3109" s="194"/>
      <c r="E3109" s="196" t="s">
        <v>2151</v>
      </c>
      <c r="G3109" s="202"/>
      <c r="J3109" s="195">
        <v>29</v>
      </c>
      <c r="K3109" s="204" t="s">
        <v>39</v>
      </c>
      <c r="L3109" s="199">
        <v>2</v>
      </c>
      <c r="M3109" s="200">
        <v>0.9</v>
      </c>
      <c r="N3109" s="201">
        <v>27</v>
      </c>
    </row>
    <row r="3110" spans="1:14">
      <c r="A3110" s="194">
        <v>41296.891550925924</v>
      </c>
      <c r="B3110" s="195">
        <v>2161</v>
      </c>
      <c r="C3110" s="194"/>
      <c r="D3110" s="194"/>
      <c r="E3110" s="196" t="s">
        <v>1773</v>
      </c>
      <c r="G3110" s="202"/>
      <c r="J3110" s="195">
        <v>29</v>
      </c>
      <c r="K3110" s="204" t="s">
        <v>39</v>
      </c>
      <c r="L3110" s="199">
        <v>1</v>
      </c>
      <c r="M3110" s="200">
        <v>1.2</v>
      </c>
      <c r="N3110" s="201">
        <v>28</v>
      </c>
    </row>
    <row r="3111" spans="1:14">
      <c r="A3111" s="194">
        <v>41286.794456018521</v>
      </c>
      <c r="B3111" s="195">
        <v>2161</v>
      </c>
      <c r="C3111" s="194"/>
      <c r="D3111" s="194"/>
      <c r="E3111" s="196" t="s">
        <v>1849</v>
      </c>
      <c r="G3111" s="202"/>
      <c r="J3111" s="195">
        <v>29</v>
      </c>
      <c r="K3111" s="204" t="s">
        <v>39</v>
      </c>
      <c r="L3111" s="199">
        <v>1</v>
      </c>
      <c r="M3111" s="200">
        <v>1.7</v>
      </c>
      <c r="N3111" s="201">
        <v>29</v>
      </c>
    </row>
    <row r="3112" spans="1:14">
      <c r="A3112" s="194">
        <v>41291.546122685184</v>
      </c>
      <c r="B3112" s="195">
        <v>2161</v>
      </c>
      <c r="C3112" s="194"/>
      <c r="D3112" s="194"/>
      <c r="E3112" s="196" t="s">
        <v>1972</v>
      </c>
      <c r="G3112" s="202"/>
      <c r="J3112" s="195">
        <v>29</v>
      </c>
      <c r="K3112" s="204" t="s">
        <v>39</v>
      </c>
      <c r="L3112" s="199">
        <v>2</v>
      </c>
      <c r="M3112" s="200">
        <v>0.9</v>
      </c>
      <c r="N3112" s="201">
        <v>30</v>
      </c>
    </row>
    <row r="3113" spans="1:14">
      <c r="A3113" s="194">
        <v>41285.969675925924</v>
      </c>
      <c r="B3113" s="195">
        <v>2161</v>
      </c>
      <c r="C3113" s="194"/>
      <c r="D3113" s="194"/>
      <c r="E3113" s="196" t="s">
        <v>1985</v>
      </c>
      <c r="G3113" s="202"/>
      <c r="J3113" s="195">
        <v>29</v>
      </c>
      <c r="K3113" s="204" t="s">
        <v>39</v>
      </c>
      <c r="L3113" s="199">
        <v>2</v>
      </c>
      <c r="M3113" s="200">
        <v>0.9</v>
      </c>
      <c r="N3113" s="201">
        <v>33</v>
      </c>
    </row>
    <row r="3114" spans="1:14">
      <c r="A3114" s="194">
        <v>41305.270092592589</v>
      </c>
      <c r="B3114" s="195">
        <v>2161</v>
      </c>
      <c r="C3114" s="194"/>
      <c r="D3114" s="194"/>
      <c r="E3114" s="198"/>
      <c r="G3114" s="202"/>
      <c r="J3114" s="195">
        <v>4400</v>
      </c>
      <c r="K3114" s="204" t="s">
        <v>37</v>
      </c>
      <c r="L3114" s="199">
        <v>2</v>
      </c>
      <c r="M3114" s="200">
        <v>0.6</v>
      </c>
      <c r="N3114" s="201">
        <v>29</v>
      </c>
    </row>
    <row r="3115" spans="1:14">
      <c r="A3115" s="194">
        <v>41299.575115740743</v>
      </c>
      <c r="B3115" s="195">
        <v>2211</v>
      </c>
      <c r="C3115" s="194"/>
      <c r="D3115" s="194"/>
      <c r="E3115" s="196" t="s">
        <v>364</v>
      </c>
      <c r="F3115" s="195">
        <v>456</v>
      </c>
      <c r="G3115" s="197" t="s">
        <v>141</v>
      </c>
      <c r="H3115" s="197" t="s">
        <v>223</v>
      </c>
      <c r="I3115" s="196" t="s">
        <v>226</v>
      </c>
      <c r="J3115" s="195">
        <v>1</v>
      </c>
      <c r="K3115" s="204" t="s">
        <v>224</v>
      </c>
      <c r="L3115" s="199">
        <v>3</v>
      </c>
      <c r="M3115" s="200">
        <v>0.3</v>
      </c>
      <c r="N3115" s="201">
        <v>25</v>
      </c>
    </row>
    <row r="3116" spans="1:14">
      <c r="A3116" s="194">
        <v>41276.242627314816</v>
      </c>
      <c r="B3116" s="195">
        <v>2211</v>
      </c>
      <c r="C3116" s="194"/>
      <c r="D3116" s="194"/>
      <c r="E3116" s="196" t="s">
        <v>244</v>
      </c>
      <c r="F3116" s="195">
        <v>456</v>
      </c>
      <c r="G3116" s="197" t="s">
        <v>141</v>
      </c>
      <c r="H3116" s="197" t="s">
        <v>223</v>
      </c>
      <c r="I3116" s="196" t="s">
        <v>226</v>
      </c>
      <c r="J3116" s="195">
        <v>1</v>
      </c>
      <c r="K3116" s="204" t="s">
        <v>224</v>
      </c>
      <c r="L3116" s="199">
        <v>2</v>
      </c>
      <c r="M3116" s="200">
        <v>0.3</v>
      </c>
      <c r="N3116" s="201">
        <v>37</v>
      </c>
    </row>
    <row r="3117" spans="1:14">
      <c r="A3117" s="194">
        <v>41276.028692129628</v>
      </c>
      <c r="B3117" s="195">
        <v>2211</v>
      </c>
      <c r="C3117" s="194"/>
      <c r="D3117" s="194"/>
      <c r="E3117" s="196" t="s">
        <v>243</v>
      </c>
      <c r="F3117" s="195">
        <v>456</v>
      </c>
      <c r="G3117" s="197" t="s">
        <v>141</v>
      </c>
      <c r="H3117" s="197" t="s">
        <v>223</v>
      </c>
      <c r="I3117" s="196" t="s">
        <v>226</v>
      </c>
      <c r="J3117" s="195">
        <v>1</v>
      </c>
      <c r="K3117" s="204" t="s">
        <v>224</v>
      </c>
      <c r="L3117" s="199">
        <v>2</v>
      </c>
      <c r="M3117" s="200">
        <v>1.5</v>
      </c>
      <c r="N3117" s="201">
        <v>39</v>
      </c>
    </row>
    <row r="3118" spans="1:14">
      <c r="A3118" s="194">
        <v>41303.823298611111</v>
      </c>
      <c r="B3118" s="195">
        <v>2211</v>
      </c>
      <c r="C3118" s="194"/>
      <c r="D3118" s="194"/>
      <c r="E3118" s="196" t="s">
        <v>393</v>
      </c>
      <c r="F3118" s="195">
        <v>456</v>
      </c>
      <c r="G3118" s="197" t="s">
        <v>141</v>
      </c>
      <c r="H3118" s="197" t="s">
        <v>223</v>
      </c>
      <c r="I3118" s="196" t="s">
        <v>226</v>
      </c>
      <c r="J3118" s="195">
        <v>1</v>
      </c>
      <c r="K3118" s="204" t="s">
        <v>224</v>
      </c>
      <c r="L3118" s="199">
        <v>1</v>
      </c>
      <c r="M3118" s="200">
        <v>0.3</v>
      </c>
      <c r="N3118" s="201">
        <v>41</v>
      </c>
    </row>
    <row r="3119" spans="1:14">
      <c r="A3119" s="194">
        <v>41296.051030092596</v>
      </c>
      <c r="B3119" s="195">
        <v>2211</v>
      </c>
      <c r="C3119" s="194"/>
      <c r="D3119" s="194"/>
      <c r="E3119" s="196" t="s">
        <v>320</v>
      </c>
      <c r="F3119" s="195">
        <v>456</v>
      </c>
      <c r="G3119" s="197" t="s">
        <v>141</v>
      </c>
      <c r="H3119" s="197" t="s">
        <v>223</v>
      </c>
      <c r="I3119" s="196" t="s">
        <v>226</v>
      </c>
      <c r="J3119" s="195">
        <v>1</v>
      </c>
      <c r="K3119" s="204" t="s">
        <v>224</v>
      </c>
      <c r="L3119" s="199">
        <v>1</v>
      </c>
      <c r="M3119" s="200">
        <v>0.4</v>
      </c>
      <c r="N3119" s="201">
        <v>43</v>
      </c>
    </row>
    <row r="3120" spans="1:14">
      <c r="A3120" s="194">
        <v>41277.412002314813</v>
      </c>
      <c r="B3120" s="195">
        <v>2211</v>
      </c>
      <c r="C3120" s="194"/>
      <c r="D3120" s="194"/>
      <c r="E3120" s="196" t="s">
        <v>635</v>
      </c>
      <c r="F3120" s="195">
        <v>800</v>
      </c>
      <c r="G3120" s="197" t="s">
        <v>470</v>
      </c>
      <c r="H3120" s="197" t="s">
        <v>471</v>
      </c>
      <c r="J3120" s="195">
        <v>1</v>
      </c>
      <c r="K3120" s="204" t="s">
        <v>224</v>
      </c>
      <c r="L3120" s="199">
        <v>2</v>
      </c>
      <c r="M3120" s="200">
        <v>0.5</v>
      </c>
      <c r="N3120" s="201">
        <v>21</v>
      </c>
    </row>
    <row r="3121" spans="1:14">
      <c r="A3121" s="194">
        <v>41304.9371875</v>
      </c>
      <c r="B3121" s="195">
        <v>2211</v>
      </c>
      <c r="C3121" s="194"/>
      <c r="D3121" s="194"/>
      <c r="E3121" s="196" t="s">
        <v>1552</v>
      </c>
      <c r="F3121" s="195">
        <v>800</v>
      </c>
      <c r="G3121" s="197" t="s">
        <v>470</v>
      </c>
      <c r="H3121" s="197" t="s">
        <v>471</v>
      </c>
      <c r="J3121" s="195">
        <v>1</v>
      </c>
      <c r="K3121" s="204" t="s">
        <v>224</v>
      </c>
      <c r="L3121" s="199">
        <v>2</v>
      </c>
      <c r="M3121" s="200">
        <v>0.9</v>
      </c>
      <c r="N3121" s="201">
        <v>21</v>
      </c>
    </row>
    <row r="3122" spans="1:14">
      <c r="A3122" s="194">
        <v>41278.631932870368</v>
      </c>
      <c r="B3122" s="195">
        <v>2211</v>
      </c>
      <c r="C3122" s="194"/>
      <c r="D3122" s="194"/>
      <c r="E3122" s="196" t="s">
        <v>608</v>
      </c>
      <c r="F3122" s="195">
        <v>800</v>
      </c>
      <c r="G3122" s="197" t="s">
        <v>470</v>
      </c>
      <c r="H3122" s="197" t="s">
        <v>471</v>
      </c>
      <c r="J3122" s="195">
        <v>1</v>
      </c>
      <c r="K3122" s="204" t="s">
        <v>224</v>
      </c>
      <c r="L3122" s="199">
        <v>3</v>
      </c>
      <c r="M3122" s="200">
        <v>0.7</v>
      </c>
      <c r="N3122" s="201">
        <v>22</v>
      </c>
    </row>
    <row r="3123" spans="1:14">
      <c r="A3123" s="194">
        <v>41277.6249537037</v>
      </c>
      <c r="B3123" s="195">
        <v>2211</v>
      </c>
      <c r="C3123" s="194"/>
      <c r="D3123" s="194"/>
      <c r="E3123" s="196" t="s">
        <v>636</v>
      </c>
      <c r="F3123" s="195">
        <v>800</v>
      </c>
      <c r="G3123" s="197" t="s">
        <v>470</v>
      </c>
      <c r="H3123" s="197" t="s">
        <v>471</v>
      </c>
      <c r="J3123" s="195">
        <v>1</v>
      </c>
      <c r="K3123" s="204" t="s">
        <v>224</v>
      </c>
      <c r="L3123" s="199">
        <v>2</v>
      </c>
      <c r="M3123" s="200">
        <v>0.6</v>
      </c>
      <c r="N3123" s="201">
        <v>23</v>
      </c>
    </row>
    <row r="3124" spans="1:14">
      <c r="A3124" s="194">
        <v>41287.685636574075</v>
      </c>
      <c r="B3124" s="195">
        <v>2211</v>
      </c>
      <c r="C3124" s="194"/>
      <c r="D3124" s="194"/>
      <c r="E3124" s="196" t="s">
        <v>870</v>
      </c>
      <c r="F3124" s="195">
        <v>800</v>
      </c>
      <c r="G3124" s="197" t="s">
        <v>470</v>
      </c>
      <c r="H3124" s="197" t="s">
        <v>471</v>
      </c>
      <c r="J3124" s="195">
        <v>1</v>
      </c>
      <c r="K3124" s="204" t="s">
        <v>224</v>
      </c>
      <c r="L3124" s="199">
        <v>2</v>
      </c>
      <c r="M3124" s="200">
        <v>1.8</v>
      </c>
      <c r="N3124" s="201">
        <v>25</v>
      </c>
    </row>
    <row r="3125" spans="1:14">
      <c r="A3125" s="194">
        <v>41288.689189814817</v>
      </c>
      <c r="B3125" s="195">
        <v>2211</v>
      </c>
      <c r="C3125" s="194"/>
      <c r="D3125" s="194"/>
      <c r="E3125" s="196" t="s">
        <v>984</v>
      </c>
      <c r="F3125" s="195">
        <v>800</v>
      </c>
      <c r="G3125" s="197" t="s">
        <v>470</v>
      </c>
      <c r="H3125" s="197" t="s">
        <v>471</v>
      </c>
      <c r="J3125" s="195">
        <v>1</v>
      </c>
      <c r="K3125" s="204" t="s">
        <v>224</v>
      </c>
      <c r="L3125" s="199">
        <v>2</v>
      </c>
      <c r="M3125" s="200">
        <v>0.3</v>
      </c>
      <c r="N3125" s="201">
        <v>26</v>
      </c>
    </row>
    <row r="3126" spans="1:14">
      <c r="A3126" s="194">
        <v>41303.380023148151</v>
      </c>
      <c r="B3126" s="195">
        <v>2211</v>
      </c>
      <c r="C3126" s="194"/>
      <c r="D3126" s="194"/>
      <c r="E3126" s="196" t="s">
        <v>1502</v>
      </c>
      <c r="F3126" s="195">
        <v>800</v>
      </c>
      <c r="G3126" s="197" t="s">
        <v>470</v>
      </c>
      <c r="H3126" s="197" t="s">
        <v>471</v>
      </c>
      <c r="J3126" s="195">
        <v>1</v>
      </c>
      <c r="K3126" s="204" t="s">
        <v>224</v>
      </c>
      <c r="L3126" s="199">
        <v>3</v>
      </c>
      <c r="M3126" s="200">
        <v>0.3</v>
      </c>
      <c r="N3126" s="201">
        <v>27</v>
      </c>
    </row>
    <row r="3127" spans="1:14">
      <c r="A3127" s="194">
        <v>41289.771550925929</v>
      </c>
      <c r="B3127" s="195">
        <v>2211</v>
      </c>
      <c r="C3127" s="194"/>
      <c r="D3127" s="194"/>
      <c r="E3127" s="196" t="s">
        <v>1021</v>
      </c>
      <c r="F3127" s="195">
        <v>800</v>
      </c>
      <c r="G3127" s="197" t="s">
        <v>470</v>
      </c>
      <c r="H3127" s="197" t="s">
        <v>471</v>
      </c>
      <c r="J3127" s="195">
        <v>1</v>
      </c>
      <c r="K3127" s="204" t="s">
        <v>224</v>
      </c>
      <c r="L3127" s="199">
        <v>1</v>
      </c>
      <c r="M3127" s="200">
        <v>1.1000000000000001</v>
      </c>
      <c r="N3127" s="201">
        <v>31</v>
      </c>
    </row>
    <row r="3128" spans="1:14">
      <c r="A3128" s="194">
        <v>41278.70590277778</v>
      </c>
      <c r="B3128" s="195">
        <v>2211</v>
      </c>
      <c r="C3128" s="194"/>
      <c r="D3128" s="194"/>
      <c r="E3128" s="196" t="s">
        <v>609</v>
      </c>
      <c r="F3128" s="195">
        <v>800</v>
      </c>
      <c r="G3128" s="197" t="s">
        <v>470</v>
      </c>
      <c r="H3128" s="197" t="s">
        <v>471</v>
      </c>
      <c r="J3128" s="195">
        <v>1</v>
      </c>
      <c r="K3128" s="204" t="s">
        <v>224</v>
      </c>
      <c r="L3128" s="199">
        <v>2</v>
      </c>
      <c r="M3128" s="200">
        <v>1.3</v>
      </c>
      <c r="N3128" s="201">
        <v>31</v>
      </c>
    </row>
    <row r="3129" spans="1:14">
      <c r="A3129" s="194">
        <v>41283.750648148147</v>
      </c>
      <c r="B3129" s="195">
        <v>2211</v>
      </c>
      <c r="C3129" s="194"/>
      <c r="D3129" s="194"/>
      <c r="E3129" s="196" t="s">
        <v>776</v>
      </c>
      <c r="F3129" s="195">
        <v>800</v>
      </c>
      <c r="G3129" s="197" t="s">
        <v>470</v>
      </c>
      <c r="H3129" s="197" t="s">
        <v>471</v>
      </c>
      <c r="J3129" s="195">
        <v>1</v>
      </c>
      <c r="K3129" s="204" t="s">
        <v>224</v>
      </c>
      <c r="L3129" s="199">
        <v>3</v>
      </c>
      <c r="M3129" s="200">
        <v>0.5</v>
      </c>
      <c r="N3129" s="201">
        <v>32</v>
      </c>
    </row>
    <row r="3130" spans="1:14">
      <c r="A3130" s="194">
        <v>41294.342743055553</v>
      </c>
      <c r="B3130" s="195">
        <v>2211</v>
      </c>
      <c r="C3130" s="194"/>
      <c r="D3130" s="194"/>
      <c r="E3130" s="196" t="s">
        <v>1180</v>
      </c>
      <c r="F3130" s="195">
        <v>800</v>
      </c>
      <c r="G3130" s="197" t="s">
        <v>470</v>
      </c>
      <c r="H3130" s="197" t="s">
        <v>471</v>
      </c>
      <c r="J3130" s="195">
        <v>1</v>
      </c>
      <c r="K3130" s="204" t="s">
        <v>224</v>
      </c>
      <c r="L3130" s="199">
        <v>2</v>
      </c>
      <c r="M3130" s="200">
        <v>0.5</v>
      </c>
      <c r="N3130" s="201">
        <v>36</v>
      </c>
    </row>
    <row r="3131" spans="1:14">
      <c r="A3131" s="194">
        <v>41283.537997685184</v>
      </c>
      <c r="B3131" s="195">
        <v>2211</v>
      </c>
      <c r="C3131" s="194"/>
      <c r="D3131" s="194"/>
      <c r="E3131" s="196" t="s">
        <v>775</v>
      </c>
      <c r="F3131" s="195">
        <v>800</v>
      </c>
      <c r="G3131" s="197" t="s">
        <v>470</v>
      </c>
      <c r="H3131" s="197" t="s">
        <v>471</v>
      </c>
      <c r="J3131" s="195">
        <v>1</v>
      </c>
      <c r="K3131" s="204" t="s">
        <v>224</v>
      </c>
      <c r="L3131" s="199">
        <v>1</v>
      </c>
      <c r="M3131" s="200">
        <v>0.4</v>
      </c>
      <c r="N3131" s="201">
        <v>37</v>
      </c>
    </row>
    <row r="3132" spans="1:14">
      <c r="A3132" s="194">
        <v>41289.502847222226</v>
      </c>
      <c r="B3132" s="195">
        <v>2211</v>
      </c>
      <c r="C3132" s="194"/>
      <c r="D3132" s="194"/>
      <c r="E3132" s="196" t="s">
        <v>1019</v>
      </c>
      <c r="F3132" s="195">
        <v>800</v>
      </c>
      <c r="G3132" s="197" t="s">
        <v>470</v>
      </c>
      <c r="H3132" s="197" t="s">
        <v>471</v>
      </c>
      <c r="J3132" s="195">
        <v>1</v>
      </c>
      <c r="K3132" s="204" t="s">
        <v>224</v>
      </c>
      <c r="L3132" s="199">
        <v>1</v>
      </c>
      <c r="M3132" s="200">
        <v>0.5</v>
      </c>
      <c r="N3132" s="201">
        <v>37</v>
      </c>
    </row>
    <row r="3133" spans="1:14">
      <c r="A3133" s="194">
        <v>41284.766365740739</v>
      </c>
      <c r="B3133" s="195">
        <v>2211</v>
      </c>
      <c r="C3133" s="194"/>
      <c r="D3133" s="194"/>
      <c r="E3133" s="196" t="s">
        <v>865</v>
      </c>
      <c r="F3133" s="195">
        <v>800</v>
      </c>
      <c r="G3133" s="197" t="s">
        <v>470</v>
      </c>
      <c r="H3133" s="197" t="s">
        <v>471</v>
      </c>
      <c r="J3133" s="195">
        <v>1</v>
      </c>
      <c r="K3133" s="204" t="s">
        <v>224</v>
      </c>
      <c r="L3133" s="199">
        <v>2</v>
      </c>
      <c r="M3133" s="200">
        <v>0.6</v>
      </c>
      <c r="N3133" s="201">
        <v>37</v>
      </c>
    </row>
    <row r="3134" spans="1:14">
      <c r="A3134" s="194">
        <v>41300.850127314814</v>
      </c>
      <c r="B3134" s="195">
        <v>2211</v>
      </c>
      <c r="C3134" s="194"/>
      <c r="D3134" s="194"/>
      <c r="E3134" s="196" t="s">
        <v>1435</v>
      </c>
      <c r="F3134" s="195">
        <v>800</v>
      </c>
      <c r="G3134" s="197" t="s">
        <v>470</v>
      </c>
      <c r="H3134" s="197" t="s">
        <v>471</v>
      </c>
      <c r="J3134" s="195">
        <v>1</v>
      </c>
      <c r="K3134" s="204" t="s">
        <v>224</v>
      </c>
      <c r="L3134" s="199">
        <v>2</v>
      </c>
      <c r="M3134" s="200">
        <v>0.8</v>
      </c>
      <c r="N3134" s="201">
        <v>38</v>
      </c>
    </row>
    <row r="3135" spans="1:14">
      <c r="A3135" s="194">
        <v>41286.879699074074</v>
      </c>
      <c r="B3135" s="195">
        <v>2211</v>
      </c>
      <c r="C3135" s="194"/>
      <c r="D3135" s="194"/>
      <c r="E3135" s="196" t="s">
        <v>918</v>
      </c>
      <c r="F3135" s="195">
        <v>800</v>
      </c>
      <c r="G3135" s="197" t="s">
        <v>470</v>
      </c>
      <c r="H3135" s="197" t="s">
        <v>471</v>
      </c>
      <c r="J3135" s="195">
        <v>1</v>
      </c>
      <c r="K3135" s="204" t="s">
        <v>224</v>
      </c>
      <c r="L3135" s="199">
        <v>3</v>
      </c>
      <c r="M3135" s="200">
        <v>1.6</v>
      </c>
      <c r="N3135" s="201">
        <v>39</v>
      </c>
    </row>
    <row r="3136" spans="1:14">
      <c r="A3136" s="194">
        <v>41295.54550925926</v>
      </c>
      <c r="B3136" s="195">
        <v>2211</v>
      </c>
      <c r="C3136" s="194"/>
      <c r="D3136" s="194"/>
      <c r="E3136" s="198"/>
      <c r="G3136" s="202"/>
      <c r="J3136" s="195">
        <v>2</v>
      </c>
      <c r="K3136" s="204" t="s">
        <v>32</v>
      </c>
      <c r="L3136" s="199">
        <v>3</v>
      </c>
      <c r="M3136" s="200">
        <v>0.5</v>
      </c>
      <c r="N3136" s="201">
        <v>16</v>
      </c>
    </row>
    <row r="3137" spans="1:14">
      <c r="A3137" s="194">
        <v>41283.966689814813</v>
      </c>
      <c r="B3137" s="195">
        <v>2211</v>
      </c>
      <c r="C3137" s="194"/>
      <c r="D3137" s="194"/>
      <c r="E3137" s="198"/>
      <c r="G3137" s="202"/>
      <c r="J3137" s="195">
        <v>2</v>
      </c>
      <c r="K3137" s="204" t="s">
        <v>32</v>
      </c>
      <c r="L3137" s="199">
        <v>3</v>
      </c>
      <c r="M3137" s="200">
        <v>3.6</v>
      </c>
      <c r="N3137" s="201">
        <v>16</v>
      </c>
    </row>
    <row r="3138" spans="1:14">
      <c r="A3138" s="194">
        <v>41286.758564814816</v>
      </c>
      <c r="B3138" s="195">
        <v>2211</v>
      </c>
      <c r="C3138" s="194"/>
      <c r="D3138" s="194"/>
      <c r="E3138" s="198"/>
      <c r="G3138" s="202"/>
      <c r="J3138" s="195">
        <v>2</v>
      </c>
      <c r="K3138" s="204" t="s">
        <v>32</v>
      </c>
      <c r="L3138" s="199">
        <v>2</v>
      </c>
      <c r="M3138" s="200">
        <v>0.4</v>
      </c>
      <c r="N3138" s="201">
        <v>29</v>
      </c>
    </row>
    <row r="3139" spans="1:14">
      <c r="A3139" s="194">
        <v>41293.87327546296</v>
      </c>
      <c r="B3139" s="195">
        <v>2211</v>
      </c>
      <c r="C3139" s="194"/>
      <c r="D3139" s="194"/>
      <c r="E3139" s="198"/>
      <c r="G3139" s="202"/>
      <c r="J3139" s="195">
        <v>2</v>
      </c>
      <c r="K3139" s="204" t="s">
        <v>32</v>
      </c>
      <c r="L3139" s="199">
        <v>3</v>
      </c>
      <c r="M3139" s="200">
        <v>0.9</v>
      </c>
      <c r="N3139" s="201">
        <v>34</v>
      </c>
    </row>
    <row r="3140" spans="1:14">
      <c r="A3140" s="194">
        <v>41299.389409722222</v>
      </c>
      <c r="B3140" s="195">
        <v>2211</v>
      </c>
      <c r="C3140" s="194"/>
      <c r="D3140" s="194"/>
      <c r="E3140" s="198"/>
      <c r="G3140" s="202"/>
      <c r="J3140" s="195">
        <v>11</v>
      </c>
      <c r="K3140" s="204" t="s">
        <v>1</v>
      </c>
      <c r="L3140" s="199">
        <v>1</v>
      </c>
      <c r="M3140" s="200">
        <v>1.1000000000000001</v>
      </c>
      <c r="N3140" s="201">
        <v>16</v>
      </c>
    </row>
    <row r="3141" spans="1:14">
      <c r="A3141" s="194">
        <v>41281.827777777777</v>
      </c>
      <c r="B3141" s="195">
        <v>2211</v>
      </c>
      <c r="C3141" s="194"/>
      <c r="D3141" s="194"/>
      <c r="E3141" s="198"/>
      <c r="G3141" s="202"/>
      <c r="J3141" s="195">
        <v>11</v>
      </c>
      <c r="K3141" s="204" t="s">
        <v>1</v>
      </c>
      <c r="L3141" s="199">
        <v>3</v>
      </c>
      <c r="M3141" s="200">
        <v>1.7</v>
      </c>
      <c r="N3141" s="201">
        <v>16</v>
      </c>
    </row>
    <row r="3142" spans="1:14">
      <c r="A3142" s="194">
        <v>41301.117002314815</v>
      </c>
      <c r="B3142" s="195">
        <v>2211</v>
      </c>
      <c r="C3142" s="194"/>
      <c r="D3142" s="194"/>
      <c r="E3142" s="198"/>
      <c r="G3142" s="202"/>
      <c r="J3142" s="195">
        <v>11</v>
      </c>
      <c r="K3142" s="204" t="s">
        <v>1</v>
      </c>
      <c r="L3142" s="199">
        <v>3</v>
      </c>
      <c r="M3142" s="200">
        <v>22.4</v>
      </c>
      <c r="N3142" s="201">
        <v>16</v>
      </c>
    </row>
    <row r="3143" spans="1:14">
      <c r="A3143" s="194">
        <v>41278.640277777777</v>
      </c>
      <c r="B3143" s="195">
        <v>2211</v>
      </c>
      <c r="C3143" s="194"/>
      <c r="D3143" s="194"/>
      <c r="E3143" s="198"/>
      <c r="G3143" s="202"/>
      <c r="J3143" s="195">
        <v>11</v>
      </c>
      <c r="K3143" s="204" t="s">
        <v>1</v>
      </c>
      <c r="L3143" s="199">
        <v>3</v>
      </c>
      <c r="M3143" s="200">
        <v>1.4</v>
      </c>
      <c r="N3143" s="201">
        <v>17</v>
      </c>
    </row>
    <row r="3144" spans="1:14">
      <c r="A3144" s="194">
        <v>41283.907604166663</v>
      </c>
      <c r="B3144" s="195">
        <v>2211</v>
      </c>
      <c r="C3144" s="194"/>
      <c r="D3144" s="194"/>
      <c r="E3144" s="198"/>
      <c r="G3144" s="202"/>
      <c r="J3144" s="195">
        <v>11</v>
      </c>
      <c r="K3144" s="204" t="s">
        <v>1</v>
      </c>
      <c r="L3144" s="199">
        <v>3</v>
      </c>
      <c r="M3144" s="200">
        <v>18.5</v>
      </c>
      <c r="N3144" s="201">
        <v>17</v>
      </c>
    </row>
    <row r="3145" spans="1:14">
      <c r="A3145" s="194">
        <v>41294.5231712963</v>
      </c>
      <c r="B3145" s="195">
        <v>2211</v>
      </c>
      <c r="C3145" s="194"/>
      <c r="D3145" s="194"/>
      <c r="E3145" s="198"/>
      <c r="G3145" s="202"/>
      <c r="J3145" s="195">
        <v>11</v>
      </c>
      <c r="K3145" s="204" t="s">
        <v>1</v>
      </c>
      <c r="L3145" s="199">
        <v>3</v>
      </c>
      <c r="M3145" s="200">
        <v>0.3</v>
      </c>
      <c r="N3145" s="201">
        <v>19</v>
      </c>
    </row>
    <row r="3146" spans="1:14">
      <c r="A3146" s="194">
        <v>41291.382071759261</v>
      </c>
      <c r="B3146" s="195">
        <v>2211</v>
      </c>
      <c r="C3146" s="194"/>
      <c r="D3146" s="194"/>
      <c r="E3146" s="198"/>
      <c r="G3146" s="202"/>
      <c r="J3146" s="195">
        <v>11</v>
      </c>
      <c r="K3146" s="204" t="s">
        <v>1</v>
      </c>
      <c r="L3146" s="199">
        <v>3</v>
      </c>
      <c r="M3146" s="200">
        <v>0.3</v>
      </c>
      <c r="N3146" s="201">
        <v>19</v>
      </c>
    </row>
    <row r="3147" spans="1:14">
      <c r="A3147" s="194">
        <v>41289.728831018518</v>
      </c>
      <c r="B3147" s="195">
        <v>2211</v>
      </c>
      <c r="C3147" s="194"/>
      <c r="D3147" s="194"/>
      <c r="E3147" s="198"/>
      <c r="G3147" s="202"/>
      <c r="J3147" s="195">
        <v>11</v>
      </c>
      <c r="K3147" s="204" t="s">
        <v>1</v>
      </c>
      <c r="L3147" s="199">
        <v>3</v>
      </c>
      <c r="M3147" s="200">
        <v>0.3</v>
      </c>
      <c r="N3147" s="201">
        <v>19</v>
      </c>
    </row>
    <row r="3148" spans="1:14">
      <c r="A3148" s="194">
        <v>41304.083472222221</v>
      </c>
      <c r="B3148" s="195">
        <v>2211</v>
      </c>
      <c r="C3148" s="194"/>
      <c r="D3148" s="194"/>
      <c r="E3148" s="198"/>
      <c r="G3148" s="202"/>
      <c r="J3148" s="195">
        <v>11</v>
      </c>
      <c r="K3148" s="204" t="s">
        <v>1</v>
      </c>
      <c r="L3148" s="199">
        <v>3</v>
      </c>
      <c r="M3148" s="200">
        <v>2.2999999999999998</v>
      </c>
      <c r="N3148" s="201">
        <v>22</v>
      </c>
    </row>
    <row r="3149" spans="1:14">
      <c r="A3149" s="194">
        <v>41292.851018518515</v>
      </c>
      <c r="B3149" s="195">
        <v>2211</v>
      </c>
      <c r="C3149" s="194"/>
      <c r="D3149" s="194"/>
      <c r="E3149" s="198"/>
      <c r="G3149" s="202"/>
      <c r="J3149" s="195">
        <v>11</v>
      </c>
      <c r="K3149" s="204" t="s">
        <v>1</v>
      </c>
      <c r="L3149" s="199">
        <v>2</v>
      </c>
      <c r="M3149" s="200">
        <v>0.5</v>
      </c>
      <c r="N3149" s="201">
        <v>30</v>
      </c>
    </row>
    <row r="3150" spans="1:14">
      <c r="A3150" s="194">
        <v>41291.684062499997</v>
      </c>
      <c r="B3150" s="195">
        <v>2211</v>
      </c>
      <c r="C3150" s="194"/>
      <c r="D3150" s="194"/>
      <c r="E3150" s="198"/>
      <c r="G3150" s="202"/>
      <c r="J3150" s="195">
        <v>11</v>
      </c>
      <c r="K3150" s="204" t="s">
        <v>1</v>
      </c>
      <c r="L3150" s="199">
        <v>2</v>
      </c>
      <c r="M3150" s="200">
        <v>1.2</v>
      </c>
      <c r="N3150" s="201">
        <v>30</v>
      </c>
    </row>
    <row r="3151" spans="1:14">
      <c r="A3151" s="194">
        <v>41297.83803240741</v>
      </c>
      <c r="B3151" s="195">
        <v>2211</v>
      </c>
      <c r="C3151" s="194"/>
      <c r="D3151" s="194"/>
      <c r="E3151" s="198"/>
      <c r="G3151" s="202"/>
      <c r="J3151" s="195">
        <v>11</v>
      </c>
      <c r="K3151" s="204" t="s">
        <v>1</v>
      </c>
      <c r="L3151" s="199">
        <v>2</v>
      </c>
      <c r="M3151" s="200">
        <v>0.7</v>
      </c>
      <c r="N3151" s="201">
        <v>31</v>
      </c>
    </row>
    <row r="3152" spans="1:14">
      <c r="A3152" s="194">
        <v>41290.696527777778</v>
      </c>
      <c r="B3152" s="195">
        <v>2211</v>
      </c>
      <c r="C3152" s="194"/>
      <c r="D3152" s="194"/>
      <c r="E3152" s="198"/>
      <c r="G3152" s="202"/>
      <c r="J3152" s="195">
        <v>11</v>
      </c>
      <c r="K3152" s="204" t="s">
        <v>1</v>
      </c>
      <c r="L3152" s="199">
        <v>2</v>
      </c>
      <c r="M3152" s="200">
        <v>0.4</v>
      </c>
      <c r="N3152" s="201">
        <v>34</v>
      </c>
    </row>
    <row r="3153" spans="1:14">
      <c r="A3153" s="194">
        <v>41285.674629629626</v>
      </c>
      <c r="B3153" s="195">
        <v>2211</v>
      </c>
      <c r="C3153" s="194"/>
      <c r="D3153" s="194"/>
      <c r="E3153" s="198"/>
      <c r="G3153" s="202"/>
      <c r="J3153" s="195">
        <v>12</v>
      </c>
      <c r="K3153" s="204" t="s">
        <v>7</v>
      </c>
      <c r="L3153" s="199">
        <v>3</v>
      </c>
      <c r="M3153" s="200">
        <v>0.4</v>
      </c>
      <c r="N3153" s="201">
        <v>37</v>
      </c>
    </row>
    <row r="3154" spans="1:14">
      <c r="A3154" s="194">
        <v>41295.258449074077</v>
      </c>
      <c r="B3154" s="195">
        <v>2211</v>
      </c>
      <c r="C3154" s="194"/>
      <c r="D3154" s="194"/>
      <c r="E3154" s="198"/>
      <c r="G3154" s="202"/>
      <c r="J3154" s="195">
        <v>12</v>
      </c>
      <c r="K3154" s="204" t="s">
        <v>7</v>
      </c>
      <c r="L3154" s="199">
        <v>1</v>
      </c>
      <c r="M3154" s="200">
        <v>0.5</v>
      </c>
      <c r="N3154" s="201">
        <v>42</v>
      </c>
    </row>
    <row r="3155" spans="1:14">
      <c r="A3155" s="194">
        <v>41278.146307870367</v>
      </c>
      <c r="B3155" s="195">
        <v>2211</v>
      </c>
      <c r="C3155" s="194"/>
      <c r="D3155" s="194"/>
      <c r="E3155" s="196" t="s">
        <v>1852</v>
      </c>
      <c r="G3155" s="202"/>
      <c r="J3155" s="195">
        <v>14</v>
      </c>
      <c r="K3155" s="204" t="s">
        <v>2</v>
      </c>
      <c r="L3155" s="199">
        <v>2</v>
      </c>
      <c r="M3155" s="200">
        <v>0.7</v>
      </c>
      <c r="N3155" s="201">
        <v>27</v>
      </c>
    </row>
    <row r="3156" spans="1:14">
      <c r="A3156" s="194">
        <v>41284.365381944444</v>
      </c>
      <c r="B3156" s="195">
        <v>2211</v>
      </c>
      <c r="C3156" s="194"/>
      <c r="D3156" s="194"/>
      <c r="E3156" s="198"/>
      <c r="G3156" s="202"/>
      <c r="J3156" s="195">
        <v>14</v>
      </c>
      <c r="K3156" s="204" t="s">
        <v>2</v>
      </c>
      <c r="L3156" s="199">
        <v>1</v>
      </c>
      <c r="M3156" s="200">
        <v>0.3</v>
      </c>
      <c r="N3156" s="201">
        <v>32</v>
      </c>
    </row>
    <row r="3157" spans="1:14">
      <c r="A3157" s="194">
        <v>41290.679861111108</v>
      </c>
      <c r="B3157" s="195">
        <v>2211</v>
      </c>
      <c r="C3157" s="194"/>
      <c r="D3157" s="194"/>
      <c r="E3157" s="198"/>
      <c r="G3157" s="202"/>
      <c r="J3157" s="195">
        <v>14</v>
      </c>
      <c r="K3157" s="204" t="s">
        <v>2</v>
      </c>
      <c r="L3157" s="199">
        <v>1</v>
      </c>
      <c r="M3157" s="200">
        <v>0.6</v>
      </c>
      <c r="N3157" s="201">
        <v>39</v>
      </c>
    </row>
    <row r="3158" spans="1:14">
      <c r="A3158" s="194">
        <v>41292.935254629629</v>
      </c>
      <c r="B3158" s="195">
        <v>2211</v>
      </c>
      <c r="C3158" s="194"/>
      <c r="D3158" s="194"/>
      <c r="E3158" s="198"/>
      <c r="G3158" s="202"/>
      <c r="J3158" s="195">
        <v>14</v>
      </c>
      <c r="K3158" s="204" t="s">
        <v>2</v>
      </c>
      <c r="L3158" s="199">
        <v>1</v>
      </c>
      <c r="M3158" s="200">
        <v>0.5</v>
      </c>
      <c r="N3158" s="201">
        <v>42</v>
      </c>
    </row>
    <row r="3159" spans="1:14">
      <c r="A3159" s="194">
        <v>41290.59820601852</v>
      </c>
      <c r="B3159" s="195">
        <v>2211</v>
      </c>
      <c r="C3159" s="194"/>
      <c r="D3159" s="194"/>
      <c r="E3159" s="198"/>
      <c r="G3159" s="202"/>
      <c r="J3159" s="195">
        <v>15</v>
      </c>
      <c r="K3159" s="204" t="s">
        <v>4</v>
      </c>
      <c r="L3159" s="199">
        <v>1</v>
      </c>
      <c r="M3159" s="200">
        <v>1</v>
      </c>
      <c r="N3159" s="201">
        <v>26</v>
      </c>
    </row>
    <row r="3160" spans="1:14">
      <c r="A3160" s="194">
        <v>41293.744050925925</v>
      </c>
      <c r="B3160" s="195">
        <v>2211</v>
      </c>
      <c r="C3160" s="194"/>
      <c r="D3160" s="194"/>
      <c r="E3160" s="198"/>
      <c r="G3160" s="202"/>
      <c r="J3160" s="195">
        <v>15</v>
      </c>
      <c r="K3160" s="204" t="s">
        <v>4</v>
      </c>
      <c r="L3160" s="199">
        <v>1</v>
      </c>
      <c r="M3160" s="200">
        <v>0.3</v>
      </c>
      <c r="N3160" s="201">
        <v>33</v>
      </c>
    </row>
    <row r="3161" spans="1:14">
      <c r="A3161" s="194">
        <v>41288.200023148151</v>
      </c>
      <c r="B3161" s="195">
        <v>2211</v>
      </c>
      <c r="C3161" s="194"/>
      <c r="D3161" s="194"/>
      <c r="E3161" s="198"/>
      <c r="G3161" s="202"/>
      <c r="J3161" s="195">
        <v>17</v>
      </c>
      <c r="K3161" s="204" t="s">
        <v>11</v>
      </c>
      <c r="L3161" s="199">
        <v>3</v>
      </c>
      <c r="M3161" s="200">
        <v>0.3</v>
      </c>
      <c r="N3161" s="201">
        <v>16</v>
      </c>
    </row>
    <row r="3162" spans="1:14">
      <c r="A3162" s="194">
        <v>41284.455625000002</v>
      </c>
      <c r="B3162" s="195">
        <v>2211</v>
      </c>
      <c r="C3162" s="194"/>
      <c r="D3162" s="194"/>
      <c r="E3162" s="198"/>
      <c r="G3162" s="202"/>
      <c r="J3162" s="195">
        <v>17</v>
      </c>
      <c r="K3162" s="204" t="s">
        <v>11</v>
      </c>
      <c r="L3162" s="199">
        <v>2</v>
      </c>
      <c r="M3162" s="200">
        <v>0.3</v>
      </c>
      <c r="N3162" s="201">
        <v>16</v>
      </c>
    </row>
    <row r="3163" spans="1:14">
      <c r="A3163" s="194">
        <v>41281.465810185182</v>
      </c>
      <c r="B3163" s="195">
        <v>2211</v>
      </c>
      <c r="C3163" s="194"/>
      <c r="D3163" s="194"/>
      <c r="E3163" s="198"/>
      <c r="G3163" s="202"/>
      <c r="J3163" s="195">
        <v>17</v>
      </c>
      <c r="K3163" s="204" t="s">
        <v>11</v>
      </c>
      <c r="L3163" s="199">
        <v>1</v>
      </c>
      <c r="M3163" s="200">
        <v>1</v>
      </c>
      <c r="N3163" s="201">
        <v>16</v>
      </c>
    </row>
    <row r="3164" spans="1:14">
      <c r="A3164" s="194">
        <v>41281.706909722219</v>
      </c>
      <c r="B3164" s="195">
        <v>2211</v>
      </c>
      <c r="C3164" s="194"/>
      <c r="D3164" s="194"/>
      <c r="E3164" s="198"/>
      <c r="G3164" s="202"/>
      <c r="J3164" s="195">
        <v>17</v>
      </c>
      <c r="K3164" s="204" t="s">
        <v>11</v>
      </c>
      <c r="L3164" s="199">
        <v>2</v>
      </c>
      <c r="M3164" s="200">
        <v>2.1</v>
      </c>
      <c r="N3164" s="201">
        <v>16</v>
      </c>
    </row>
    <row r="3165" spans="1:14">
      <c r="A3165" s="194">
        <v>41302.705983796295</v>
      </c>
      <c r="B3165" s="195">
        <v>2211</v>
      </c>
      <c r="C3165" s="194"/>
      <c r="D3165" s="194"/>
      <c r="E3165" s="198"/>
      <c r="G3165" s="202"/>
      <c r="J3165" s="195">
        <v>17</v>
      </c>
      <c r="K3165" s="204" t="s">
        <v>11</v>
      </c>
      <c r="L3165" s="199">
        <v>3</v>
      </c>
      <c r="M3165" s="200">
        <v>2.4</v>
      </c>
      <c r="N3165" s="201">
        <v>16</v>
      </c>
    </row>
    <row r="3166" spans="1:14">
      <c r="A3166" s="194">
        <v>41282.691238425927</v>
      </c>
      <c r="B3166" s="195">
        <v>2211</v>
      </c>
      <c r="C3166" s="194"/>
      <c r="D3166" s="194"/>
      <c r="E3166" s="198"/>
      <c r="G3166" s="202"/>
      <c r="J3166" s="195">
        <v>17</v>
      </c>
      <c r="K3166" s="204" t="s">
        <v>11</v>
      </c>
      <c r="L3166" s="199">
        <v>2</v>
      </c>
      <c r="M3166" s="200">
        <v>0.5</v>
      </c>
      <c r="N3166" s="201">
        <v>17</v>
      </c>
    </row>
    <row r="3167" spans="1:14">
      <c r="A3167" s="194">
        <v>41281.069490740738</v>
      </c>
      <c r="B3167" s="195">
        <v>2211</v>
      </c>
      <c r="C3167" s="194"/>
      <c r="D3167" s="194"/>
      <c r="E3167" s="198"/>
      <c r="G3167" s="202"/>
      <c r="J3167" s="195">
        <v>17</v>
      </c>
      <c r="K3167" s="204" t="s">
        <v>11</v>
      </c>
      <c r="L3167" s="199">
        <v>3</v>
      </c>
      <c r="M3167" s="200">
        <v>0.7</v>
      </c>
      <c r="N3167" s="201">
        <v>17</v>
      </c>
    </row>
    <row r="3168" spans="1:14">
      <c r="A3168" s="194">
        <v>41275.164803240739</v>
      </c>
      <c r="B3168" s="195">
        <v>2211</v>
      </c>
      <c r="C3168" s="194"/>
      <c r="D3168" s="194"/>
      <c r="E3168" s="198"/>
      <c r="G3168" s="202"/>
      <c r="J3168" s="195">
        <v>17</v>
      </c>
      <c r="K3168" s="204" t="s">
        <v>11</v>
      </c>
      <c r="L3168" s="199">
        <v>3</v>
      </c>
      <c r="M3168" s="200">
        <v>0.8</v>
      </c>
      <c r="N3168" s="201">
        <v>17</v>
      </c>
    </row>
    <row r="3169" spans="1:14">
      <c r="A3169" s="194">
        <v>41289.745509259257</v>
      </c>
      <c r="B3169" s="195">
        <v>2211</v>
      </c>
      <c r="C3169" s="194"/>
      <c r="D3169" s="194"/>
      <c r="E3169" s="198"/>
      <c r="G3169" s="202"/>
      <c r="J3169" s="195">
        <v>17</v>
      </c>
      <c r="K3169" s="204" t="s">
        <v>11</v>
      </c>
      <c r="L3169" s="199">
        <v>3</v>
      </c>
      <c r="M3169" s="200">
        <v>1</v>
      </c>
      <c r="N3169" s="201">
        <v>17</v>
      </c>
    </row>
    <row r="3170" spans="1:14">
      <c r="A3170" s="194">
        <v>41275.112060185187</v>
      </c>
      <c r="B3170" s="195">
        <v>2211</v>
      </c>
      <c r="C3170" s="194"/>
      <c r="D3170" s="194"/>
      <c r="E3170" s="198"/>
      <c r="G3170" s="202"/>
      <c r="J3170" s="195">
        <v>17</v>
      </c>
      <c r="K3170" s="204" t="s">
        <v>11</v>
      </c>
      <c r="L3170" s="199">
        <v>3</v>
      </c>
      <c r="M3170" s="200">
        <v>3.7</v>
      </c>
      <c r="N3170" s="201">
        <v>17</v>
      </c>
    </row>
    <row r="3171" spans="1:14">
      <c r="A3171" s="194">
        <v>41295.313414351855</v>
      </c>
      <c r="B3171" s="195">
        <v>2211</v>
      </c>
      <c r="C3171" s="194"/>
      <c r="D3171" s="194"/>
      <c r="E3171" s="198"/>
      <c r="G3171" s="202"/>
      <c r="J3171" s="195">
        <v>17</v>
      </c>
      <c r="K3171" s="204" t="s">
        <v>11</v>
      </c>
      <c r="L3171" s="199">
        <v>3</v>
      </c>
      <c r="M3171" s="200">
        <v>5.6</v>
      </c>
      <c r="N3171" s="201">
        <v>17</v>
      </c>
    </row>
    <row r="3172" spans="1:14">
      <c r="A3172" s="194">
        <v>41298.750717592593</v>
      </c>
      <c r="B3172" s="195">
        <v>2211</v>
      </c>
      <c r="C3172" s="194"/>
      <c r="D3172" s="194"/>
      <c r="E3172" s="198"/>
      <c r="G3172" s="202"/>
      <c r="J3172" s="195">
        <v>17</v>
      </c>
      <c r="K3172" s="204" t="s">
        <v>11</v>
      </c>
      <c r="L3172" s="199">
        <v>3</v>
      </c>
      <c r="M3172" s="200">
        <v>0.8</v>
      </c>
      <c r="N3172" s="201">
        <v>18</v>
      </c>
    </row>
    <row r="3173" spans="1:14">
      <c r="A3173" s="194">
        <v>41299.898298611108</v>
      </c>
      <c r="B3173" s="195">
        <v>2211</v>
      </c>
      <c r="C3173" s="194"/>
      <c r="D3173" s="194"/>
      <c r="E3173" s="198"/>
      <c r="G3173" s="202"/>
      <c r="J3173" s="195">
        <v>17</v>
      </c>
      <c r="K3173" s="204" t="s">
        <v>11</v>
      </c>
      <c r="L3173" s="199">
        <v>3</v>
      </c>
      <c r="M3173" s="200">
        <v>2.6</v>
      </c>
      <c r="N3173" s="201">
        <v>19</v>
      </c>
    </row>
    <row r="3174" spans="1:14">
      <c r="A3174" s="194">
        <v>41283.006666666668</v>
      </c>
      <c r="B3174" s="195">
        <v>2211</v>
      </c>
      <c r="C3174" s="194"/>
      <c r="D3174" s="194"/>
      <c r="E3174" s="198"/>
      <c r="G3174" s="202"/>
      <c r="J3174" s="195">
        <v>17</v>
      </c>
      <c r="K3174" s="204" t="s">
        <v>11</v>
      </c>
      <c r="L3174" s="199">
        <v>3</v>
      </c>
      <c r="M3174" s="200">
        <v>17.600000000000001</v>
      </c>
      <c r="N3174" s="201">
        <v>19</v>
      </c>
    </row>
    <row r="3175" spans="1:14">
      <c r="A3175" s="194">
        <v>41302.89947916667</v>
      </c>
      <c r="B3175" s="195">
        <v>2211</v>
      </c>
      <c r="C3175" s="194"/>
      <c r="D3175" s="194"/>
      <c r="E3175" s="198"/>
      <c r="G3175" s="202"/>
      <c r="J3175" s="195">
        <v>17</v>
      </c>
      <c r="K3175" s="204" t="s">
        <v>11</v>
      </c>
      <c r="L3175" s="199">
        <v>3</v>
      </c>
      <c r="M3175" s="200">
        <v>27</v>
      </c>
      <c r="N3175" s="201">
        <v>20</v>
      </c>
    </row>
    <row r="3176" spans="1:14">
      <c r="A3176" s="194">
        <v>41276.196469907409</v>
      </c>
      <c r="B3176" s="195">
        <v>2211</v>
      </c>
      <c r="C3176" s="194"/>
      <c r="D3176" s="194"/>
      <c r="E3176" s="198"/>
      <c r="G3176" s="202"/>
      <c r="J3176" s="195">
        <v>17</v>
      </c>
      <c r="K3176" s="204" t="s">
        <v>11</v>
      </c>
      <c r="L3176" s="199">
        <v>2</v>
      </c>
      <c r="M3176" s="200">
        <v>14.3</v>
      </c>
      <c r="N3176" s="201">
        <v>21</v>
      </c>
    </row>
    <row r="3177" spans="1:14">
      <c r="A3177" s="194">
        <v>41275.192974537036</v>
      </c>
      <c r="B3177" s="195">
        <v>2211</v>
      </c>
      <c r="C3177" s="194"/>
      <c r="D3177" s="194"/>
      <c r="E3177" s="198"/>
      <c r="G3177" s="202"/>
      <c r="J3177" s="195">
        <v>17</v>
      </c>
      <c r="K3177" s="204" t="s">
        <v>11</v>
      </c>
      <c r="L3177" s="199">
        <v>2</v>
      </c>
      <c r="M3177" s="200">
        <v>35.9</v>
      </c>
      <c r="N3177" s="201">
        <v>22</v>
      </c>
    </row>
    <row r="3178" spans="1:14">
      <c r="A3178" s="194">
        <v>41276.878692129627</v>
      </c>
      <c r="B3178" s="195">
        <v>2211</v>
      </c>
      <c r="C3178" s="194"/>
      <c r="D3178" s="194"/>
      <c r="E3178" s="198"/>
      <c r="G3178" s="202"/>
      <c r="J3178" s="195">
        <v>17</v>
      </c>
      <c r="K3178" s="204" t="s">
        <v>11</v>
      </c>
      <c r="L3178" s="199">
        <v>2</v>
      </c>
      <c r="M3178" s="200">
        <v>1.1000000000000001</v>
      </c>
      <c r="N3178" s="201">
        <v>23</v>
      </c>
    </row>
    <row r="3179" spans="1:14">
      <c r="A3179" s="194">
        <v>41294.25849537037</v>
      </c>
      <c r="B3179" s="195">
        <v>2211</v>
      </c>
      <c r="C3179" s="194"/>
      <c r="D3179" s="194"/>
      <c r="E3179" s="198"/>
      <c r="G3179" s="202"/>
      <c r="J3179" s="195">
        <v>17</v>
      </c>
      <c r="K3179" s="204" t="s">
        <v>11</v>
      </c>
      <c r="L3179" s="199">
        <v>2</v>
      </c>
      <c r="M3179" s="200">
        <v>1.6</v>
      </c>
      <c r="N3179" s="201">
        <v>23</v>
      </c>
    </row>
    <row r="3180" spans="1:14">
      <c r="A3180" s="194">
        <v>41297.006689814814</v>
      </c>
      <c r="B3180" s="195">
        <v>2211</v>
      </c>
      <c r="C3180" s="194"/>
      <c r="D3180" s="194"/>
      <c r="E3180" s="198"/>
      <c r="G3180" s="202"/>
      <c r="J3180" s="195">
        <v>17</v>
      </c>
      <c r="K3180" s="204" t="s">
        <v>11</v>
      </c>
      <c r="L3180" s="199">
        <v>2</v>
      </c>
      <c r="M3180" s="200">
        <v>12.6</v>
      </c>
      <c r="N3180" s="201">
        <v>39</v>
      </c>
    </row>
    <row r="3181" spans="1:14">
      <c r="A3181" s="194">
        <v>41290.550069444442</v>
      </c>
      <c r="B3181" s="195">
        <v>2211</v>
      </c>
      <c r="C3181" s="194"/>
      <c r="D3181" s="194"/>
      <c r="E3181" s="198"/>
      <c r="G3181" s="202"/>
      <c r="J3181" s="195">
        <v>18</v>
      </c>
      <c r="K3181" s="204" t="s">
        <v>5</v>
      </c>
      <c r="L3181" s="199">
        <v>2</v>
      </c>
      <c r="M3181" s="200">
        <v>1.9</v>
      </c>
      <c r="N3181" s="201">
        <v>21</v>
      </c>
    </row>
    <row r="3182" spans="1:14">
      <c r="A3182" s="194">
        <v>41291.344629629632</v>
      </c>
      <c r="B3182" s="195">
        <v>2211</v>
      </c>
      <c r="C3182" s="194"/>
      <c r="D3182" s="194"/>
      <c r="E3182" s="198"/>
      <c r="G3182" s="202"/>
      <c r="J3182" s="195">
        <v>18</v>
      </c>
      <c r="K3182" s="204" t="s">
        <v>5</v>
      </c>
      <c r="L3182" s="199">
        <v>1</v>
      </c>
      <c r="M3182" s="200">
        <v>4.4000000000000004</v>
      </c>
      <c r="N3182" s="201">
        <v>22</v>
      </c>
    </row>
    <row r="3183" spans="1:14">
      <c r="A3183" s="194">
        <v>41294.914942129632</v>
      </c>
      <c r="B3183" s="195">
        <v>2211</v>
      </c>
      <c r="C3183" s="194"/>
      <c r="D3183" s="194"/>
      <c r="E3183" s="198"/>
      <c r="G3183" s="202"/>
      <c r="J3183" s="195">
        <v>18</v>
      </c>
      <c r="K3183" s="204" t="s">
        <v>5</v>
      </c>
      <c r="L3183" s="199">
        <v>2</v>
      </c>
      <c r="M3183" s="200">
        <v>7.1</v>
      </c>
      <c r="N3183" s="201">
        <v>23</v>
      </c>
    </row>
    <row r="3184" spans="1:14">
      <c r="A3184" s="194">
        <v>41305.663425925923</v>
      </c>
      <c r="B3184" s="195">
        <v>2211</v>
      </c>
      <c r="C3184" s="194"/>
      <c r="D3184" s="194"/>
      <c r="E3184" s="198"/>
      <c r="G3184" s="202"/>
      <c r="J3184" s="195">
        <v>18</v>
      </c>
      <c r="K3184" s="204" t="s">
        <v>5</v>
      </c>
      <c r="L3184" s="199">
        <v>1</v>
      </c>
      <c r="M3184" s="200">
        <v>9</v>
      </c>
      <c r="N3184" s="201">
        <v>23</v>
      </c>
    </row>
    <row r="3185" spans="1:14">
      <c r="A3185" s="194">
        <v>41290.780902777777</v>
      </c>
      <c r="B3185" s="195">
        <v>2211</v>
      </c>
      <c r="C3185" s="194"/>
      <c r="D3185" s="194"/>
      <c r="E3185" s="196" t="s">
        <v>2084</v>
      </c>
      <c r="G3185" s="202"/>
      <c r="J3185" s="195">
        <v>24</v>
      </c>
      <c r="K3185" s="204" t="s">
        <v>25</v>
      </c>
      <c r="L3185" s="199">
        <v>2</v>
      </c>
      <c r="M3185" s="200">
        <v>0.3</v>
      </c>
      <c r="N3185" s="201">
        <v>29</v>
      </c>
    </row>
    <row r="3186" spans="1:14">
      <c r="A3186" s="194">
        <v>41303.750775462962</v>
      </c>
      <c r="B3186" s="195">
        <v>2211</v>
      </c>
      <c r="C3186" s="194"/>
      <c r="D3186" s="194"/>
      <c r="E3186" s="196" t="s">
        <v>1900</v>
      </c>
      <c r="G3186" s="202"/>
      <c r="J3186" s="195">
        <v>24</v>
      </c>
      <c r="K3186" s="204" t="s">
        <v>25</v>
      </c>
      <c r="L3186" s="199">
        <v>3</v>
      </c>
      <c r="M3186" s="200">
        <v>0.4</v>
      </c>
      <c r="N3186" s="201">
        <v>30</v>
      </c>
    </row>
    <row r="3187" spans="1:14">
      <c r="A3187" s="194">
        <v>41278.803738425922</v>
      </c>
      <c r="B3187" s="195">
        <v>2211</v>
      </c>
      <c r="C3187" s="194"/>
      <c r="D3187" s="194"/>
      <c r="E3187" s="196" t="s">
        <v>2045</v>
      </c>
      <c r="G3187" s="202"/>
      <c r="J3187" s="195">
        <v>24</v>
      </c>
      <c r="K3187" s="204" t="s">
        <v>25</v>
      </c>
      <c r="L3187" s="199">
        <v>3</v>
      </c>
      <c r="M3187" s="200">
        <v>0.5</v>
      </c>
      <c r="N3187" s="201">
        <v>30</v>
      </c>
    </row>
    <row r="3188" spans="1:14">
      <c r="A3188" s="194">
        <v>41296.782013888886</v>
      </c>
      <c r="B3188" s="195">
        <v>2211</v>
      </c>
      <c r="C3188" s="194"/>
      <c r="D3188" s="194"/>
      <c r="E3188" s="196" t="s">
        <v>2068</v>
      </c>
      <c r="G3188" s="202"/>
      <c r="J3188" s="195">
        <v>24</v>
      </c>
      <c r="K3188" s="204" t="s">
        <v>25</v>
      </c>
      <c r="L3188" s="199">
        <v>1</v>
      </c>
      <c r="M3188" s="200">
        <v>1.8</v>
      </c>
      <c r="N3188" s="201">
        <v>31</v>
      </c>
    </row>
    <row r="3189" spans="1:14">
      <c r="A3189" s="194">
        <v>41297.290393518517</v>
      </c>
      <c r="B3189" s="195">
        <v>2211</v>
      </c>
      <c r="C3189" s="194"/>
      <c r="D3189" s="194"/>
      <c r="E3189" s="196" t="s">
        <v>1652</v>
      </c>
      <c r="G3189" s="202"/>
      <c r="J3189" s="195">
        <v>29</v>
      </c>
      <c r="K3189" s="204" t="s">
        <v>39</v>
      </c>
      <c r="L3189" s="199">
        <v>2</v>
      </c>
      <c r="M3189" s="200">
        <v>0.9</v>
      </c>
      <c r="N3189" s="201">
        <v>29</v>
      </c>
    </row>
    <row r="3190" spans="1:14">
      <c r="A3190" s="194">
        <v>41286.951909722222</v>
      </c>
      <c r="B3190" s="195">
        <v>2211</v>
      </c>
      <c r="C3190" s="194"/>
      <c r="D3190" s="194"/>
      <c r="E3190" s="196" t="s">
        <v>1947</v>
      </c>
      <c r="G3190" s="202"/>
      <c r="J3190" s="195">
        <v>29</v>
      </c>
      <c r="K3190" s="204" t="s">
        <v>39</v>
      </c>
      <c r="L3190" s="199">
        <v>1</v>
      </c>
      <c r="M3190" s="200">
        <v>0.9</v>
      </c>
      <c r="N3190" s="201">
        <v>43</v>
      </c>
    </row>
    <row r="3191" spans="1:14">
      <c r="A3191" s="194">
        <v>41295.867719907408</v>
      </c>
      <c r="B3191" s="195">
        <v>2211</v>
      </c>
      <c r="C3191" s="194"/>
      <c r="D3191" s="194"/>
      <c r="E3191" s="198"/>
      <c r="G3191" s="202"/>
      <c r="J3191" s="195">
        <v>43</v>
      </c>
      <c r="K3191" s="204" t="s">
        <v>1596</v>
      </c>
      <c r="L3191" s="199">
        <v>3</v>
      </c>
      <c r="M3191" s="200">
        <v>0.4</v>
      </c>
      <c r="N3191" s="201">
        <v>14</v>
      </c>
    </row>
    <row r="3192" spans="1:14">
      <c r="A3192" s="194">
        <v>41296.621400462966</v>
      </c>
      <c r="B3192" s="195">
        <v>2211</v>
      </c>
      <c r="C3192" s="194"/>
      <c r="D3192" s="194"/>
      <c r="E3192" s="198"/>
      <c r="G3192" s="202"/>
      <c r="J3192" s="195">
        <v>43</v>
      </c>
      <c r="K3192" s="204" t="s">
        <v>1596</v>
      </c>
      <c r="L3192" s="199">
        <v>3</v>
      </c>
      <c r="M3192" s="200">
        <v>0.4</v>
      </c>
      <c r="N3192" s="201">
        <v>15</v>
      </c>
    </row>
    <row r="3193" spans="1:14">
      <c r="A3193" s="194">
        <v>41285.367476851854</v>
      </c>
      <c r="B3193" s="195">
        <v>2211</v>
      </c>
      <c r="C3193" s="194"/>
      <c r="D3193" s="194"/>
      <c r="E3193" s="198"/>
      <c r="G3193" s="202"/>
      <c r="J3193" s="195">
        <v>43</v>
      </c>
      <c r="K3193" s="204" t="s">
        <v>1596</v>
      </c>
      <c r="L3193" s="199">
        <v>3</v>
      </c>
      <c r="M3193" s="200">
        <v>0.4</v>
      </c>
      <c r="N3193" s="201">
        <v>15</v>
      </c>
    </row>
    <row r="3194" spans="1:14">
      <c r="A3194" s="194">
        <v>41292.521331018521</v>
      </c>
      <c r="B3194" s="195">
        <v>2211</v>
      </c>
      <c r="C3194" s="194"/>
      <c r="D3194" s="194"/>
      <c r="E3194" s="198"/>
      <c r="G3194" s="202"/>
      <c r="J3194" s="195">
        <v>43</v>
      </c>
      <c r="K3194" s="204" t="s">
        <v>1596</v>
      </c>
      <c r="L3194" s="199">
        <v>3</v>
      </c>
      <c r="M3194" s="200">
        <v>0.5</v>
      </c>
      <c r="N3194" s="201">
        <v>15</v>
      </c>
    </row>
    <row r="3195" spans="1:14">
      <c r="A3195" s="194">
        <v>41283.323703703703</v>
      </c>
      <c r="B3195" s="195">
        <v>2211</v>
      </c>
      <c r="C3195" s="194"/>
      <c r="D3195" s="194"/>
      <c r="E3195" s="198"/>
      <c r="G3195" s="202"/>
      <c r="J3195" s="195">
        <v>43</v>
      </c>
      <c r="K3195" s="204" t="s">
        <v>1596</v>
      </c>
      <c r="L3195" s="199">
        <v>3</v>
      </c>
      <c r="M3195" s="200">
        <v>0.7</v>
      </c>
      <c r="N3195" s="201">
        <v>15</v>
      </c>
    </row>
    <row r="3196" spans="1:14">
      <c r="A3196" s="194">
        <v>41296.876944444448</v>
      </c>
      <c r="B3196" s="195">
        <v>2211</v>
      </c>
      <c r="C3196" s="194"/>
      <c r="D3196" s="194"/>
      <c r="E3196" s="198"/>
      <c r="G3196" s="202"/>
      <c r="J3196" s="195">
        <v>43</v>
      </c>
      <c r="K3196" s="204" t="s">
        <v>1596</v>
      </c>
      <c r="L3196" s="199">
        <v>3</v>
      </c>
      <c r="M3196" s="200">
        <v>0.8</v>
      </c>
      <c r="N3196" s="201">
        <v>15</v>
      </c>
    </row>
    <row r="3197" spans="1:14">
      <c r="A3197" s="194">
        <v>41285.591689814813</v>
      </c>
      <c r="B3197" s="195">
        <v>2211</v>
      </c>
      <c r="C3197" s="194"/>
      <c r="D3197" s="194"/>
      <c r="E3197" s="198"/>
      <c r="G3197" s="202"/>
      <c r="J3197" s="195">
        <v>43</v>
      </c>
      <c r="K3197" s="204" t="s">
        <v>1596</v>
      </c>
      <c r="L3197" s="199">
        <v>3</v>
      </c>
      <c r="M3197" s="200">
        <v>0.8</v>
      </c>
      <c r="N3197" s="201">
        <v>15</v>
      </c>
    </row>
    <row r="3198" spans="1:14">
      <c r="A3198" s="194">
        <v>41302.340497685182</v>
      </c>
      <c r="B3198" s="195">
        <v>2211</v>
      </c>
      <c r="C3198" s="194"/>
      <c r="D3198" s="194"/>
      <c r="E3198" s="198"/>
      <c r="G3198" s="202"/>
      <c r="J3198" s="195">
        <v>43</v>
      </c>
      <c r="K3198" s="204" t="s">
        <v>1596</v>
      </c>
      <c r="L3198" s="199">
        <v>3</v>
      </c>
      <c r="M3198" s="200">
        <v>0.9</v>
      </c>
      <c r="N3198" s="201">
        <v>15</v>
      </c>
    </row>
    <row r="3199" spans="1:14">
      <c r="A3199" s="194">
        <v>41291.518611111111</v>
      </c>
      <c r="B3199" s="195">
        <v>2211</v>
      </c>
      <c r="C3199" s="194"/>
      <c r="D3199" s="194"/>
      <c r="E3199" s="198"/>
      <c r="G3199" s="202"/>
      <c r="J3199" s="195">
        <v>43</v>
      </c>
      <c r="K3199" s="204" t="s">
        <v>1596</v>
      </c>
      <c r="L3199" s="199">
        <v>3</v>
      </c>
      <c r="M3199" s="200">
        <v>0.9</v>
      </c>
      <c r="N3199" s="201">
        <v>15</v>
      </c>
    </row>
    <row r="3200" spans="1:14">
      <c r="A3200" s="194">
        <v>41277.344456018516</v>
      </c>
      <c r="B3200" s="195">
        <v>2211</v>
      </c>
      <c r="C3200" s="194"/>
      <c r="D3200" s="194"/>
      <c r="E3200" s="198"/>
      <c r="G3200" s="202"/>
      <c r="J3200" s="195">
        <v>43</v>
      </c>
      <c r="K3200" s="204" t="s">
        <v>1596</v>
      </c>
      <c r="L3200" s="199">
        <v>3</v>
      </c>
      <c r="M3200" s="200">
        <v>0.9</v>
      </c>
      <c r="N3200" s="201">
        <v>15</v>
      </c>
    </row>
    <row r="3201" spans="1:14">
      <c r="A3201" s="194">
        <v>41289.860254629632</v>
      </c>
      <c r="B3201" s="195">
        <v>2211</v>
      </c>
      <c r="C3201" s="194"/>
      <c r="D3201" s="194"/>
      <c r="E3201" s="198"/>
      <c r="G3201" s="202"/>
      <c r="J3201" s="195">
        <v>43</v>
      </c>
      <c r="K3201" s="204" t="s">
        <v>1596</v>
      </c>
      <c r="L3201" s="199">
        <v>3</v>
      </c>
      <c r="M3201" s="200">
        <v>1</v>
      </c>
      <c r="N3201" s="201">
        <v>15</v>
      </c>
    </row>
    <row r="3202" spans="1:14">
      <c r="A3202" s="194">
        <v>41302.341550925928</v>
      </c>
      <c r="B3202" s="195">
        <v>2211</v>
      </c>
      <c r="C3202" s="194"/>
      <c r="D3202" s="194"/>
      <c r="E3202" s="198"/>
      <c r="G3202" s="202"/>
      <c r="J3202" s="195">
        <v>43</v>
      </c>
      <c r="K3202" s="204" t="s">
        <v>1596</v>
      </c>
      <c r="L3202" s="199">
        <v>3</v>
      </c>
      <c r="M3202" s="200">
        <v>1.1000000000000001</v>
      </c>
      <c r="N3202" s="201">
        <v>15</v>
      </c>
    </row>
    <row r="3203" spans="1:14">
      <c r="A3203" s="194">
        <v>41284.337268518517</v>
      </c>
      <c r="B3203" s="195">
        <v>2211</v>
      </c>
      <c r="C3203" s="194"/>
      <c r="D3203" s="194"/>
      <c r="E3203" s="198"/>
      <c r="G3203" s="202"/>
      <c r="J3203" s="195">
        <v>43</v>
      </c>
      <c r="K3203" s="204" t="s">
        <v>1596</v>
      </c>
      <c r="L3203" s="199">
        <v>3</v>
      </c>
      <c r="M3203" s="200">
        <v>1.4</v>
      </c>
      <c r="N3203" s="201">
        <v>15</v>
      </c>
    </row>
    <row r="3204" spans="1:14">
      <c r="A3204" s="194">
        <v>41287.414826388886</v>
      </c>
      <c r="B3204" s="195">
        <v>2211</v>
      </c>
      <c r="C3204" s="194"/>
      <c r="D3204" s="194"/>
      <c r="E3204" s="198"/>
      <c r="G3204" s="202"/>
      <c r="J3204" s="195">
        <v>43</v>
      </c>
      <c r="K3204" s="204" t="s">
        <v>1596</v>
      </c>
      <c r="L3204" s="199">
        <v>3</v>
      </c>
      <c r="M3204" s="200">
        <v>1.5</v>
      </c>
      <c r="N3204" s="201">
        <v>15</v>
      </c>
    </row>
    <row r="3205" spans="1:14">
      <c r="A3205" s="194">
        <v>41303.420543981483</v>
      </c>
      <c r="B3205" s="195">
        <v>2211</v>
      </c>
      <c r="C3205" s="194"/>
      <c r="D3205" s="194"/>
      <c r="E3205" s="198"/>
      <c r="G3205" s="202"/>
      <c r="J3205" s="195">
        <v>43</v>
      </c>
      <c r="K3205" s="204" t="s">
        <v>1596</v>
      </c>
      <c r="L3205" s="199">
        <v>3</v>
      </c>
      <c r="M3205" s="200">
        <v>3.5</v>
      </c>
      <c r="N3205" s="201">
        <v>15</v>
      </c>
    </row>
    <row r="3206" spans="1:14">
      <c r="A3206" s="194">
        <v>41277.151886574073</v>
      </c>
      <c r="B3206" s="195">
        <v>2211</v>
      </c>
      <c r="C3206" s="194"/>
      <c r="D3206" s="194"/>
      <c r="E3206" s="198"/>
      <c r="G3206" s="202"/>
      <c r="J3206" s="195">
        <v>43</v>
      </c>
      <c r="K3206" s="204" t="s">
        <v>1596</v>
      </c>
      <c r="L3206" s="199">
        <v>3</v>
      </c>
      <c r="M3206" s="200">
        <v>5</v>
      </c>
      <c r="N3206" s="201">
        <v>15</v>
      </c>
    </row>
    <row r="3207" spans="1:14">
      <c r="A3207" s="194">
        <v>41295.543657407405</v>
      </c>
      <c r="B3207" s="195">
        <v>2211</v>
      </c>
      <c r="C3207" s="194"/>
      <c r="D3207" s="194"/>
      <c r="E3207" s="198"/>
      <c r="G3207" s="202"/>
      <c r="J3207" s="195">
        <v>43</v>
      </c>
      <c r="K3207" s="204" t="s">
        <v>1596</v>
      </c>
      <c r="L3207" s="199">
        <v>3</v>
      </c>
      <c r="M3207" s="200">
        <v>0.3</v>
      </c>
      <c r="N3207" s="201">
        <v>16</v>
      </c>
    </row>
    <row r="3208" spans="1:14">
      <c r="A3208" s="194">
        <v>41280.314837962964</v>
      </c>
      <c r="B3208" s="195">
        <v>2211</v>
      </c>
      <c r="C3208" s="194"/>
      <c r="D3208" s="194"/>
      <c r="E3208" s="198"/>
      <c r="G3208" s="202"/>
      <c r="J3208" s="195">
        <v>43</v>
      </c>
      <c r="K3208" s="204" t="s">
        <v>1596</v>
      </c>
      <c r="L3208" s="199">
        <v>3</v>
      </c>
      <c r="M3208" s="200">
        <v>0.3</v>
      </c>
      <c r="N3208" s="201">
        <v>16</v>
      </c>
    </row>
    <row r="3209" spans="1:14">
      <c r="A3209" s="194">
        <v>41305.608518518522</v>
      </c>
      <c r="B3209" s="195">
        <v>2211</v>
      </c>
      <c r="C3209" s="194"/>
      <c r="D3209" s="194"/>
      <c r="E3209" s="198"/>
      <c r="G3209" s="202"/>
      <c r="J3209" s="195">
        <v>43</v>
      </c>
      <c r="K3209" s="204" t="s">
        <v>1596</v>
      </c>
      <c r="L3209" s="199">
        <v>3</v>
      </c>
      <c r="M3209" s="200">
        <v>0.5</v>
      </c>
      <c r="N3209" s="201">
        <v>16</v>
      </c>
    </row>
    <row r="3210" spans="1:14">
      <c r="A3210" s="194">
        <v>41298.326886574076</v>
      </c>
      <c r="B3210" s="195">
        <v>2211</v>
      </c>
      <c r="C3210" s="194"/>
      <c r="D3210" s="194"/>
      <c r="E3210" s="198"/>
      <c r="G3210" s="202"/>
      <c r="J3210" s="195">
        <v>43</v>
      </c>
      <c r="K3210" s="204" t="s">
        <v>1596</v>
      </c>
      <c r="L3210" s="199">
        <v>3</v>
      </c>
      <c r="M3210" s="200">
        <v>0.5</v>
      </c>
      <c r="N3210" s="201">
        <v>16</v>
      </c>
    </row>
    <row r="3211" spans="1:14">
      <c r="A3211" s="194">
        <v>41294.767951388887</v>
      </c>
      <c r="B3211" s="195">
        <v>2211</v>
      </c>
      <c r="C3211" s="194"/>
      <c r="D3211" s="194"/>
      <c r="E3211" s="198"/>
      <c r="G3211" s="202"/>
      <c r="J3211" s="195">
        <v>43</v>
      </c>
      <c r="K3211" s="204" t="s">
        <v>1596</v>
      </c>
      <c r="L3211" s="199">
        <v>3</v>
      </c>
      <c r="M3211" s="200">
        <v>0.5</v>
      </c>
      <c r="N3211" s="201">
        <v>16</v>
      </c>
    </row>
    <row r="3212" spans="1:14">
      <c r="A3212" s="194">
        <v>41282.348680555559</v>
      </c>
      <c r="B3212" s="195">
        <v>2211</v>
      </c>
      <c r="C3212" s="194"/>
      <c r="D3212" s="194"/>
      <c r="E3212" s="198"/>
      <c r="G3212" s="202"/>
      <c r="J3212" s="195">
        <v>43</v>
      </c>
      <c r="K3212" s="204" t="s">
        <v>1596</v>
      </c>
      <c r="L3212" s="199">
        <v>3</v>
      </c>
      <c r="M3212" s="200">
        <v>0.5</v>
      </c>
      <c r="N3212" s="201">
        <v>16</v>
      </c>
    </row>
    <row r="3213" spans="1:14">
      <c r="A3213" s="194">
        <v>41305.808506944442</v>
      </c>
      <c r="B3213" s="195">
        <v>2211</v>
      </c>
      <c r="C3213" s="194"/>
      <c r="D3213" s="194"/>
      <c r="E3213" s="198"/>
      <c r="G3213" s="202"/>
      <c r="J3213" s="195">
        <v>43</v>
      </c>
      <c r="K3213" s="204" t="s">
        <v>1596</v>
      </c>
      <c r="L3213" s="199">
        <v>3</v>
      </c>
      <c r="M3213" s="200">
        <v>0.6</v>
      </c>
      <c r="N3213" s="201">
        <v>16</v>
      </c>
    </row>
    <row r="3214" spans="1:14">
      <c r="A3214" s="194">
        <v>41304.782048611109</v>
      </c>
      <c r="B3214" s="195">
        <v>2211</v>
      </c>
      <c r="C3214" s="194"/>
      <c r="D3214" s="194"/>
      <c r="E3214" s="198"/>
      <c r="G3214" s="202"/>
      <c r="J3214" s="195">
        <v>43</v>
      </c>
      <c r="K3214" s="204" t="s">
        <v>1596</v>
      </c>
      <c r="L3214" s="199">
        <v>3</v>
      </c>
      <c r="M3214" s="200">
        <v>0.6</v>
      </c>
      <c r="N3214" s="201">
        <v>16</v>
      </c>
    </row>
    <row r="3215" spans="1:14">
      <c r="A3215" s="194">
        <v>41302.801041666666</v>
      </c>
      <c r="B3215" s="195">
        <v>2211</v>
      </c>
      <c r="C3215" s="194"/>
      <c r="D3215" s="194"/>
      <c r="E3215" s="198"/>
      <c r="G3215" s="202"/>
      <c r="J3215" s="195">
        <v>43</v>
      </c>
      <c r="K3215" s="204" t="s">
        <v>1596</v>
      </c>
      <c r="L3215" s="199">
        <v>3</v>
      </c>
      <c r="M3215" s="200">
        <v>0.6</v>
      </c>
      <c r="N3215" s="201">
        <v>16</v>
      </c>
    </row>
    <row r="3216" spans="1:14">
      <c r="A3216" s="194">
        <v>41297.449155092596</v>
      </c>
      <c r="B3216" s="195">
        <v>2211</v>
      </c>
      <c r="C3216" s="194"/>
      <c r="D3216" s="194"/>
      <c r="E3216" s="198"/>
      <c r="G3216" s="202"/>
      <c r="J3216" s="195">
        <v>43</v>
      </c>
      <c r="K3216" s="204" t="s">
        <v>1596</v>
      </c>
      <c r="L3216" s="199">
        <v>3</v>
      </c>
      <c r="M3216" s="200">
        <v>0.6</v>
      </c>
      <c r="N3216" s="201">
        <v>16</v>
      </c>
    </row>
    <row r="3217" spans="1:14">
      <c r="A3217" s="194">
        <v>41276.775625000002</v>
      </c>
      <c r="B3217" s="195">
        <v>2211</v>
      </c>
      <c r="C3217" s="194"/>
      <c r="D3217" s="194"/>
      <c r="E3217" s="198"/>
      <c r="G3217" s="202"/>
      <c r="J3217" s="195">
        <v>43</v>
      </c>
      <c r="K3217" s="204" t="s">
        <v>1596</v>
      </c>
      <c r="L3217" s="199">
        <v>3</v>
      </c>
      <c r="M3217" s="200">
        <v>0.6</v>
      </c>
      <c r="N3217" s="201">
        <v>16</v>
      </c>
    </row>
    <row r="3218" spans="1:14">
      <c r="A3218" s="194">
        <v>41302.309259259258</v>
      </c>
      <c r="B3218" s="195">
        <v>2211</v>
      </c>
      <c r="C3218" s="194"/>
      <c r="D3218" s="194"/>
      <c r="E3218" s="198"/>
      <c r="G3218" s="202"/>
      <c r="J3218" s="195">
        <v>43</v>
      </c>
      <c r="K3218" s="204" t="s">
        <v>1596</v>
      </c>
      <c r="L3218" s="199">
        <v>3</v>
      </c>
      <c r="M3218" s="200">
        <v>0.7</v>
      </c>
      <c r="N3218" s="201">
        <v>16</v>
      </c>
    </row>
    <row r="3219" spans="1:14">
      <c r="A3219" s="194">
        <v>41276.649571759262</v>
      </c>
      <c r="B3219" s="195">
        <v>2211</v>
      </c>
      <c r="C3219" s="194"/>
      <c r="D3219" s="194"/>
      <c r="E3219" s="198"/>
      <c r="G3219" s="202"/>
      <c r="J3219" s="195">
        <v>43</v>
      </c>
      <c r="K3219" s="204" t="s">
        <v>1596</v>
      </c>
      <c r="L3219" s="199">
        <v>3</v>
      </c>
      <c r="M3219" s="200">
        <v>0.8</v>
      </c>
      <c r="N3219" s="201">
        <v>16</v>
      </c>
    </row>
    <row r="3220" spans="1:14">
      <c r="A3220" s="194">
        <v>41303.458472222221</v>
      </c>
      <c r="B3220" s="195">
        <v>2211</v>
      </c>
      <c r="C3220" s="194"/>
      <c r="D3220" s="194"/>
      <c r="E3220" s="198"/>
      <c r="G3220" s="202"/>
      <c r="J3220" s="195">
        <v>43</v>
      </c>
      <c r="K3220" s="204" t="s">
        <v>1596</v>
      </c>
      <c r="L3220" s="199">
        <v>3</v>
      </c>
      <c r="M3220" s="200">
        <v>0.9</v>
      </c>
      <c r="N3220" s="201">
        <v>16</v>
      </c>
    </row>
    <row r="3221" spans="1:14">
      <c r="A3221" s="194">
        <v>41285.84170138889</v>
      </c>
      <c r="B3221" s="195">
        <v>2211</v>
      </c>
      <c r="C3221" s="194"/>
      <c r="D3221" s="194"/>
      <c r="E3221" s="198"/>
      <c r="G3221" s="202"/>
      <c r="J3221" s="195">
        <v>43</v>
      </c>
      <c r="K3221" s="204" t="s">
        <v>1596</v>
      </c>
      <c r="L3221" s="199">
        <v>3</v>
      </c>
      <c r="M3221" s="200">
        <v>0.9</v>
      </c>
      <c r="N3221" s="201">
        <v>16</v>
      </c>
    </row>
    <row r="3222" spans="1:14">
      <c r="A3222" s="194">
        <v>41276.531469907408</v>
      </c>
      <c r="B3222" s="195">
        <v>2211</v>
      </c>
      <c r="C3222" s="194"/>
      <c r="D3222" s="194"/>
      <c r="E3222" s="198"/>
      <c r="G3222" s="202"/>
      <c r="J3222" s="195">
        <v>43</v>
      </c>
      <c r="K3222" s="204" t="s">
        <v>1596</v>
      </c>
      <c r="L3222" s="199">
        <v>3</v>
      </c>
      <c r="M3222" s="200">
        <v>0.9</v>
      </c>
      <c r="N3222" s="201">
        <v>16</v>
      </c>
    </row>
    <row r="3223" spans="1:14">
      <c r="A3223" s="194">
        <v>41298.656967592593</v>
      </c>
      <c r="B3223" s="195">
        <v>2211</v>
      </c>
      <c r="C3223" s="194"/>
      <c r="D3223" s="194"/>
      <c r="E3223" s="198"/>
      <c r="G3223" s="202"/>
      <c r="J3223" s="195">
        <v>43</v>
      </c>
      <c r="K3223" s="204" t="s">
        <v>1596</v>
      </c>
      <c r="L3223" s="199">
        <v>3</v>
      </c>
      <c r="M3223" s="200">
        <v>1</v>
      </c>
      <c r="N3223" s="201">
        <v>16</v>
      </c>
    </row>
    <row r="3224" spans="1:14">
      <c r="A3224" s="194">
        <v>41283.630879629629</v>
      </c>
      <c r="B3224" s="195">
        <v>2211</v>
      </c>
      <c r="C3224" s="194"/>
      <c r="D3224" s="194"/>
      <c r="E3224" s="198"/>
      <c r="G3224" s="202"/>
      <c r="J3224" s="195">
        <v>43</v>
      </c>
      <c r="K3224" s="204" t="s">
        <v>1596</v>
      </c>
      <c r="L3224" s="199">
        <v>3</v>
      </c>
      <c r="M3224" s="200">
        <v>1</v>
      </c>
      <c r="N3224" s="201">
        <v>16</v>
      </c>
    </row>
    <row r="3225" spans="1:14">
      <c r="A3225" s="194">
        <v>41298.580648148149</v>
      </c>
      <c r="B3225" s="195">
        <v>2211</v>
      </c>
      <c r="C3225" s="194"/>
      <c r="D3225" s="194"/>
      <c r="E3225" s="198"/>
      <c r="G3225" s="202"/>
      <c r="J3225" s="195">
        <v>43</v>
      </c>
      <c r="K3225" s="204" t="s">
        <v>1596</v>
      </c>
      <c r="L3225" s="199">
        <v>3</v>
      </c>
      <c r="M3225" s="200">
        <v>1.2</v>
      </c>
      <c r="N3225" s="201">
        <v>16</v>
      </c>
    </row>
    <row r="3226" spans="1:14">
      <c r="A3226" s="194">
        <v>41298.499178240738</v>
      </c>
      <c r="B3226" s="195">
        <v>2211</v>
      </c>
      <c r="C3226" s="194"/>
      <c r="D3226" s="194"/>
      <c r="E3226" s="198"/>
      <c r="G3226" s="202"/>
      <c r="J3226" s="195">
        <v>43</v>
      </c>
      <c r="K3226" s="204" t="s">
        <v>1596</v>
      </c>
      <c r="L3226" s="199">
        <v>3</v>
      </c>
      <c r="M3226" s="200">
        <v>1.2</v>
      </c>
      <c r="N3226" s="201">
        <v>16</v>
      </c>
    </row>
    <row r="3227" spans="1:14">
      <c r="A3227" s="194">
        <v>41282.375763888886</v>
      </c>
      <c r="B3227" s="195">
        <v>2211</v>
      </c>
      <c r="C3227" s="194"/>
      <c r="D3227" s="194"/>
      <c r="E3227" s="198"/>
      <c r="G3227" s="202"/>
      <c r="J3227" s="195">
        <v>43</v>
      </c>
      <c r="K3227" s="204" t="s">
        <v>1596</v>
      </c>
      <c r="L3227" s="199">
        <v>3</v>
      </c>
      <c r="M3227" s="200">
        <v>1.3</v>
      </c>
      <c r="N3227" s="201">
        <v>16</v>
      </c>
    </row>
    <row r="3228" spans="1:14">
      <c r="A3228" s="194">
        <v>41277.636018518519</v>
      </c>
      <c r="B3228" s="195">
        <v>2211</v>
      </c>
      <c r="C3228" s="194"/>
      <c r="D3228" s="194"/>
      <c r="E3228" s="198"/>
      <c r="G3228" s="202"/>
      <c r="J3228" s="195">
        <v>43</v>
      </c>
      <c r="K3228" s="204" t="s">
        <v>1596</v>
      </c>
      <c r="L3228" s="199">
        <v>3</v>
      </c>
      <c r="M3228" s="200">
        <v>1.8</v>
      </c>
      <c r="N3228" s="201">
        <v>16</v>
      </c>
    </row>
    <row r="3229" spans="1:14">
      <c r="A3229" s="194">
        <v>41288.791319444441</v>
      </c>
      <c r="B3229" s="195">
        <v>2211</v>
      </c>
      <c r="C3229" s="194"/>
      <c r="D3229" s="194"/>
      <c r="E3229" s="198"/>
      <c r="G3229" s="202"/>
      <c r="J3229" s="195">
        <v>43</v>
      </c>
      <c r="K3229" s="204" t="s">
        <v>1596</v>
      </c>
      <c r="L3229" s="199">
        <v>3</v>
      </c>
      <c r="M3229" s="200">
        <v>1.9</v>
      </c>
      <c r="N3229" s="201">
        <v>16</v>
      </c>
    </row>
    <row r="3230" spans="1:14">
      <c r="A3230" s="194">
        <v>41290.750717592593</v>
      </c>
      <c r="B3230" s="195">
        <v>2211</v>
      </c>
      <c r="C3230" s="194"/>
      <c r="D3230" s="194"/>
      <c r="E3230" s="198"/>
      <c r="G3230" s="202"/>
      <c r="J3230" s="195">
        <v>43</v>
      </c>
      <c r="K3230" s="204" t="s">
        <v>1596</v>
      </c>
      <c r="L3230" s="199">
        <v>3</v>
      </c>
      <c r="M3230" s="200">
        <v>2</v>
      </c>
      <c r="N3230" s="201">
        <v>16</v>
      </c>
    </row>
    <row r="3231" spans="1:14">
      <c r="A3231" s="194">
        <v>41303.791400462964</v>
      </c>
      <c r="B3231" s="195">
        <v>2211</v>
      </c>
      <c r="C3231" s="194"/>
      <c r="D3231" s="194"/>
      <c r="E3231" s="198"/>
      <c r="G3231" s="202"/>
      <c r="J3231" s="195">
        <v>43</v>
      </c>
      <c r="K3231" s="204" t="s">
        <v>1596</v>
      </c>
      <c r="L3231" s="199">
        <v>3</v>
      </c>
      <c r="M3231" s="200">
        <v>0.3</v>
      </c>
      <c r="N3231" s="201">
        <v>17</v>
      </c>
    </row>
    <row r="3232" spans="1:14">
      <c r="A3232" s="194">
        <v>41300.936226851853</v>
      </c>
      <c r="B3232" s="195">
        <v>2211</v>
      </c>
      <c r="C3232" s="194"/>
      <c r="D3232" s="194"/>
      <c r="E3232" s="198"/>
      <c r="G3232" s="202"/>
      <c r="J3232" s="195">
        <v>43</v>
      </c>
      <c r="K3232" s="204" t="s">
        <v>1596</v>
      </c>
      <c r="L3232" s="199">
        <v>3</v>
      </c>
      <c r="M3232" s="200">
        <v>0.3</v>
      </c>
      <c r="N3232" s="201">
        <v>17</v>
      </c>
    </row>
    <row r="3233" spans="1:14">
      <c r="A3233" s="194">
        <v>41293.640902777777</v>
      </c>
      <c r="B3233" s="195">
        <v>2211</v>
      </c>
      <c r="C3233" s="194"/>
      <c r="D3233" s="194"/>
      <c r="E3233" s="198"/>
      <c r="G3233" s="202"/>
      <c r="J3233" s="195">
        <v>43</v>
      </c>
      <c r="K3233" s="204" t="s">
        <v>1596</v>
      </c>
      <c r="L3233" s="199">
        <v>3</v>
      </c>
      <c r="M3233" s="200">
        <v>0.3</v>
      </c>
      <c r="N3233" s="201">
        <v>17</v>
      </c>
    </row>
    <row r="3234" spans="1:14">
      <c r="A3234" s="194">
        <v>41284.823229166665</v>
      </c>
      <c r="B3234" s="195">
        <v>2211</v>
      </c>
      <c r="C3234" s="194"/>
      <c r="D3234" s="194"/>
      <c r="E3234" s="198"/>
      <c r="G3234" s="202"/>
      <c r="J3234" s="195">
        <v>43</v>
      </c>
      <c r="K3234" s="204" t="s">
        <v>1596</v>
      </c>
      <c r="L3234" s="199">
        <v>3</v>
      </c>
      <c r="M3234" s="200">
        <v>0.3</v>
      </c>
      <c r="N3234" s="201">
        <v>17</v>
      </c>
    </row>
    <row r="3235" spans="1:14">
      <c r="A3235" s="194">
        <v>41299.703888888886</v>
      </c>
      <c r="B3235" s="195">
        <v>2211</v>
      </c>
      <c r="C3235" s="194"/>
      <c r="D3235" s="194"/>
      <c r="E3235" s="198"/>
      <c r="G3235" s="202"/>
      <c r="J3235" s="195">
        <v>43</v>
      </c>
      <c r="K3235" s="204" t="s">
        <v>1596</v>
      </c>
      <c r="L3235" s="199">
        <v>3</v>
      </c>
      <c r="M3235" s="200">
        <v>0.4</v>
      </c>
      <c r="N3235" s="201">
        <v>17</v>
      </c>
    </row>
    <row r="3236" spans="1:14">
      <c r="A3236" s="194">
        <v>41278.638171296298</v>
      </c>
      <c r="B3236" s="195">
        <v>2211</v>
      </c>
      <c r="C3236" s="194"/>
      <c r="D3236" s="194"/>
      <c r="E3236" s="198"/>
      <c r="G3236" s="202"/>
      <c r="J3236" s="195">
        <v>43</v>
      </c>
      <c r="K3236" s="204" t="s">
        <v>1596</v>
      </c>
      <c r="L3236" s="199">
        <v>3</v>
      </c>
      <c r="M3236" s="200">
        <v>0.4</v>
      </c>
      <c r="N3236" s="201">
        <v>17</v>
      </c>
    </row>
    <row r="3237" spans="1:14">
      <c r="A3237" s="194">
        <v>41276.766250000001</v>
      </c>
      <c r="B3237" s="195">
        <v>2211</v>
      </c>
      <c r="C3237" s="194"/>
      <c r="D3237" s="194"/>
      <c r="E3237" s="198"/>
      <c r="G3237" s="202"/>
      <c r="J3237" s="195">
        <v>43</v>
      </c>
      <c r="K3237" s="204" t="s">
        <v>1596</v>
      </c>
      <c r="L3237" s="199">
        <v>3</v>
      </c>
      <c r="M3237" s="200">
        <v>0.4</v>
      </c>
      <c r="N3237" s="201">
        <v>17</v>
      </c>
    </row>
    <row r="3238" spans="1:14">
      <c r="A3238" s="194">
        <v>41304.732037037036</v>
      </c>
      <c r="B3238" s="195">
        <v>2211</v>
      </c>
      <c r="C3238" s="194"/>
      <c r="D3238" s="194"/>
      <c r="E3238" s="198"/>
      <c r="G3238" s="202"/>
      <c r="J3238" s="195">
        <v>43</v>
      </c>
      <c r="K3238" s="204" t="s">
        <v>1596</v>
      </c>
      <c r="L3238" s="199">
        <v>3</v>
      </c>
      <c r="M3238" s="200">
        <v>0.5</v>
      </c>
      <c r="N3238" s="201">
        <v>17</v>
      </c>
    </row>
    <row r="3239" spans="1:14">
      <c r="A3239" s="194">
        <v>41299.336284722223</v>
      </c>
      <c r="B3239" s="195">
        <v>2211</v>
      </c>
      <c r="C3239" s="194"/>
      <c r="D3239" s="194"/>
      <c r="E3239" s="198"/>
      <c r="G3239" s="202"/>
      <c r="J3239" s="195">
        <v>43</v>
      </c>
      <c r="K3239" s="204" t="s">
        <v>1596</v>
      </c>
      <c r="L3239" s="199">
        <v>3</v>
      </c>
      <c r="M3239" s="200">
        <v>0.5</v>
      </c>
      <c r="N3239" s="201">
        <v>17</v>
      </c>
    </row>
    <row r="3240" spans="1:14">
      <c r="A3240" s="194">
        <v>41292.973217592589</v>
      </c>
      <c r="B3240" s="195">
        <v>2211</v>
      </c>
      <c r="C3240" s="194"/>
      <c r="D3240" s="194"/>
      <c r="E3240" s="198"/>
      <c r="G3240" s="202"/>
      <c r="J3240" s="195">
        <v>43</v>
      </c>
      <c r="K3240" s="204" t="s">
        <v>1596</v>
      </c>
      <c r="L3240" s="199">
        <v>3</v>
      </c>
      <c r="M3240" s="200">
        <v>0.6</v>
      </c>
      <c r="N3240" s="201">
        <v>17</v>
      </c>
    </row>
    <row r="3241" spans="1:14">
      <c r="A3241" s="194">
        <v>41288.743379629632</v>
      </c>
      <c r="B3241" s="195">
        <v>2211</v>
      </c>
      <c r="C3241" s="194"/>
      <c r="D3241" s="194"/>
      <c r="E3241" s="198"/>
      <c r="G3241" s="202"/>
      <c r="J3241" s="195">
        <v>43</v>
      </c>
      <c r="K3241" s="204" t="s">
        <v>1596</v>
      </c>
      <c r="L3241" s="199">
        <v>3</v>
      </c>
      <c r="M3241" s="200">
        <v>0.6</v>
      </c>
      <c r="N3241" s="201">
        <v>17</v>
      </c>
    </row>
    <row r="3242" spans="1:14">
      <c r="A3242" s="194">
        <v>41275.024062500001</v>
      </c>
      <c r="B3242" s="195">
        <v>2211</v>
      </c>
      <c r="C3242" s="194"/>
      <c r="D3242" s="194"/>
      <c r="E3242" s="198"/>
      <c r="G3242" s="202"/>
      <c r="J3242" s="195">
        <v>43</v>
      </c>
      <c r="K3242" s="204" t="s">
        <v>1596</v>
      </c>
      <c r="L3242" s="199">
        <v>3</v>
      </c>
      <c r="M3242" s="200">
        <v>0.7</v>
      </c>
      <c r="N3242" s="201">
        <v>17</v>
      </c>
    </row>
    <row r="3243" spans="1:14">
      <c r="A3243" s="194">
        <v>41278.438009259262</v>
      </c>
      <c r="B3243" s="195">
        <v>2211</v>
      </c>
      <c r="C3243" s="194"/>
      <c r="D3243" s="194"/>
      <c r="E3243" s="198"/>
      <c r="G3243" s="202"/>
      <c r="J3243" s="195">
        <v>43</v>
      </c>
      <c r="K3243" s="204" t="s">
        <v>1596</v>
      </c>
      <c r="L3243" s="199">
        <v>3</v>
      </c>
      <c r="M3243" s="200">
        <v>0.8</v>
      </c>
      <c r="N3243" s="201">
        <v>17</v>
      </c>
    </row>
    <row r="3244" spans="1:14">
      <c r="A3244" s="194">
        <v>41304.499247685184</v>
      </c>
      <c r="B3244" s="195">
        <v>2211</v>
      </c>
      <c r="C3244" s="194"/>
      <c r="D3244" s="194"/>
      <c r="E3244" s="198"/>
      <c r="G3244" s="202"/>
      <c r="J3244" s="195">
        <v>43</v>
      </c>
      <c r="K3244" s="204" t="s">
        <v>1596</v>
      </c>
      <c r="L3244" s="199">
        <v>3</v>
      </c>
      <c r="M3244" s="200">
        <v>0.9</v>
      </c>
      <c r="N3244" s="201">
        <v>17</v>
      </c>
    </row>
    <row r="3245" spans="1:14">
      <c r="A3245" s="194">
        <v>41296.626516203702</v>
      </c>
      <c r="B3245" s="195">
        <v>2211</v>
      </c>
      <c r="C3245" s="194"/>
      <c r="D3245" s="194"/>
      <c r="E3245" s="198"/>
      <c r="G3245" s="202"/>
      <c r="J3245" s="195">
        <v>43</v>
      </c>
      <c r="K3245" s="204" t="s">
        <v>1596</v>
      </c>
      <c r="L3245" s="199">
        <v>3</v>
      </c>
      <c r="M3245" s="200">
        <v>0.9</v>
      </c>
      <c r="N3245" s="201">
        <v>17</v>
      </c>
    </row>
    <row r="3246" spans="1:14">
      <c r="A3246" s="194">
        <v>41303.949201388888</v>
      </c>
      <c r="B3246" s="195">
        <v>2211</v>
      </c>
      <c r="C3246" s="194"/>
      <c r="D3246" s="194"/>
      <c r="E3246" s="198"/>
      <c r="G3246" s="202"/>
      <c r="J3246" s="195">
        <v>43</v>
      </c>
      <c r="K3246" s="204" t="s">
        <v>1596</v>
      </c>
      <c r="L3246" s="199">
        <v>3</v>
      </c>
      <c r="M3246" s="200">
        <v>1</v>
      </c>
      <c r="N3246" s="201">
        <v>17</v>
      </c>
    </row>
    <row r="3247" spans="1:14">
      <c r="A3247" s="194">
        <v>41284.362256944441</v>
      </c>
      <c r="B3247" s="195">
        <v>2211</v>
      </c>
      <c r="C3247" s="194"/>
      <c r="D3247" s="194"/>
      <c r="E3247" s="198"/>
      <c r="G3247" s="202"/>
      <c r="J3247" s="195">
        <v>43</v>
      </c>
      <c r="K3247" s="204" t="s">
        <v>1596</v>
      </c>
      <c r="L3247" s="199">
        <v>3</v>
      </c>
      <c r="M3247" s="200">
        <v>1</v>
      </c>
      <c r="N3247" s="201">
        <v>17</v>
      </c>
    </row>
    <row r="3248" spans="1:14">
      <c r="A3248" s="194">
        <v>41295.554780092592</v>
      </c>
      <c r="B3248" s="195">
        <v>2211</v>
      </c>
      <c r="C3248" s="194"/>
      <c r="D3248" s="194"/>
      <c r="E3248" s="198"/>
      <c r="G3248" s="202"/>
      <c r="J3248" s="195">
        <v>43</v>
      </c>
      <c r="K3248" s="204" t="s">
        <v>1596</v>
      </c>
      <c r="L3248" s="199">
        <v>3</v>
      </c>
      <c r="M3248" s="200">
        <v>1.3</v>
      </c>
      <c r="N3248" s="201">
        <v>17</v>
      </c>
    </row>
    <row r="3249" spans="1:14">
      <c r="A3249" s="194">
        <v>41305.555763888886</v>
      </c>
      <c r="B3249" s="195">
        <v>2211</v>
      </c>
      <c r="C3249" s="194"/>
      <c r="D3249" s="194"/>
      <c r="E3249" s="198"/>
      <c r="G3249" s="202"/>
      <c r="J3249" s="195">
        <v>43</v>
      </c>
      <c r="K3249" s="204" t="s">
        <v>1596</v>
      </c>
      <c r="L3249" s="199">
        <v>3</v>
      </c>
      <c r="M3249" s="200">
        <v>3.2</v>
      </c>
      <c r="N3249" s="201">
        <v>17</v>
      </c>
    </row>
    <row r="3250" spans="1:14">
      <c r="A3250" s="194">
        <v>41299.425138888888</v>
      </c>
      <c r="B3250" s="195">
        <v>2211</v>
      </c>
      <c r="C3250" s="194"/>
      <c r="D3250" s="194"/>
      <c r="E3250" s="198"/>
      <c r="G3250" s="202"/>
      <c r="J3250" s="195">
        <v>43</v>
      </c>
      <c r="K3250" s="204" t="s">
        <v>1596</v>
      </c>
      <c r="L3250" s="199">
        <v>3</v>
      </c>
      <c r="M3250" s="200">
        <v>0.3</v>
      </c>
      <c r="N3250" s="201">
        <v>18</v>
      </c>
    </row>
    <row r="3251" spans="1:14">
      <c r="A3251" s="194">
        <v>41291.729884259257</v>
      </c>
      <c r="B3251" s="195">
        <v>2211</v>
      </c>
      <c r="C3251" s="194"/>
      <c r="D3251" s="194"/>
      <c r="E3251" s="198"/>
      <c r="G3251" s="202"/>
      <c r="J3251" s="195">
        <v>43</v>
      </c>
      <c r="K3251" s="204" t="s">
        <v>1596</v>
      </c>
      <c r="L3251" s="199">
        <v>3</v>
      </c>
      <c r="M3251" s="200">
        <v>0.3</v>
      </c>
      <c r="N3251" s="201">
        <v>18</v>
      </c>
    </row>
    <row r="3252" spans="1:14">
      <c r="A3252" s="194">
        <v>41286.457453703704</v>
      </c>
      <c r="B3252" s="195">
        <v>2211</v>
      </c>
      <c r="C3252" s="194"/>
      <c r="D3252" s="194"/>
      <c r="E3252" s="198"/>
      <c r="G3252" s="202"/>
      <c r="J3252" s="195">
        <v>43</v>
      </c>
      <c r="K3252" s="204" t="s">
        <v>1596</v>
      </c>
      <c r="L3252" s="199">
        <v>3</v>
      </c>
      <c r="M3252" s="200">
        <v>0.3</v>
      </c>
      <c r="N3252" s="201">
        <v>18</v>
      </c>
    </row>
    <row r="3253" spans="1:14">
      <c r="A3253" s="194">
        <v>41288.48337962963</v>
      </c>
      <c r="B3253" s="195">
        <v>2211</v>
      </c>
      <c r="C3253" s="194"/>
      <c r="D3253" s="194"/>
      <c r="E3253" s="198"/>
      <c r="G3253" s="202"/>
      <c r="J3253" s="195">
        <v>43</v>
      </c>
      <c r="K3253" s="204" t="s">
        <v>1596</v>
      </c>
      <c r="L3253" s="199">
        <v>3</v>
      </c>
      <c r="M3253" s="200">
        <v>0.4</v>
      </c>
      <c r="N3253" s="201">
        <v>18</v>
      </c>
    </row>
    <row r="3254" spans="1:14">
      <c r="A3254" s="194">
        <v>41277.373622685183</v>
      </c>
      <c r="B3254" s="195">
        <v>2211</v>
      </c>
      <c r="C3254" s="194"/>
      <c r="D3254" s="194"/>
      <c r="E3254" s="198"/>
      <c r="G3254" s="202"/>
      <c r="J3254" s="195">
        <v>43</v>
      </c>
      <c r="K3254" s="204" t="s">
        <v>1596</v>
      </c>
      <c r="L3254" s="199">
        <v>3</v>
      </c>
      <c r="M3254" s="200">
        <v>0.4</v>
      </c>
      <c r="N3254" s="201">
        <v>18</v>
      </c>
    </row>
    <row r="3255" spans="1:14">
      <c r="A3255" s="194">
        <v>41302.470509259256</v>
      </c>
      <c r="B3255" s="195">
        <v>2211</v>
      </c>
      <c r="C3255" s="194"/>
      <c r="D3255" s="194"/>
      <c r="E3255" s="198"/>
      <c r="G3255" s="202"/>
      <c r="J3255" s="195">
        <v>43</v>
      </c>
      <c r="K3255" s="204" t="s">
        <v>1596</v>
      </c>
      <c r="L3255" s="199">
        <v>3</v>
      </c>
      <c r="M3255" s="200">
        <v>0.5</v>
      </c>
      <c r="N3255" s="201">
        <v>18</v>
      </c>
    </row>
    <row r="3256" spans="1:14">
      <c r="A3256" s="194">
        <v>41302.710127314815</v>
      </c>
      <c r="B3256" s="195">
        <v>2211</v>
      </c>
      <c r="C3256" s="194"/>
      <c r="D3256" s="194"/>
      <c r="E3256" s="198"/>
      <c r="G3256" s="202"/>
      <c r="J3256" s="195">
        <v>43</v>
      </c>
      <c r="K3256" s="204" t="s">
        <v>1596</v>
      </c>
      <c r="L3256" s="199">
        <v>3</v>
      </c>
      <c r="M3256" s="200">
        <v>0.6</v>
      </c>
      <c r="N3256" s="201">
        <v>18</v>
      </c>
    </row>
    <row r="3257" spans="1:14">
      <c r="A3257" s="194">
        <v>41300.663854166669</v>
      </c>
      <c r="B3257" s="195">
        <v>2211</v>
      </c>
      <c r="C3257" s="194"/>
      <c r="D3257" s="194"/>
      <c r="E3257" s="198"/>
      <c r="G3257" s="202"/>
      <c r="J3257" s="195">
        <v>43</v>
      </c>
      <c r="K3257" s="204" t="s">
        <v>1596</v>
      </c>
      <c r="L3257" s="199">
        <v>3</v>
      </c>
      <c r="M3257" s="200">
        <v>0.6</v>
      </c>
      <c r="N3257" s="201">
        <v>18</v>
      </c>
    </row>
    <row r="3258" spans="1:14">
      <c r="A3258" s="194">
        <v>41282.086087962962</v>
      </c>
      <c r="B3258" s="195">
        <v>2211</v>
      </c>
      <c r="C3258" s="194"/>
      <c r="D3258" s="194"/>
      <c r="E3258" s="198"/>
      <c r="G3258" s="202"/>
      <c r="J3258" s="195">
        <v>43</v>
      </c>
      <c r="K3258" s="204" t="s">
        <v>1596</v>
      </c>
      <c r="L3258" s="199">
        <v>3</v>
      </c>
      <c r="M3258" s="200">
        <v>1</v>
      </c>
      <c r="N3258" s="201">
        <v>18</v>
      </c>
    </row>
    <row r="3259" spans="1:14">
      <c r="A3259" s="194">
        <v>41285.000034722223</v>
      </c>
      <c r="B3259" s="195">
        <v>2211</v>
      </c>
      <c r="C3259" s="194"/>
      <c r="D3259" s="194"/>
      <c r="E3259" s="198"/>
      <c r="G3259" s="202"/>
      <c r="J3259" s="195">
        <v>43</v>
      </c>
      <c r="K3259" s="204" t="s">
        <v>1596</v>
      </c>
      <c r="L3259" s="199">
        <v>3</v>
      </c>
      <c r="M3259" s="200">
        <v>1.1000000000000001</v>
      </c>
      <c r="N3259" s="201">
        <v>18</v>
      </c>
    </row>
    <row r="3260" spans="1:14">
      <c r="A3260" s="194">
        <v>41295.701828703706</v>
      </c>
      <c r="B3260" s="195">
        <v>2211</v>
      </c>
      <c r="C3260" s="194"/>
      <c r="D3260" s="194"/>
      <c r="E3260" s="198"/>
      <c r="G3260" s="202"/>
      <c r="J3260" s="195">
        <v>43</v>
      </c>
      <c r="K3260" s="204" t="s">
        <v>1596</v>
      </c>
      <c r="L3260" s="199">
        <v>3</v>
      </c>
      <c r="M3260" s="200">
        <v>1.2</v>
      </c>
      <c r="N3260" s="201">
        <v>18</v>
      </c>
    </row>
    <row r="3261" spans="1:14">
      <c r="A3261" s="194">
        <v>41284.848229166666</v>
      </c>
      <c r="B3261" s="195">
        <v>2211</v>
      </c>
      <c r="C3261" s="194"/>
      <c r="D3261" s="194"/>
      <c r="E3261" s="198"/>
      <c r="G3261" s="202"/>
      <c r="J3261" s="195">
        <v>43</v>
      </c>
      <c r="K3261" s="204" t="s">
        <v>1596</v>
      </c>
      <c r="L3261" s="199">
        <v>3</v>
      </c>
      <c r="M3261" s="200">
        <v>1.4</v>
      </c>
      <c r="N3261" s="201">
        <v>18</v>
      </c>
    </row>
    <row r="3262" spans="1:14">
      <c r="A3262" s="194">
        <v>41305.53628472222</v>
      </c>
      <c r="B3262" s="195">
        <v>2211</v>
      </c>
      <c r="C3262" s="194"/>
      <c r="D3262" s="194"/>
      <c r="E3262" s="198"/>
      <c r="G3262" s="202"/>
      <c r="J3262" s="195">
        <v>43</v>
      </c>
      <c r="K3262" s="204" t="s">
        <v>1596</v>
      </c>
      <c r="L3262" s="199">
        <v>3</v>
      </c>
      <c r="M3262" s="200">
        <v>0.5</v>
      </c>
      <c r="N3262" s="201">
        <v>19</v>
      </c>
    </row>
    <row r="3263" spans="1:14">
      <c r="A3263" s="194">
        <v>41292.414872685185</v>
      </c>
      <c r="B3263" s="195">
        <v>2211</v>
      </c>
      <c r="C3263" s="194"/>
      <c r="D3263" s="194"/>
      <c r="E3263" s="198"/>
      <c r="G3263" s="202"/>
      <c r="J3263" s="195">
        <v>43</v>
      </c>
      <c r="K3263" s="204" t="s">
        <v>1596</v>
      </c>
      <c r="L3263" s="199">
        <v>3</v>
      </c>
      <c r="M3263" s="200">
        <v>1.1000000000000001</v>
      </c>
      <c r="N3263" s="201">
        <v>19</v>
      </c>
    </row>
    <row r="3264" spans="1:14">
      <c r="A3264" s="194">
        <v>41280.408541666664</v>
      </c>
      <c r="B3264" s="195">
        <v>2211</v>
      </c>
      <c r="C3264" s="194"/>
      <c r="D3264" s="194"/>
      <c r="E3264" s="198"/>
      <c r="G3264" s="202"/>
      <c r="J3264" s="195">
        <v>43</v>
      </c>
      <c r="K3264" s="204" t="s">
        <v>1596</v>
      </c>
      <c r="L3264" s="199">
        <v>3</v>
      </c>
      <c r="M3264" s="200">
        <v>1.3</v>
      </c>
      <c r="N3264" s="201">
        <v>19</v>
      </c>
    </row>
    <row r="3265" spans="1:14">
      <c r="A3265" s="194">
        <v>41289.567673611113</v>
      </c>
      <c r="B3265" s="195">
        <v>2211</v>
      </c>
      <c r="C3265" s="194"/>
      <c r="D3265" s="194"/>
      <c r="E3265" s="198"/>
      <c r="G3265" s="202"/>
      <c r="J3265" s="195">
        <v>43</v>
      </c>
      <c r="K3265" s="204" t="s">
        <v>1596</v>
      </c>
      <c r="L3265" s="199">
        <v>3</v>
      </c>
      <c r="M3265" s="200">
        <v>2</v>
      </c>
      <c r="N3265" s="201">
        <v>19</v>
      </c>
    </row>
    <row r="3266" spans="1:14">
      <c r="A3266" s="194">
        <v>41300.299224537041</v>
      </c>
      <c r="B3266" s="195">
        <v>2211</v>
      </c>
      <c r="C3266" s="194"/>
      <c r="D3266" s="194"/>
      <c r="E3266" s="198"/>
      <c r="G3266" s="202"/>
      <c r="J3266" s="195">
        <v>43</v>
      </c>
      <c r="K3266" s="204" t="s">
        <v>1596</v>
      </c>
      <c r="L3266" s="199">
        <v>3</v>
      </c>
      <c r="M3266" s="200">
        <v>2.8</v>
      </c>
      <c r="N3266" s="201">
        <v>19</v>
      </c>
    </row>
    <row r="3267" spans="1:14">
      <c r="A3267" s="194">
        <v>41302.933437500003</v>
      </c>
      <c r="B3267" s="195">
        <v>2211</v>
      </c>
      <c r="C3267" s="194"/>
      <c r="D3267" s="194"/>
      <c r="E3267" s="198"/>
      <c r="G3267" s="202"/>
      <c r="J3267" s="195">
        <v>43</v>
      </c>
      <c r="K3267" s="204" t="s">
        <v>1596</v>
      </c>
      <c r="L3267" s="199">
        <v>3</v>
      </c>
      <c r="M3267" s="200">
        <v>0.6</v>
      </c>
      <c r="N3267" s="201">
        <v>20</v>
      </c>
    </row>
    <row r="3268" spans="1:14">
      <c r="A3268" s="194">
        <v>41298.877847222226</v>
      </c>
      <c r="B3268" s="195">
        <v>2211</v>
      </c>
      <c r="C3268" s="194"/>
      <c r="D3268" s="194"/>
      <c r="E3268" s="198"/>
      <c r="G3268" s="202"/>
      <c r="J3268" s="195">
        <v>43</v>
      </c>
      <c r="K3268" s="204" t="s">
        <v>1596</v>
      </c>
      <c r="L3268" s="199">
        <v>3</v>
      </c>
      <c r="M3268" s="200">
        <v>0.8</v>
      </c>
      <c r="N3268" s="201">
        <v>20</v>
      </c>
    </row>
    <row r="3269" spans="1:14">
      <c r="A3269" s="194">
        <v>41296.036203703705</v>
      </c>
      <c r="B3269" s="195">
        <v>2211</v>
      </c>
      <c r="C3269" s="194"/>
      <c r="D3269" s="194"/>
      <c r="E3269" s="198"/>
      <c r="G3269" s="202"/>
      <c r="J3269" s="195">
        <v>43</v>
      </c>
      <c r="K3269" s="204" t="s">
        <v>1596</v>
      </c>
      <c r="L3269" s="199">
        <v>3</v>
      </c>
      <c r="M3269" s="200">
        <v>0.4</v>
      </c>
      <c r="N3269" s="201">
        <v>21</v>
      </c>
    </row>
    <row r="3270" spans="1:14">
      <c r="A3270" s="194">
        <v>41277.948148148149</v>
      </c>
      <c r="B3270" s="195">
        <v>2211</v>
      </c>
      <c r="C3270" s="194"/>
      <c r="D3270" s="194"/>
      <c r="E3270" s="198"/>
      <c r="G3270" s="202"/>
      <c r="J3270" s="195">
        <v>43</v>
      </c>
      <c r="K3270" s="204" t="s">
        <v>1596</v>
      </c>
      <c r="L3270" s="199">
        <v>3</v>
      </c>
      <c r="M3270" s="200">
        <v>0.4</v>
      </c>
      <c r="N3270" s="201">
        <v>21</v>
      </c>
    </row>
    <row r="3271" spans="1:14">
      <c r="A3271" s="194">
        <v>41289.743425925924</v>
      </c>
      <c r="B3271" s="195">
        <v>2211</v>
      </c>
      <c r="C3271" s="194"/>
      <c r="D3271" s="194"/>
      <c r="E3271" s="198"/>
      <c r="G3271" s="202"/>
      <c r="J3271" s="195">
        <v>43</v>
      </c>
      <c r="K3271" s="204" t="s">
        <v>1596</v>
      </c>
      <c r="L3271" s="199">
        <v>3</v>
      </c>
      <c r="M3271" s="200">
        <v>0.5</v>
      </c>
      <c r="N3271" s="201">
        <v>21</v>
      </c>
    </row>
    <row r="3272" spans="1:14">
      <c r="A3272" s="194">
        <v>41302.296770833331</v>
      </c>
      <c r="B3272" s="195">
        <v>2211</v>
      </c>
      <c r="C3272" s="194"/>
      <c r="D3272" s="194"/>
      <c r="E3272" s="198"/>
      <c r="G3272" s="202"/>
      <c r="J3272" s="195">
        <v>43</v>
      </c>
      <c r="K3272" s="204" t="s">
        <v>1596</v>
      </c>
      <c r="L3272" s="199">
        <v>3</v>
      </c>
      <c r="M3272" s="200">
        <v>1.4</v>
      </c>
      <c r="N3272" s="201">
        <v>21</v>
      </c>
    </row>
    <row r="3273" spans="1:14">
      <c r="A3273" s="194">
        <v>41302.643460648149</v>
      </c>
      <c r="B3273" s="195">
        <v>2211</v>
      </c>
      <c r="C3273" s="194"/>
      <c r="D3273" s="194"/>
      <c r="E3273" s="198"/>
      <c r="G3273" s="202"/>
      <c r="J3273" s="195">
        <v>43</v>
      </c>
      <c r="K3273" s="204" t="s">
        <v>1596</v>
      </c>
      <c r="L3273" s="199">
        <v>3</v>
      </c>
      <c r="M3273" s="200">
        <v>0.6</v>
      </c>
      <c r="N3273" s="201">
        <v>22</v>
      </c>
    </row>
    <row r="3274" spans="1:14">
      <c r="A3274" s="194">
        <v>41297.950972222221</v>
      </c>
      <c r="B3274" s="195">
        <v>2211</v>
      </c>
      <c r="C3274" s="194"/>
      <c r="D3274" s="194"/>
      <c r="E3274" s="198"/>
      <c r="G3274" s="202"/>
      <c r="J3274" s="195">
        <v>43</v>
      </c>
      <c r="K3274" s="204" t="s">
        <v>1596</v>
      </c>
      <c r="L3274" s="199">
        <v>3</v>
      </c>
      <c r="M3274" s="200">
        <v>0.3</v>
      </c>
      <c r="N3274" s="201">
        <v>23</v>
      </c>
    </row>
    <row r="3275" spans="1:14">
      <c r="A3275" s="194">
        <v>41278.760057870371</v>
      </c>
      <c r="B3275" s="195">
        <v>2211</v>
      </c>
      <c r="C3275" s="194"/>
      <c r="D3275" s="194"/>
      <c r="E3275" s="198"/>
      <c r="G3275" s="202"/>
      <c r="J3275" s="195">
        <v>43</v>
      </c>
      <c r="K3275" s="204" t="s">
        <v>1596</v>
      </c>
      <c r="L3275" s="199">
        <v>3</v>
      </c>
      <c r="M3275" s="200">
        <v>0.3</v>
      </c>
      <c r="N3275" s="201">
        <v>23</v>
      </c>
    </row>
    <row r="3276" spans="1:14">
      <c r="A3276" s="194">
        <v>41290.418078703704</v>
      </c>
      <c r="B3276" s="195">
        <v>2212</v>
      </c>
      <c r="C3276" s="194"/>
      <c r="D3276" s="194"/>
      <c r="E3276" s="196" t="s">
        <v>317</v>
      </c>
      <c r="F3276" s="195">
        <v>456</v>
      </c>
      <c r="G3276" s="197" t="s">
        <v>141</v>
      </c>
      <c r="H3276" s="197" t="s">
        <v>223</v>
      </c>
      <c r="I3276" s="196" t="s">
        <v>226</v>
      </c>
      <c r="J3276" s="195">
        <v>1</v>
      </c>
      <c r="K3276" s="204" t="s">
        <v>224</v>
      </c>
      <c r="L3276" s="199">
        <v>2</v>
      </c>
      <c r="M3276" s="200">
        <v>0.5</v>
      </c>
      <c r="N3276" s="201">
        <v>27</v>
      </c>
    </row>
    <row r="3277" spans="1:14">
      <c r="A3277" s="194">
        <v>41281.263564814813</v>
      </c>
      <c r="B3277" s="195">
        <v>2212</v>
      </c>
      <c r="C3277" s="194"/>
      <c r="D3277" s="194"/>
      <c r="E3277" s="196" t="s">
        <v>247</v>
      </c>
      <c r="F3277" s="195">
        <v>456</v>
      </c>
      <c r="G3277" s="197" t="s">
        <v>141</v>
      </c>
      <c r="H3277" s="197" t="s">
        <v>223</v>
      </c>
      <c r="I3277" s="196" t="s">
        <v>226</v>
      </c>
      <c r="J3277" s="195">
        <v>1</v>
      </c>
      <c r="K3277" s="204" t="s">
        <v>224</v>
      </c>
      <c r="L3277" s="199">
        <v>2</v>
      </c>
      <c r="M3277" s="200">
        <v>0.5</v>
      </c>
      <c r="N3277" s="201">
        <v>29</v>
      </c>
    </row>
    <row r="3278" spans="1:14">
      <c r="A3278" s="194">
        <v>41276.811678240738</v>
      </c>
      <c r="B3278" s="195">
        <v>2212</v>
      </c>
      <c r="C3278" s="194"/>
      <c r="D3278" s="194"/>
      <c r="E3278" s="196" t="s">
        <v>245</v>
      </c>
      <c r="F3278" s="195">
        <v>456</v>
      </c>
      <c r="G3278" s="197" t="s">
        <v>141</v>
      </c>
      <c r="H3278" s="197" t="s">
        <v>223</v>
      </c>
      <c r="I3278" s="196" t="s">
        <v>226</v>
      </c>
      <c r="J3278" s="195">
        <v>1</v>
      </c>
      <c r="K3278" s="204" t="s">
        <v>224</v>
      </c>
      <c r="L3278" s="199">
        <v>1</v>
      </c>
      <c r="M3278" s="200">
        <v>0.3</v>
      </c>
      <c r="N3278" s="201">
        <v>35</v>
      </c>
    </row>
    <row r="3279" spans="1:14">
      <c r="A3279" s="194">
        <v>41277.295243055552</v>
      </c>
      <c r="B3279" s="195">
        <v>2212</v>
      </c>
      <c r="C3279" s="194"/>
      <c r="D3279" s="194"/>
      <c r="E3279" s="196" t="s">
        <v>412</v>
      </c>
      <c r="F3279" s="195">
        <v>466</v>
      </c>
      <c r="G3279" s="197" t="s">
        <v>142</v>
      </c>
      <c r="H3279" s="197" t="s">
        <v>223</v>
      </c>
      <c r="I3279" s="196" t="s">
        <v>402</v>
      </c>
      <c r="J3279" s="195">
        <v>1</v>
      </c>
      <c r="K3279" s="204" t="s">
        <v>224</v>
      </c>
      <c r="L3279" s="199">
        <v>2</v>
      </c>
      <c r="M3279" s="200">
        <v>0.3</v>
      </c>
      <c r="N3279" s="201">
        <v>33</v>
      </c>
    </row>
    <row r="3280" spans="1:14">
      <c r="A3280" s="194">
        <v>41276.828356481485</v>
      </c>
      <c r="B3280" s="195">
        <v>2212</v>
      </c>
      <c r="C3280" s="194"/>
      <c r="D3280" s="194"/>
      <c r="E3280" s="196" t="s">
        <v>527</v>
      </c>
      <c r="F3280" s="195">
        <v>800</v>
      </c>
      <c r="G3280" s="197" t="s">
        <v>470</v>
      </c>
      <c r="H3280" s="197" t="s">
        <v>471</v>
      </c>
      <c r="J3280" s="195">
        <v>1</v>
      </c>
      <c r="K3280" s="204" t="s">
        <v>224</v>
      </c>
      <c r="L3280" s="199">
        <v>1</v>
      </c>
      <c r="M3280" s="200">
        <v>1.7</v>
      </c>
      <c r="N3280" s="201">
        <v>27</v>
      </c>
    </row>
    <row r="3281" spans="1:14">
      <c r="A3281" s="194">
        <v>41277.431087962963</v>
      </c>
      <c r="B3281" s="195">
        <v>2212</v>
      </c>
      <c r="C3281" s="194"/>
      <c r="D3281" s="194"/>
      <c r="E3281" s="196" t="s">
        <v>638</v>
      </c>
      <c r="F3281" s="195">
        <v>800</v>
      </c>
      <c r="G3281" s="197" t="s">
        <v>470</v>
      </c>
      <c r="H3281" s="197" t="s">
        <v>471</v>
      </c>
      <c r="J3281" s="195">
        <v>1</v>
      </c>
      <c r="K3281" s="204" t="s">
        <v>224</v>
      </c>
      <c r="L3281" s="199">
        <v>2</v>
      </c>
      <c r="M3281" s="200">
        <v>0.4</v>
      </c>
      <c r="N3281" s="201">
        <v>32</v>
      </c>
    </row>
    <row r="3282" spans="1:14">
      <c r="A3282" s="194">
        <v>41303.587534722225</v>
      </c>
      <c r="B3282" s="195">
        <v>2212</v>
      </c>
      <c r="C3282" s="194"/>
      <c r="D3282" s="194"/>
      <c r="E3282" s="196" t="s">
        <v>1503</v>
      </c>
      <c r="F3282" s="195">
        <v>800</v>
      </c>
      <c r="G3282" s="197" t="s">
        <v>470</v>
      </c>
      <c r="H3282" s="197" t="s">
        <v>471</v>
      </c>
      <c r="J3282" s="195">
        <v>1</v>
      </c>
      <c r="K3282" s="204" t="s">
        <v>224</v>
      </c>
      <c r="L3282" s="199">
        <v>2</v>
      </c>
      <c r="M3282" s="200">
        <v>0.5</v>
      </c>
      <c r="N3282" s="201">
        <v>37</v>
      </c>
    </row>
    <row r="3283" spans="1:14">
      <c r="A3283" s="194">
        <v>41281.794027777774</v>
      </c>
      <c r="B3283" s="195">
        <v>2212</v>
      </c>
      <c r="C3283" s="194"/>
      <c r="D3283" s="194"/>
      <c r="E3283" s="196" t="s">
        <v>720</v>
      </c>
      <c r="F3283" s="195">
        <v>800</v>
      </c>
      <c r="G3283" s="197" t="s">
        <v>470</v>
      </c>
      <c r="H3283" s="197" t="s">
        <v>471</v>
      </c>
      <c r="J3283" s="195">
        <v>1</v>
      </c>
      <c r="K3283" s="204" t="s">
        <v>224</v>
      </c>
      <c r="L3283" s="199">
        <v>1</v>
      </c>
      <c r="M3283" s="200">
        <v>0.4</v>
      </c>
      <c r="N3283" s="201">
        <v>38</v>
      </c>
    </row>
    <row r="3284" spans="1:14">
      <c r="A3284" s="194">
        <v>41276.254328703704</v>
      </c>
      <c r="B3284" s="195">
        <v>2212</v>
      </c>
      <c r="C3284" s="194"/>
      <c r="D3284" s="194"/>
      <c r="E3284" s="196" t="s">
        <v>526</v>
      </c>
      <c r="F3284" s="195">
        <v>800</v>
      </c>
      <c r="G3284" s="197" t="s">
        <v>470</v>
      </c>
      <c r="H3284" s="197" t="s">
        <v>471</v>
      </c>
      <c r="J3284" s="195">
        <v>1</v>
      </c>
      <c r="K3284" s="204" t="s">
        <v>224</v>
      </c>
      <c r="L3284" s="199">
        <v>2</v>
      </c>
      <c r="M3284" s="200">
        <v>0.7</v>
      </c>
      <c r="N3284" s="201">
        <v>40</v>
      </c>
    </row>
    <row r="3285" spans="1:14">
      <c r="A3285" s="194">
        <v>41292.209722222222</v>
      </c>
      <c r="B3285" s="195">
        <v>2212</v>
      </c>
      <c r="C3285" s="194"/>
      <c r="D3285" s="194"/>
      <c r="E3285" s="196" t="s">
        <v>1177</v>
      </c>
      <c r="F3285" s="195">
        <v>800</v>
      </c>
      <c r="G3285" s="197" t="s">
        <v>470</v>
      </c>
      <c r="H3285" s="197" t="s">
        <v>471</v>
      </c>
      <c r="J3285" s="195">
        <v>1</v>
      </c>
      <c r="K3285" s="204" t="s">
        <v>224</v>
      </c>
      <c r="L3285" s="199">
        <v>2</v>
      </c>
      <c r="M3285" s="200">
        <v>0.6</v>
      </c>
      <c r="N3285" s="201">
        <v>42</v>
      </c>
    </row>
    <row r="3286" spans="1:14">
      <c r="A3286" s="194">
        <v>41296.119039351855</v>
      </c>
      <c r="B3286" s="195">
        <v>2212</v>
      </c>
      <c r="C3286" s="194"/>
      <c r="D3286" s="194"/>
      <c r="E3286" s="196" t="s">
        <v>1097</v>
      </c>
      <c r="F3286" s="195">
        <v>800</v>
      </c>
      <c r="G3286" s="197" t="s">
        <v>470</v>
      </c>
      <c r="H3286" s="197" t="s">
        <v>471</v>
      </c>
      <c r="J3286" s="195">
        <v>1</v>
      </c>
      <c r="K3286" s="204" t="s">
        <v>224</v>
      </c>
      <c r="L3286" s="199">
        <v>2</v>
      </c>
      <c r="M3286" s="200">
        <v>0.7</v>
      </c>
      <c r="N3286" s="201">
        <v>44</v>
      </c>
    </row>
    <row r="3287" spans="1:14">
      <c r="A3287" s="194">
        <v>41291.008784722224</v>
      </c>
      <c r="B3287" s="195">
        <v>2212</v>
      </c>
      <c r="C3287" s="194"/>
      <c r="D3287" s="194"/>
      <c r="E3287" s="196" t="s">
        <v>981</v>
      </c>
      <c r="F3287" s="195">
        <v>800</v>
      </c>
      <c r="G3287" s="197" t="s">
        <v>470</v>
      </c>
      <c r="H3287" s="197" t="s">
        <v>471</v>
      </c>
      <c r="J3287" s="195">
        <v>1</v>
      </c>
      <c r="K3287" s="204" t="s">
        <v>224</v>
      </c>
      <c r="L3287" s="199">
        <v>2</v>
      </c>
      <c r="M3287" s="200">
        <v>0.6</v>
      </c>
      <c r="N3287" s="201">
        <v>45</v>
      </c>
    </row>
    <row r="3288" spans="1:14">
      <c r="A3288" s="194">
        <v>41305.327546296299</v>
      </c>
      <c r="B3288" s="195">
        <v>2212</v>
      </c>
      <c r="C3288" s="194"/>
      <c r="D3288" s="194"/>
      <c r="E3288" s="198"/>
      <c r="G3288" s="202"/>
      <c r="J3288" s="195">
        <v>2</v>
      </c>
      <c r="K3288" s="204" t="s">
        <v>32</v>
      </c>
      <c r="L3288" s="199">
        <v>1</v>
      </c>
      <c r="M3288" s="200">
        <v>0.7</v>
      </c>
      <c r="N3288" s="201">
        <v>16</v>
      </c>
    </row>
    <row r="3289" spans="1:14">
      <c r="A3289" s="194">
        <v>41305.524618055555</v>
      </c>
      <c r="B3289" s="195">
        <v>2212</v>
      </c>
      <c r="C3289" s="194"/>
      <c r="D3289" s="194"/>
      <c r="E3289" s="198"/>
      <c r="G3289" s="202"/>
      <c r="J3289" s="195">
        <v>2</v>
      </c>
      <c r="K3289" s="204" t="s">
        <v>32</v>
      </c>
      <c r="L3289" s="199">
        <v>1</v>
      </c>
      <c r="M3289" s="200">
        <v>0.3</v>
      </c>
      <c r="N3289" s="201">
        <v>32</v>
      </c>
    </row>
    <row r="3290" spans="1:14">
      <c r="A3290" s="194">
        <v>41280.888541666667</v>
      </c>
      <c r="B3290" s="195">
        <v>2212</v>
      </c>
      <c r="C3290" s="194"/>
      <c r="D3290" s="194"/>
      <c r="E3290" s="198"/>
      <c r="G3290" s="202"/>
      <c r="J3290" s="195">
        <v>2</v>
      </c>
      <c r="K3290" s="204" t="s">
        <v>32</v>
      </c>
      <c r="L3290" s="199">
        <v>2</v>
      </c>
      <c r="M3290" s="200">
        <v>0.5</v>
      </c>
      <c r="N3290" s="201">
        <v>33</v>
      </c>
    </row>
    <row r="3291" spans="1:14">
      <c r="A3291" s="194">
        <v>41293.796840277777</v>
      </c>
      <c r="B3291" s="195">
        <v>2212</v>
      </c>
      <c r="C3291" s="194"/>
      <c r="D3291" s="194"/>
      <c r="E3291" s="198"/>
      <c r="G3291" s="202"/>
      <c r="J3291" s="195">
        <v>2</v>
      </c>
      <c r="K3291" s="204" t="s">
        <v>32</v>
      </c>
      <c r="L3291" s="199">
        <v>1</v>
      </c>
      <c r="M3291" s="200">
        <v>0.4</v>
      </c>
      <c r="N3291" s="201">
        <v>35</v>
      </c>
    </row>
    <row r="3292" spans="1:14">
      <c r="A3292" s="194">
        <v>41280.783263888887</v>
      </c>
      <c r="B3292" s="195">
        <v>2212</v>
      </c>
      <c r="C3292" s="194"/>
      <c r="D3292" s="194"/>
      <c r="E3292" s="198"/>
      <c r="G3292" s="202"/>
      <c r="J3292" s="195">
        <v>2</v>
      </c>
      <c r="K3292" s="204" t="s">
        <v>32</v>
      </c>
      <c r="L3292" s="199">
        <v>2</v>
      </c>
      <c r="M3292" s="200">
        <v>0.5</v>
      </c>
      <c r="N3292" s="201">
        <v>37</v>
      </c>
    </row>
    <row r="3293" spans="1:14">
      <c r="A3293" s="194">
        <v>41291.552349537036</v>
      </c>
      <c r="B3293" s="195">
        <v>2212</v>
      </c>
      <c r="C3293" s="194"/>
      <c r="D3293" s="194"/>
      <c r="E3293" s="198"/>
      <c r="G3293" s="202"/>
      <c r="J3293" s="195">
        <v>2</v>
      </c>
      <c r="K3293" s="204" t="s">
        <v>32</v>
      </c>
      <c r="L3293" s="199">
        <v>1</v>
      </c>
      <c r="M3293" s="200">
        <v>0.4</v>
      </c>
      <c r="N3293" s="201">
        <v>38</v>
      </c>
    </row>
    <row r="3294" spans="1:14">
      <c r="A3294" s="194">
        <v>41292.630474537036</v>
      </c>
      <c r="B3294" s="195">
        <v>2212</v>
      </c>
      <c r="C3294" s="194"/>
      <c r="D3294" s="194"/>
      <c r="E3294" s="198"/>
      <c r="G3294" s="202"/>
      <c r="J3294" s="195">
        <v>2</v>
      </c>
      <c r="K3294" s="204" t="s">
        <v>32</v>
      </c>
      <c r="L3294" s="199">
        <v>1</v>
      </c>
      <c r="M3294" s="200">
        <v>0.6</v>
      </c>
      <c r="N3294" s="201">
        <v>38</v>
      </c>
    </row>
    <row r="3295" spans="1:14">
      <c r="A3295" s="194">
        <v>41305.779560185183</v>
      </c>
      <c r="B3295" s="195">
        <v>2212</v>
      </c>
      <c r="C3295" s="194"/>
      <c r="D3295" s="194"/>
      <c r="E3295" s="198"/>
      <c r="G3295" s="202"/>
      <c r="J3295" s="195">
        <v>2</v>
      </c>
      <c r="K3295" s="204" t="s">
        <v>32</v>
      </c>
      <c r="L3295" s="199">
        <v>2</v>
      </c>
      <c r="M3295" s="200">
        <v>1</v>
      </c>
      <c r="N3295" s="201">
        <v>38</v>
      </c>
    </row>
    <row r="3296" spans="1:14">
      <c r="A3296" s="194">
        <v>41305.990324074075</v>
      </c>
      <c r="B3296" s="195">
        <v>2212</v>
      </c>
      <c r="C3296" s="194"/>
      <c r="D3296" s="194"/>
      <c r="E3296" s="198"/>
      <c r="G3296" s="202"/>
      <c r="J3296" s="195">
        <v>2</v>
      </c>
      <c r="K3296" s="204" t="s">
        <v>32</v>
      </c>
      <c r="L3296" s="199">
        <v>2</v>
      </c>
      <c r="M3296" s="200">
        <v>0.9</v>
      </c>
      <c r="N3296" s="201">
        <v>42</v>
      </c>
    </row>
    <row r="3297" spans="1:14">
      <c r="A3297" s="194">
        <v>41279.866331018522</v>
      </c>
      <c r="B3297" s="195">
        <v>2212</v>
      </c>
      <c r="C3297" s="194"/>
      <c r="D3297" s="194"/>
      <c r="E3297" s="196" t="s">
        <v>1792</v>
      </c>
      <c r="G3297" s="202"/>
      <c r="J3297" s="195">
        <v>9</v>
      </c>
      <c r="K3297" s="204" t="s">
        <v>34</v>
      </c>
      <c r="L3297" s="199">
        <v>2</v>
      </c>
      <c r="M3297" s="200">
        <v>0.8</v>
      </c>
      <c r="N3297" s="201">
        <v>30</v>
      </c>
    </row>
    <row r="3298" spans="1:14">
      <c r="A3298" s="194">
        <v>41288.738842592589</v>
      </c>
      <c r="B3298" s="195">
        <v>2212</v>
      </c>
      <c r="C3298" s="194"/>
      <c r="D3298" s="194"/>
      <c r="E3298" s="198"/>
      <c r="G3298" s="202"/>
      <c r="J3298" s="195">
        <v>11</v>
      </c>
      <c r="K3298" s="204" t="s">
        <v>1</v>
      </c>
      <c r="L3298" s="199">
        <v>2</v>
      </c>
      <c r="M3298" s="200">
        <v>0.4</v>
      </c>
      <c r="N3298" s="201">
        <v>26</v>
      </c>
    </row>
    <row r="3299" spans="1:14">
      <c r="A3299" s="194">
        <v>41296.795891203707</v>
      </c>
      <c r="B3299" s="195">
        <v>2212</v>
      </c>
      <c r="C3299" s="194"/>
      <c r="D3299" s="194"/>
      <c r="E3299" s="198"/>
      <c r="G3299" s="202"/>
      <c r="J3299" s="195">
        <v>11</v>
      </c>
      <c r="K3299" s="204" t="s">
        <v>1</v>
      </c>
      <c r="L3299" s="199">
        <v>1</v>
      </c>
      <c r="M3299" s="200">
        <v>0.6</v>
      </c>
      <c r="N3299" s="201">
        <v>27</v>
      </c>
    </row>
    <row r="3300" spans="1:14">
      <c r="A3300" s="194">
        <v>41290.546770833331</v>
      </c>
      <c r="B3300" s="195">
        <v>2212</v>
      </c>
      <c r="C3300" s="194"/>
      <c r="D3300" s="194"/>
      <c r="E3300" s="198"/>
      <c r="G3300" s="202"/>
      <c r="J3300" s="195">
        <v>11</v>
      </c>
      <c r="K3300" s="204" t="s">
        <v>1</v>
      </c>
      <c r="L3300" s="199">
        <v>2</v>
      </c>
      <c r="M3300" s="200">
        <v>0.4</v>
      </c>
      <c r="N3300" s="201">
        <v>28</v>
      </c>
    </row>
    <row r="3301" spans="1:14">
      <c r="A3301" s="194">
        <v>41296.867164351854</v>
      </c>
      <c r="B3301" s="195">
        <v>2212</v>
      </c>
      <c r="C3301" s="194"/>
      <c r="D3301" s="194"/>
      <c r="E3301" s="198"/>
      <c r="G3301" s="202"/>
      <c r="J3301" s="195">
        <v>11</v>
      </c>
      <c r="K3301" s="204" t="s">
        <v>1</v>
      </c>
      <c r="L3301" s="199">
        <v>2</v>
      </c>
      <c r="M3301" s="200">
        <v>0.4</v>
      </c>
      <c r="N3301" s="201">
        <v>30</v>
      </c>
    </row>
    <row r="3302" spans="1:14">
      <c r="A3302" s="194">
        <v>41299.546817129631</v>
      </c>
      <c r="B3302" s="195">
        <v>2212</v>
      </c>
      <c r="C3302" s="194"/>
      <c r="D3302" s="194"/>
      <c r="E3302" s="198"/>
      <c r="G3302" s="202"/>
      <c r="J3302" s="195">
        <v>11</v>
      </c>
      <c r="K3302" s="204" t="s">
        <v>1</v>
      </c>
      <c r="L3302" s="199">
        <v>1</v>
      </c>
      <c r="M3302" s="200">
        <v>0.5</v>
      </c>
      <c r="N3302" s="201">
        <v>30</v>
      </c>
    </row>
    <row r="3303" spans="1:14">
      <c r="A3303" s="194">
        <v>41290.424560185187</v>
      </c>
      <c r="B3303" s="195">
        <v>2212</v>
      </c>
      <c r="C3303" s="194"/>
      <c r="D3303" s="194"/>
      <c r="E3303" s="198"/>
      <c r="G3303" s="202"/>
      <c r="J3303" s="195">
        <v>11</v>
      </c>
      <c r="K3303" s="204" t="s">
        <v>1</v>
      </c>
      <c r="L3303" s="199">
        <v>2</v>
      </c>
      <c r="M3303" s="200">
        <v>0.4</v>
      </c>
      <c r="N3303" s="201">
        <v>31</v>
      </c>
    </row>
    <row r="3304" spans="1:14">
      <c r="A3304" s="194">
        <v>41294.934733796297</v>
      </c>
      <c r="B3304" s="195">
        <v>2212</v>
      </c>
      <c r="C3304" s="194"/>
      <c r="D3304" s="194"/>
      <c r="E3304" s="198"/>
      <c r="G3304" s="202"/>
      <c r="J3304" s="195">
        <v>11</v>
      </c>
      <c r="K3304" s="204" t="s">
        <v>1</v>
      </c>
      <c r="L3304" s="199">
        <v>2</v>
      </c>
      <c r="M3304" s="200">
        <v>1.1000000000000001</v>
      </c>
      <c r="N3304" s="201">
        <v>31</v>
      </c>
    </row>
    <row r="3305" spans="1:14">
      <c r="A3305" s="194">
        <v>41300.589490740742</v>
      </c>
      <c r="B3305" s="195">
        <v>2212</v>
      </c>
      <c r="C3305" s="194"/>
      <c r="D3305" s="194"/>
      <c r="E3305" s="198"/>
      <c r="G3305" s="202"/>
      <c r="J3305" s="195">
        <v>11</v>
      </c>
      <c r="K3305" s="204" t="s">
        <v>1</v>
      </c>
      <c r="L3305" s="199">
        <v>1</v>
      </c>
      <c r="M3305" s="200">
        <v>0.5</v>
      </c>
      <c r="N3305" s="201">
        <v>32</v>
      </c>
    </row>
    <row r="3306" spans="1:14">
      <c r="A3306" s="194">
        <v>41295.425555555557</v>
      </c>
      <c r="B3306" s="195">
        <v>2212</v>
      </c>
      <c r="C3306" s="194"/>
      <c r="D3306" s="194"/>
      <c r="E3306" s="198"/>
      <c r="G3306" s="202"/>
      <c r="J3306" s="195">
        <v>11</v>
      </c>
      <c r="K3306" s="204" t="s">
        <v>1</v>
      </c>
      <c r="L3306" s="199">
        <v>2</v>
      </c>
      <c r="M3306" s="200">
        <v>0.3</v>
      </c>
      <c r="N3306" s="201">
        <v>33</v>
      </c>
    </row>
    <row r="3307" spans="1:14">
      <c r="A3307" s="194">
        <v>41279.907048611109</v>
      </c>
      <c r="B3307" s="195">
        <v>2212</v>
      </c>
      <c r="C3307" s="194"/>
      <c r="D3307" s="194"/>
      <c r="E3307" s="198"/>
      <c r="G3307" s="202"/>
      <c r="J3307" s="195">
        <v>11</v>
      </c>
      <c r="K3307" s="204" t="s">
        <v>1</v>
      </c>
      <c r="L3307" s="199">
        <v>2</v>
      </c>
      <c r="M3307" s="200">
        <v>0.3</v>
      </c>
      <c r="N3307" s="201">
        <v>33</v>
      </c>
    </row>
    <row r="3308" spans="1:14">
      <c r="A3308" s="194">
        <v>41299.784722222219</v>
      </c>
      <c r="B3308" s="195">
        <v>2212</v>
      </c>
      <c r="C3308" s="194"/>
      <c r="D3308" s="194"/>
      <c r="E3308" s="198"/>
      <c r="G3308" s="202"/>
      <c r="J3308" s="195">
        <v>11</v>
      </c>
      <c r="K3308" s="204" t="s">
        <v>1</v>
      </c>
      <c r="L3308" s="199">
        <v>1</v>
      </c>
      <c r="M3308" s="200">
        <v>0.9</v>
      </c>
      <c r="N3308" s="201">
        <v>33</v>
      </c>
    </row>
    <row r="3309" spans="1:14">
      <c r="A3309" s="194">
        <v>41296.506064814814</v>
      </c>
      <c r="B3309" s="195">
        <v>2212</v>
      </c>
      <c r="C3309" s="194"/>
      <c r="D3309" s="194"/>
      <c r="E3309" s="198"/>
      <c r="G3309" s="202"/>
      <c r="J3309" s="195">
        <v>11</v>
      </c>
      <c r="K3309" s="204" t="s">
        <v>1</v>
      </c>
      <c r="L3309" s="199">
        <v>1</v>
      </c>
      <c r="M3309" s="200">
        <v>0.3</v>
      </c>
      <c r="N3309" s="201">
        <v>34</v>
      </c>
    </row>
    <row r="3310" spans="1:14">
      <c r="A3310" s="194">
        <v>41277.552349537036</v>
      </c>
      <c r="B3310" s="195">
        <v>2212</v>
      </c>
      <c r="C3310" s="194"/>
      <c r="D3310" s="194"/>
      <c r="E3310" s="198"/>
      <c r="G3310" s="202"/>
      <c r="J3310" s="195">
        <v>11</v>
      </c>
      <c r="K3310" s="204" t="s">
        <v>1</v>
      </c>
      <c r="L3310" s="199">
        <v>1</v>
      </c>
      <c r="M3310" s="200">
        <v>0.3</v>
      </c>
      <c r="N3310" s="201">
        <v>34</v>
      </c>
    </row>
    <row r="3311" spans="1:14">
      <c r="A3311" s="194">
        <v>41302.487557870372</v>
      </c>
      <c r="B3311" s="195">
        <v>2212</v>
      </c>
      <c r="C3311" s="194"/>
      <c r="D3311" s="194"/>
      <c r="E3311" s="198"/>
      <c r="G3311" s="202"/>
      <c r="J3311" s="195">
        <v>11</v>
      </c>
      <c r="K3311" s="204" t="s">
        <v>1</v>
      </c>
      <c r="L3311" s="199">
        <v>1</v>
      </c>
      <c r="M3311" s="200">
        <v>0.4</v>
      </c>
      <c r="N3311" s="201">
        <v>34</v>
      </c>
    </row>
    <row r="3312" spans="1:14">
      <c r="A3312" s="194">
        <v>41282.541238425925</v>
      </c>
      <c r="B3312" s="195">
        <v>2212</v>
      </c>
      <c r="C3312" s="194"/>
      <c r="D3312" s="194"/>
      <c r="E3312" s="198"/>
      <c r="G3312" s="202"/>
      <c r="J3312" s="195">
        <v>11</v>
      </c>
      <c r="K3312" s="204" t="s">
        <v>1</v>
      </c>
      <c r="L3312" s="199">
        <v>1</v>
      </c>
      <c r="M3312" s="200">
        <v>0.7</v>
      </c>
      <c r="N3312" s="201">
        <v>34</v>
      </c>
    </row>
    <row r="3313" spans="1:14">
      <c r="A3313" s="194">
        <v>41299.849606481483</v>
      </c>
      <c r="B3313" s="195">
        <v>2212</v>
      </c>
      <c r="C3313" s="194"/>
      <c r="D3313" s="194"/>
      <c r="E3313" s="198"/>
      <c r="G3313" s="202"/>
      <c r="J3313" s="195">
        <v>11</v>
      </c>
      <c r="K3313" s="204" t="s">
        <v>1</v>
      </c>
      <c r="L3313" s="199">
        <v>1</v>
      </c>
      <c r="M3313" s="200">
        <v>0.9</v>
      </c>
      <c r="N3313" s="201">
        <v>34</v>
      </c>
    </row>
    <row r="3314" spans="1:14">
      <c r="A3314" s="194">
        <v>41291.589386574073</v>
      </c>
      <c r="B3314" s="195">
        <v>2212</v>
      </c>
      <c r="C3314" s="194"/>
      <c r="D3314" s="194"/>
      <c r="E3314" s="198"/>
      <c r="G3314" s="202"/>
      <c r="J3314" s="195">
        <v>11</v>
      </c>
      <c r="K3314" s="204" t="s">
        <v>1</v>
      </c>
      <c r="L3314" s="199">
        <v>1</v>
      </c>
      <c r="M3314" s="200">
        <v>0.8</v>
      </c>
      <c r="N3314" s="201">
        <v>35</v>
      </c>
    </row>
    <row r="3315" spans="1:14">
      <c r="A3315" s="194">
        <v>41276.634756944448</v>
      </c>
      <c r="B3315" s="195">
        <v>2212</v>
      </c>
      <c r="C3315" s="194"/>
      <c r="D3315" s="194"/>
      <c r="E3315" s="198"/>
      <c r="G3315" s="202"/>
      <c r="J3315" s="195">
        <v>11</v>
      </c>
      <c r="K3315" s="204" t="s">
        <v>1</v>
      </c>
      <c r="L3315" s="199">
        <v>1</v>
      </c>
      <c r="M3315" s="200">
        <v>0.8</v>
      </c>
      <c r="N3315" s="201">
        <v>35</v>
      </c>
    </row>
    <row r="3316" spans="1:14">
      <c r="A3316" s="194">
        <v>41300.56554398148</v>
      </c>
      <c r="B3316" s="195">
        <v>2212</v>
      </c>
      <c r="C3316" s="194"/>
      <c r="D3316" s="194"/>
      <c r="E3316" s="198"/>
      <c r="G3316" s="202"/>
      <c r="J3316" s="195">
        <v>11</v>
      </c>
      <c r="K3316" s="204" t="s">
        <v>1</v>
      </c>
      <c r="L3316" s="199">
        <v>1</v>
      </c>
      <c r="M3316" s="200">
        <v>0.9</v>
      </c>
      <c r="N3316" s="201">
        <v>35</v>
      </c>
    </row>
    <row r="3317" spans="1:14">
      <c r="A3317" s="194">
        <v>41291.593090277776</v>
      </c>
      <c r="B3317" s="195">
        <v>2212</v>
      </c>
      <c r="C3317" s="194"/>
      <c r="D3317" s="194"/>
      <c r="E3317" s="198"/>
      <c r="G3317" s="202"/>
      <c r="J3317" s="195">
        <v>11</v>
      </c>
      <c r="K3317" s="204" t="s">
        <v>1</v>
      </c>
      <c r="L3317" s="199">
        <v>1</v>
      </c>
      <c r="M3317" s="200">
        <v>0.3</v>
      </c>
      <c r="N3317" s="201">
        <v>36</v>
      </c>
    </row>
    <row r="3318" spans="1:14">
      <c r="A3318" s="194">
        <v>41281.295324074075</v>
      </c>
      <c r="B3318" s="195">
        <v>2212</v>
      </c>
      <c r="C3318" s="194"/>
      <c r="D3318" s="194"/>
      <c r="E3318" s="198"/>
      <c r="G3318" s="202"/>
      <c r="J3318" s="195">
        <v>11</v>
      </c>
      <c r="K3318" s="204" t="s">
        <v>1</v>
      </c>
      <c r="L3318" s="199">
        <v>1</v>
      </c>
      <c r="M3318" s="200">
        <v>0.3</v>
      </c>
      <c r="N3318" s="201">
        <v>36</v>
      </c>
    </row>
    <row r="3319" spans="1:14">
      <c r="A3319" s="194">
        <v>41301.629062499997</v>
      </c>
      <c r="B3319" s="195">
        <v>2212</v>
      </c>
      <c r="C3319" s="194"/>
      <c r="D3319" s="194"/>
      <c r="E3319" s="198"/>
      <c r="G3319" s="202"/>
      <c r="J3319" s="195">
        <v>11</v>
      </c>
      <c r="K3319" s="204" t="s">
        <v>1</v>
      </c>
      <c r="L3319" s="199">
        <v>1</v>
      </c>
      <c r="M3319" s="200">
        <v>0.5</v>
      </c>
      <c r="N3319" s="201">
        <v>36</v>
      </c>
    </row>
    <row r="3320" spans="1:14">
      <c r="A3320" s="194">
        <v>41288.572685185187</v>
      </c>
      <c r="B3320" s="195">
        <v>2212</v>
      </c>
      <c r="C3320" s="194"/>
      <c r="D3320" s="194"/>
      <c r="E3320" s="198"/>
      <c r="G3320" s="202"/>
      <c r="J3320" s="195">
        <v>11</v>
      </c>
      <c r="K3320" s="204" t="s">
        <v>1</v>
      </c>
      <c r="L3320" s="199">
        <v>2</v>
      </c>
      <c r="M3320" s="200">
        <v>0.4</v>
      </c>
      <c r="N3320" s="201">
        <v>37</v>
      </c>
    </row>
    <row r="3321" spans="1:14">
      <c r="A3321" s="194">
        <v>41293.113692129627</v>
      </c>
      <c r="B3321" s="195">
        <v>2212</v>
      </c>
      <c r="C3321" s="194"/>
      <c r="D3321" s="194"/>
      <c r="E3321" s="196" t="s">
        <v>2074</v>
      </c>
      <c r="G3321" s="202"/>
      <c r="J3321" s="195">
        <v>11</v>
      </c>
      <c r="K3321" s="204" t="s">
        <v>1</v>
      </c>
      <c r="L3321" s="199">
        <v>2</v>
      </c>
      <c r="M3321" s="200">
        <v>22.3</v>
      </c>
      <c r="N3321" s="201">
        <v>37</v>
      </c>
    </row>
    <row r="3322" spans="1:14">
      <c r="A3322" s="194">
        <v>41303.459768518522</v>
      </c>
      <c r="B3322" s="195">
        <v>2212</v>
      </c>
      <c r="C3322" s="194"/>
      <c r="D3322" s="194"/>
      <c r="E3322" s="198"/>
      <c r="G3322" s="202"/>
      <c r="J3322" s="195">
        <v>11</v>
      </c>
      <c r="K3322" s="204" t="s">
        <v>1</v>
      </c>
      <c r="L3322" s="199">
        <v>1</v>
      </c>
      <c r="M3322" s="200">
        <v>0.4</v>
      </c>
      <c r="N3322" s="201">
        <v>38</v>
      </c>
    </row>
    <row r="3323" spans="1:14">
      <c r="A3323" s="194">
        <v>41292.546747685185</v>
      </c>
      <c r="B3323" s="195">
        <v>2212</v>
      </c>
      <c r="C3323" s="194"/>
      <c r="D3323" s="194"/>
      <c r="E3323" s="198"/>
      <c r="G3323" s="202"/>
      <c r="J3323" s="195">
        <v>11</v>
      </c>
      <c r="K3323" s="204" t="s">
        <v>1</v>
      </c>
      <c r="L3323" s="199">
        <v>1</v>
      </c>
      <c r="M3323" s="200">
        <v>0.5</v>
      </c>
      <c r="N3323" s="201">
        <v>38</v>
      </c>
    </row>
    <row r="3324" spans="1:14">
      <c r="A3324" s="194">
        <v>41304.370266203703</v>
      </c>
      <c r="B3324" s="195">
        <v>2212</v>
      </c>
      <c r="C3324" s="194"/>
      <c r="D3324" s="194"/>
      <c r="E3324" s="198"/>
      <c r="G3324" s="202"/>
      <c r="J3324" s="195">
        <v>11</v>
      </c>
      <c r="K3324" s="204" t="s">
        <v>1</v>
      </c>
      <c r="L3324" s="199">
        <v>1</v>
      </c>
      <c r="M3324" s="200">
        <v>0.3</v>
      </c>
      <c r="N3324" s="201">
        <v>39</v>
      </c>
    </row>
    <row r="3325" spans="1:14">
      <c r="A3325" s="194">
        <v>41276.787893518522</v>
      </c>
      <c r="B3325" s="195">
        <v>2212</v>
      </c>
      <c r="C3325" s="194"/>
      <c r="D3325" s="194"/>
      <c r="E3325" s="198"/>
      <c r="G3325" s="202"/>
      <c r="J3325" s="195">
        <v>11</v>
      </c>
      <c r="K3325" s="204" t="s">
        <v>1</v>
      </c>
      <c r="L3325" s="199">
        <v>1</v>
      </c>
      <c r="M3325" s="200">
        <v>0.3</v>
      </c>
      <c r="N3325" s="201">
        <v>39</v>
      </c>
    </row>
    <row r="3326" spans="1:14">
      <c r="A3326" s="194">
        <v>41299.283784722225</v>
      </c>
      <c r="B3326" s="195">
        <v>2212</v>
      </c>
      <c r="C3326" s="194"/>
      <c r="D3326" s="194"/>
      <c r="E3326" s="198"/>
      <c r="G3326" s="202"/>
      <c r="J3326" s="195">
        <v>11</v>
      </c>
      <c r="K3326" s="204" t="s">
        <v>1</v>
      </c>
      <c r="L3326" s="199">
        <v>1</v>
      </c>
      <c r="M3326" s="200">
        <v>0.7</v>
      </c>
      <c r="N3326" s="201">
        <v>39</v>
      </c>
    </row>
    <row r="3327" spans="1:14">
      <c r="A3327" s="194">
        <v>41291.276493055557</v>
      </c>
      <c r="B3327" s="195">
        <v>2212</v>
      </c>
      <c r="C3327" s="194"/>
      <c r="D3327" s="194"/>
      <c r="E3327" s="198"/>
      <c r="G3327" s="202"/>
      <c r="J3327" s="195">
        <v>11</v>
      </c>
      <c r="K3327" s="204" t="s">
        <v>1</v>
      </c>
      <c r="L3327" s="199">
        <v>1</v>
      </c>
      <c r="M3327" s="200">
        <v>0.7</v>
      </c>
      <c r="N3327" s="201">
        <v>40</v>
      </c>
    </row>
    <row r="3328" spans="1:14">
      <c r="A3328" s="194">
        <v>41302.531064814815</v>
      </c>
      <c r="B3328" s="195">
        <v>2212</v>
      </c>
      <c r="C3328" s="194"/>
      <c r="D3328" s="194"/>
      <c r="E3328" s="198"/>
      <c r="G3328" s="202"/>
      <c r="J3328" s="195">
        <v>11</v>
      </c>
      <c r="K3328" s="204" t="s">
        <v>1</v>
      </c>
      <c r="L3328" s="199">
        <v>1</v>
      </c>
      <c r="M3328" s="200">
        <v>0.3</v>
      </c>
      <c r="N3328" s="201">
        <v>41</v>
      </c>
    </row>
    <row r="3329" spans="1:14">
      <c r="A3329" s="194">
        <v>41302.803287037037</v>
      </c>
      <c r="B3329" s="195">
        <v>2212</v>
      </c>
      <c r="C3329" s="194"/>
      <c r="D3329" s="194"/>
      <c r="E3329" s="196" t="s">
        <v>1857</v>
      </c>
      <c r="G3329" s="202"/>
      <c r="J3329" s="195">
        <v>11</v>
      </c>
      <c r="K3329" s="204" t="s">
        <v>1</v>
      </c>
      <c r="L3329" s="199">
        <v>2</v>
      </c>
      <c r="M3329" s="200">
        <v>0.9</v>
      </c>
      <c r="N3329" s="201">
        <v>41</v>
      </c>
    </row>
    <row r="3330" spans="1:14">
      <c r="A3330" s="194">
        <v>41295.27857638889</v>
      </c>
      <c r="B3330" s="195">
        <v>2212</v>
      </c>
      <c r="C3330" s="194"/>
      <c r="D3330" s="194"/>
      <c r="E3330" s="198"/>
      <c r="G3330" s="202"/>
      <c r="J3330" s="195">
        <v>11</v>
      </c>
      <c r="K3330" s="204" t="s">
        <v>1</v>
      </c>
      <c r="L3330" s="199">
        <v>1</v>
      </c>
      <c r="M3330" s="200">
        <v>0.3</v>
      </c>
      <c r="N3330" s="201">
        <v>42</v>
      </c>
    </row>
    <row r="3331" spans="1:14">
      <c r="A3331" s="194">
        <v>41302.276550925926</v>
      </c>
      <c r="B3331" s="195">
        <v>2212</v>
      </c>
      <c r="C3331" s="194"/>
      <c r="D3331" s="194"/>
      <c r="E3331" s="198"/>
      <c r="G3331" s="202"/>
      <c r="J3331" s="195">
        <v>11</v>
      </c>
      <c r="K3331" s="204" t="s">
        <v>1</v>
      </c>
      <c r="L3331" s="199">
        <v>1</v>
      </c>
      <c r="M3331" s="200">
        <v>0.4</v>
      </c>
      <c r="N3331" s="201">
        <v>44</v>
      </c>
    </row>
    <row r="3332" spans="1:14">
      <c r="A3332" s="194">
        <v>41299.839409722219</v>
      </c>
      <c r="B3332" s="195">
        <v>2212</v>
      </c>
      <c r="C3332" s="194"/>
      <c r="D3332" s="194"/>
      <c r="E3332" s="198"/>
      <c r="G3332" s="202"/>
      <c r="J3332" s="195">
        <v>11</v>
      </c>
      <c r="K3332" s="204" t="s">
        <v>1</v>
      </c>
      <c r="L3332" s="199">
        <v>2</v>
      </c>
      <c r="M3332" s="200">
        <v>0.9</v>
      </c>
      <c r="N3332" s="201">
        <v>49</v>
      </c>
    </row>
    <row r="3333" spans="1:14">
      <c r="A3333" s="194">
        <v>41302.787824074076</v>
      </c>
      <c r="B3333" s="195">
        <v>2212</v>
      </c>
      <c r="C3333" s="194"/>
      <c r="D3333" s="194"/>
      <c r="E3333" s="198"/>
      <c r="G3333" s="202"/>
      <c r="J3333" s="195">
        <v>12</v>
      </c>
      <c r="K3333" s="204" t="s">
        <v>7</v>
      </c>
      <c r="L3333" s="199">
        <v>2</v>
      </c>
      <c r="M3333" s="200">
        <v>0.5</v>
      </c>
      <c r="N3333" s="201">
        <v>31</v>
      </c>
    </row>
    <row r="3334" spans="1:14">
      <c r="A3334" s="194">
        <v>41288.861597222225</v>
      </c>
      <c r="B3334" s="195">
        <v>2212</v>
      </c>
      <c r="C3334" s="194"/>
      <c r="D3334" s="194"/>
      <c r="E3334" s="198"/>
      <c r="G3334" s="202"/>
      <c r="J3334" s="195">
        <v>13</v>
      </c>
      <c r="K3334" s="204" t="s">
        <v>3</v>
      </c>
      <c r="L3334" s="199">
        <v>1</v>
      </c>
      <c r="M3334" s="200">
        <v>0.6</v>
      </c>
      <c r="N3334" s="201">
        <v>38</v>
      </c>
    </row>
    <row r="3335" spans="1:14">
      <c r="A3335" s="194">
        <v>41302.279675925929</v>
      </c>
      <c r="B3335" s="195">
        <v>2212</v>
      </c>
      <c r="C3335" s="194"/>
      <c r="D3335" s="194"/>
      <c r="E3335" s="198"/>
      <c r="G3335" s="202"/>
      <c r="J3335" s="195">
        <v>14</v>
      </c>
      <c r="K3335" s="204" t="s">
        <v>2</v>
      </c>
      <c r="L3335" s="199">
        <v>1</v>
      </c>
      <c r="M3335" s="200">
        <v>0.6</v>
      </c>
      <c r="N3335" s="201">
        <v>39</v>
      </c>
    </row>
    <row r="3336" spans="1:14">
      <c r="A3336" s="194">
        <v>41292.524537037039</v>
      </c>
      <c r="B3336" s="195">
        <v>2212</v>
      </c>
      <c r="C3336" s="194"/>
      <c r="D3336" s="194"/>
      <c r="E3336" s="198"/>
      <c r="G3336" s="202"/>
      <c r="J3336" s="195">
        <v>15</v>
      </c>
      <c r="K3336" s="204" t="s">
        <v>4</v>
      </c>
      <c r="L3336" s="199">
        <v>1</v>
      </c>
      <c r="M3336" s="200">
        <v>1.1000000000000001</v>
      </c>
      <c r="N3336" s="201">
        <v>17</v>
      </c>
    </row>
    <row r="3337" spans="1:14">
      <c r="A3337" s="194">
        <v>41290.645104166666</v>
      </c>
      <c r="B3337" s="195">
        <v>2212</v>
      </c>
      <c r="C3337" s="194"/>
      <c r="D3337" s="194"/>
      <c r="E3337" s="198"/>
      <c r="G3337" s="202"/>
      <c r="J3337" s="195">
        <v>15</v>
      </c>
      <c r="K3337" s="204" t="s">
        <v>4</v>
      </c>
      <c r="L3337" s="199">
        <v>2</v>
      </c>
      <c r="M3337" s="200">
        <v>0.5</v>
      </c>
      <c r="N3337" s="201">
        <v>32</v>
      </c>
    </row>
    <row r="3338" spans="1:14">
      <c r="A3338" s="194">
        <v>41281.593113425923</v>
      </c>
      <c r="B3338" s="195">
        <v>2212</v>
      </c>
      <c r="C3338" s="194"/>
      <c r="D3338" s="194"/>
      <c r="E3338" s="198"/>
      <c r="G3338" s="202"/>
      <c r="J3338" s="195">
        <v>15</v>
      </c>
      <c r="K3338" s="204" t="s">
        <v>4</v>
      </c>
      <c r="L3338" s="199">
        <v>1</v>
      </c>
      <c r="M3338" s="200">
        <v>0.4</v>
      </c>
      <c r="N3338" s="201">
        <v>34</v>
      </c>
    </row>
    <row r="3339" spans="1:14">
      <c r="A3339" s="194">
        <v>41283.872708333336</v>
      </c>
      <c r="B3339" s="195">
        <v>2212</v>
      </c>
      <c r="C3339" s="194"/>
      <c r="D3339" s="194"/>
      <c r="E3339" s="198"/>
      <c r="G3339" s="202"/>
      <c r="J3339" s="195">
        <v>15</v>
      </c>
      <c r="K3339" s="204" t="s">
        <v>4</v>
      </c>
      <c r="L3339" s="199">
        <v>1</v>
      </c>
      <c r="M3339" s="200">
        <v>0.5</v>
      </c>
      <c r="N3339" s="201">
        <v>38</v>
      </c>
    </row>
    <row r="3340" spans="1:14">
      <c r="A3340" s="194">
        <v>41284.047708333332</v>
      </c>
      <c r="B3340" s="195">
        <v>2212</v>
      </c>
      <c r="C3340" s="194"/>
      <c r="D3340" s="194"/>
      <c r="E3340" s="198"/>
      <c r="G3340" s="202"/>
      <c r="J3340" s="195">
        <v>17</v>
      </c>
      <c r="K3340" s="204" t="s">
        <v>11</v>
      </c>
      <c r="L3340" s="199">
        <v>3</v>
      </c>
      <c r="M3340" s="200">
        <v>1.6</v>
      </c>
      <c r="N3340" s="201">
        <v>0</v>
      </c>
    </row>
    <row r="3341" spans="1:14">
      <c r="A3341" s="194">
        <v>41295.370266203703</v>
      </c>
      <c r="B3341" s="195">
        <v>2212</v>
      </c>
      <c r="C3341" s="194"/>
      <c r="D3341" s="194"/>
      <c r="E3341" s="198"/>
      <c r="G3341" s="202"/>
      <c r="J3341" s="195">
        <v>17</v>
      </c>
      <c r="K3341" s="204" t="s">
        <v>11</v>
      </c>
      <c r="L3341" s="199">
        <v>1</v>
      </c>
      <c r="M3341" s="200">
        <v>0.4</v>
      </c>
      <c r="N3341" s="201">
        <v>16</v>
      </c>
    </row>
    <row r="3342" spans="1:14">
      <c r="A3342" s="194">
        <v>41293.50403935185</v>
      </c>
      <c r="B3342" s="195">
        <v>2212</v>
      </c>
      <c r="C3342" s="194"/>
      <c r="D3342" s="194"/>
      <c r="E3342" s="198"/>
      <c r="G3342" s="202"/>
      <c r="J3342" s="195">
        <v>17</v>
      </c>
      <c r="K3342" s="204" t="s">
        <v>11</v>
      </c>
      <c r="L3342" s="199">
        <v>1</v>
      </c>
      <c r="M3342" s="200">
        <v>0.5</v>
      </c>
      <c r="N3342" s="201">
        <v>16</v>
      </c>
    </row>
    <row r="3343" spans="1:14">
      <c r="A3343" s="194">
        <v>41292.435648148145</v>
      </c>
      <c r="B3343" s="195">
        <v>2212</v>
      </c>
      <c r="C3343" s="194"/>
      <c r="D3343" s="194"/>
      <c r="E3343" s="198"/>
      <c r="G3343" s="202"/>
      <c r="J3343" s="195">
        <v>17</v>
      </c>
      <c r="K3343" s="204" t="s">
        <v>11</v>
      </c>
      <c r="L3343" s="199">
        <v>1</v>
      </c>
      <c r="M3343" s="200">
        <v>0.5</v>
      </c>
      <c r="N3343" s="201">
        <v>16</v>
      </c>
    </row>
    <row r="3344" spans="1:14">
      <c r="A3344" s="194">
        <v>41275.414479166669</v>
      </c>
      <c r="B3344" s="195">
        <v>2212</v>
      </c>
      <c r="C3344" s="194"/>
      <c r="D3344" s="194"/>
      <c r="E3344" s="198"/>
      <c r="G3344" s="202"/>
      <c r="J3344" s="195">
        <v>17</v>
      </c>
      <c r="K3344" s="204" t="s">
        <v>11</v>
      </c>
      <c r="L3344" s="199">
        <v>2</v>
      </c>
      <c r="M3344" s="200">
        <v>0.5</v>
      </c>
      <c r="N3344" s="201">
        <v>16</v>
      </c>
    </row>
    <row r="3345" spans="1:14">
      <c r="A3345" s="194">
        <v>41298.279606481483</v>
      </c>
      <c r="B3345" s="195">
        <v>2212</v>
      </c>
      <c r="C3345" s="194"/>
      <c r="D3345" s="194"/>
      <c r="E3345" s="198"/>
      <c r="G3345" s="202"/>
      <c r="J3345" s="195">
        <v>17</v>
      </c>
      <c r="K3345" s="204" t="s">
        <v>11</v>
      </c>
      <c r="L3345" s="199">
        <v>1</v>
      </c>
      <c r="M3345" s="200">
        <v>0.6</v>
      </c>
      <c r="N3345" s="201">
        <v>16</v>
      </c>
    </row>
    <row r="3346" spans="1:14">
      <c r="A3346" s="194">
        <v>41296.451435185183</v>
      </c>
      <c r="B3346" s="195">
        <v>2212</v>
      </c>
      <c r="C3346" s="194"/>
      <c r="D3346" s="194"/>
      <c r="E3346" s="198"/>
      <c r="G3346" s="202"/>
      <c r="J3346" s="195">
        <v>17</v>
      </c>
      <c r="K3346" s="204" t="s">
        <v>11</v>
      </c>
      <c r="L3346" s="199">
        <v>1</v>
      </c>
      <c r="M3346" s="200">
        <v>0.8</v>
      </c>
      <c r="N3346" s="201">
        <v>16</v>
      </c>
    </row>
    <row r="3347" spans="1:14">
      <c r="A3347" s="194">
        <v>41282.617152777777</v>
      </c>
      <c r="B3347" s="195">
        <v>2212</v>
      </c>
      <c r="C3347" s="194"/>
      <c r="D3347" s="194"/>
      <c r="E3347" s="198"/>
      <c r="G3347" s="202"/>
      <c r="J3347" s="195">
        <v>17</v>
      </c>
      <c r="K3347" s="204" t="s">
        <v>11</v>
      </c>
      <c r="L3347" s="199">
        <v>1</v>
      </c>
      <c r="M3347" s="200">
        <v>0.9</v>
      </c>
      <c r="N3347" s="201">
        <v>16</v>
      </c>
    </row>
    <row r="3348" spans="1:14">
      <c r="A3348" s="194">
        <v>41300.760324074072</v>
      </c>
      <c r="B3348" s="195">
        <v>2212</v>
      </c>
      <c r="C3348" s="194"/>
      <c r="D3348" s="194"/>
      <c r="E3348" s="198"/>
      <c r="G3348" s="202"/>
      <c r="J3348" s="195">
        <v>17</v>
      </c>
      <c r="K3348" s="204" t="s">
        <v>11</v>
      </c>
      <c r="L3348" s="199">
        <v>1</v>
      </c>
      <c r="M3348" s="200">
        <v>1</v>
      </c>
      <c r="N3348" s="201">
        <v>16</v>
      </c>
    </row>
    <row r="3349" spans="1:14">
      <c r="A3349" s="194">
        <v>41295.030081018522</v>
      </c>
      <c r="B3349" s="195">
        <v>2212</v>
      </c>
      <c r="C3349" s="194"/>
      <c r="D3349" s="194"/>
      <c r="E3349" s="198"/>
      <c r="G3349" s="202"/>
      <c r="J3349" s="195">
        <v>17</v>
      </c>
      <c r="K3349" s="204" t="s">
        <v>11</v>
      </c>
      <c r="L3349" s="199">
        <v>2</v>
      </c>
      <c r="M3349" s="200">
        <v>1</v>
      </c>
      <c r="N3349" s="201">
        <v>16</v>
      </c>
    </row>
    <row r="3350" spans="1:14">
      <c r="A3350" s="194">
        <v>41299.448692129627</v>
      </c>
      <c r="B3350" s="195">
        <v>2212</v>
      </c>
      <c r="C3350" s="194"/>
      <c r="D3350" s="194"/>
      <c r="E3350" s="198"/>
      <c r="G3350" s="202"/>
      <c r="J3350" s="195">
        <v>17</v>
      </c>
      <c r="K3350" s="204" t="s">
        <v>11</v>
      </c>
      <c r="L3350" s="199">
        <v>1</v>
      </c>
      <c r="M3350" s="200">
        <v>1.1000000000000001</v>
      </c>
      <c r="N3350" s="201">
        <v>16</v>
      </c>
    </row>
    <row r="3351" spans="1:14">
      <c r="A3351" s="194">
        <v>41277.491273148145</v>
      </c>
      <c r="B3351" s="195">
        <v>2212</v>
      </c>
      <c r="C3351" s="194"/>
      <c r="D3351" s="194"/>
      <c r="E3351" s="198"/>
      <c r="G3351" s="202"/>
      <c r="J3351" s="195">
        <v>17</v>
      </c>
      <c r="K3351" s="204" t="s">
        <v>11</v>
      </c>
      <c r="L3351" s="199">
        <v>1</v>
      </c>
      <c r="M3351" s="200">
        <v>1.5</v>
      </c>
      <c r="N3351" s="201">
        <v>16</v>
      </c>
    </row>
    <row r="3352" spans="1:14">
      <c r="A3352" s="194">
        <v>41294.787349537037</v>
      </c>
      <c r="B3352" s="195">
        <v>2212</v>
      </c>
      <c r="C3352" s="194"/>
      <c r="D3352" s="194"/>
      <c r="E3352" s="198"/>
      <c r="G3352" s="202"/>
      <c r="J3352" s="195">
        <v>17</v>
      </c>
      <c r="K3352" s="204" t="s">
        <v>11</v>
      </c>
      <c r="L3352" s="199">
        <v>2</v>
      </c>
      <c r="M3352" s="200">
        <v>1</v>
      </c>
      <c r="N3352" s="201">
        <v>17</v>
      </c>
    </row>
    <row r="3353" spans="1:14">
      <c r="A3353" s="194">
        <v>41276.48300925926</v>
      </c>
      <c r="B3353" s="195">
        <v>2212</v>
      </c>
      <c r="C3353" s="194"/>
      <c r="D3353" s="194"/>
      <c r="E3353" s="198"/>
      <c r="G3353" s="202"/>
      <c r="J3353" s="195">
        <v>17</v>
      </c>
      <c r="K3353" s="204" t="s">
        <v>11</v>
      </c>
      <c r="L3353" s="199">
        <v>1</v>
      </c>
      <c r="M3353" s="200">
        <v>1</v>
      </c>
      <c r="N3353" s="201">
        <v>17</v>
      </c>
    </row>
    <row r="3354" spans="1:14">
      <c r="A3354" s="194">
        <v>41283.791018518517</v>
      </c>
      <c r="B3354" s="195">
        <v>2212</v>
      </c>
      <c r="C3354" s="194"/>
      <c r="D3354" s="194"/>
      <c r="E3354" s="198"/>
      <c r="G3354" s="202"/>
      <c r="J3354" s="195">
        <v>17</v>
      </c>
      <c r="K3354" s="204" t="s">
        <v>11</v>
      </c>
      <c r="L3354" s="199">
        <v>1</v>
      </c>
      <c r="M3354" s="200">
        <v>6.4</v>
      </c>
      <c r="N3354" s="201">
        <v>17</v>
      </c>
    </row>
    <row r="3355" spans="1:14">
      <c r="A3355" s="194">
        <v>41276.296377314815</v>
      </c>
      <c r="B3355" s="195">
        <v>2212</v>
      </c>
      <c r="C3355" s="194"/>
      <c r="D3355" s="194"/>
      <c r="E3355" s="198"/>
      <c r="G3355" s="202"/>
      <c r="J3355" s="195">
        <v>17</v>
      </c>
      <c r="K3355" s="204" t="s">
        <v>11</v>
      </c>
      <c r="L3355" s="199">
        <v>1</v>
      </c>
      <c r="M3355" s="200">
        <v>0.4</v>
      </c>
      <c r="N3355" s="201">
        <v>18</v>
      </c>
    </row>
    <row r="3356" spans="1:14">
      <c r="A3356" s="194">
        <v>41300.431192129632</v>
      </c>
      <c r="B3356" s="195">
        <v>2212</v>
      </c>
      <c r="C3356" s="194"/>
      <c r="D3356" s="194"/>
      <c r="E3356" s="198"/>
      <c r="G3356" s="202"/>
      <c r="J3356" s="195">
        <v>17</v>
      </c>
      <c r="K3356" s="204" t="s">
        <v>11</v>
      </c>
      <c r="L3356" s="199">
        <v>1</v>
      </c>
      <c r="M3356" s="200">
        <v>0.5</v>
      </c>
      <c r="N3356" s="201">
        <v>19</v>
      </c>
    </row>
    <row r="3357" spans="1:14">
      <c r="A3357" s="194">
        <v>41278.262615740743</v>
      </c>
      <c r="B3357" s="195">
        <v>2212</v>
      </c>
      <c r="C3357" s="194"/>
      <c r="D3357" s="194"/>
      <c r="E3357" s="198"/>
      <c r="G3357" s="202"/>
      <c r="J3357" s="195">
        <v>17</v>
      </c>
      <c r="K3357" s="204" t="s">
        <v>11</v>
      </c>
      <c r="L3357" s="199">
        <v>3</v>
      </c>
      <c r="M3357" s="200">
        <v>0.6</v>
      </c>
      <c r="N3357" s="201">
        <v>19</v>
      </c>
    </row>
    <row r="3358" spans="1:14">
      <c r="A3358" s="194">
        <v>41301.359803240739</v>
      </c>
      <c r="B3358" s="195">
        <v>2212</v>
      </c>
      <c r="C3358" s="194"/>
      <c r="D3358" s="194"/>
      <c r="E3358" s="198"/>
      <c r="G3358" s="202"/>
      <c r="J3358" s="195">
        <v>17</v>
      </c>
      <c r="K3358" s="204" t="s">
        <v>11</v>
      </c>
      <c r="L3358" s="199">
        <v>1</v>
      </c>
      <c r="M3358" s="200">
        <v>4.5</v>
      </c>
      <c r="N3358" s="201">
        <v>22</v>
      </c>
    </row>
    <row r="3359" spans="1:14">
      <c r="A3359" s="194">
        <v>41292.948113425926</v>
      </c>
      <c r="B3359" s="195">
        <v>2212</v>
      </c>
      <c r="C3359" s="194"/>
      <c r="D3359" s="194"/>
      <c r="E3359" s="198"/>
      <c r="G3359" s="202"/>
      <c r="J3359" s="195">
        <v>17</v>
      </c>
      <c r="K3359" s="204" t="s">
        <v>11</v>
      </c>
      <c r="L3359" s="199">
        <v>1</v>
      </c>
      <c r="M3359" s="200">
        <v>35.799999999999997</v>
      </c>
      <c r="N3359" s="201">
        <v>26</v>
      </c>
    </row>
    <row r="3360" spans="1:14">
      <c r="A3360" s="194">
        <v>41304.568148148152</v>
      </c>
      <c r="B3360" s="195">
        <v>2212</v>
      </c>
      <c r="C3360" s="194"/>
      <c r="D3360" s="194"/>
      <c r="E3360" s="198"/>
      <c r="G3360" s="202"/>
      <c r="J3360" s="195">
        <v>17</v>
      </c>
      <c r="K3360" s="204" t="s">
        <v>11</v>
      </c>
      <c r="L3360" s="199">
        <v>1</v>
      </c>
      <c r="M3360" s="200">
        <v>0.6</v>
      </c>
      <c r="N3360" s="201">
        <v>36</v>
      </c>
    </row>
    <row r="3361" spans="1:14">
      <c r="A3361" s="194">
        <v>41280.194467592592</v>
      </c>
      <c r="B3361" s="195">
        <v>2212</v>
      </c>
      <c r="C3361" s="194"/>
      <c r="D3361" s="194"/>
      <c r="E3361" s="198"/>
      <c r="G3361" s="202"/>
      <c r="J3361" s="195">
        <v>18</v>
      </c>
      <c r="K3361" s="204" t="s">
        <v>5</v>
      </c>
      <c r="L3361" s="199">
        <v>2</v>
      </c>
      <c r="M3361" s="200">
        <v>34.200000000000003</v>
      </c>
      <c r="N3361" s="201">
        <v>16</v>
      </c>
    </row>
    <row r="3362" spans="1:14">
      <c r="A3362" s="194">
        <v>41300.448969907404</v>
      </c>
      <c r="B3362" s="195">
        <v>2212</v>
      </c>
      <c r="C3362" s="194"/>
      <c r="D3362" s="194"/>
      <c r="E3362" s="198"/>
      <c r="G3362" s="202"/>
      <c r="J3362" s="195">
        <v>18</v>
      </c>
      <c r="K3362" s="204" t="s">
        <v>5</v>
      </c>
      <c r="L3362" s="199">
        <v>1</v>
      </c>
      <c r="M3362" s="200">
        <v>6.8</v>
      </c>
      <c r="N3362" s="201">
        <v>17</v>
      </c>
    </row>
    <row r="3363" spans="1:14">
      <c r="A3363" s="194">
        <v>41296.147789351853</v>
      </c>
      <c r="B3363" s="195">
        <v>2212</v>
      </c>
      <c r="C3363" s="194"/>
      <c r="D3363" s="194"/>
      <c r="E3363" s="198"/>
      <c r="G3363" s="202"/>
      <c r="J3363" s="195">
        <v>18</v>
      </c>
      <c r="K3363" s="204" t="s">
        <v>5</v>
      </c>
      <c r="L3363" s="199">
        <v>2</v>
      </c>
      <c r="M3363" s="200">
        <v>5.0999999999999996</v>
      </c>
      <c r="N3363" s="201">
        <v>18</v>
      </c>
    </row>
    <row r="3364" spans="1:14">
      <c r="A3364" s="194">
        <v>41296.360925925925</v>
      </c>
      <c r="B3364" s="195">
        <v>2212</v>
      </c>
      <c r="C3364" s="194"/>
      <c r="D3364" s="194"/>
      <c r="E3364" s="198"/>
      <c r="G3364" s="202"/>
      <c r="J3364" s="195">
        <v>18</v>
      </c>
      <c r="K3364" s="204" t="s">
        <v>5</v>
      </c>
      <c r="L3364" s="199">
        <v>1</v>
      </c>
      <c r="M3364" s="200">
        <v>6.3</v>
      </c>
      <c r="N3364" s="201">
        <v>28</v>
      </c>
    </row>
    <row r="3365" spans="1:14">
      <c r="A3365" s="194">
        <v>41300.112534722219</v>
      </c>
      <c r="B3365" s="195">
        <v>2212</v>
      </c>
      <c r="C3365" s="194"/>
      <c r="D3365" s="194"/>
      <c r="E3365" s="198"/>
      <c r="G3365" s="202"/>
      <c r="J3365" s="195">
        <v>18</v>
      </c>
      <c r="K3365" s="204" t="s">
        <v>5</v>
      </c>
      <c r="L3365" s="199">
        <v>1</v>
      </c>
      <c r="M3365" s="200">
        <v>0.4</v>
      </c>
      <c r="N3365" s="201">
        <v>34</v>
      </c>
    </row>
    <row r="3366" spans="1:14">
      <c r="A3366" s="194">
        <v>41289.918078703704</v>
      </c>
      <c r="B3366" s="195">
        <v>2212</v>
      </c>
      <c r="C3366" s="194"/>
      <c r="D3366" s="194"/>
      <c r="E3366" s="198"/>
      <c r="G3366" s="202"/>
      <c r="J3366" s="195">
        <v>18</v>
      </c>
      <c r="K3366" s="204" t="s">
        <v>5</v>
      </c>
      <c r="L3366" s="199">
        <v>2</v>
      </c>
      <c r="M3366" s="200">
        <v>0.6</v>
      </c>
      <c r="N3366" s="201">
        <v>38</v>
      </c>
    </row>
    <row r="3367" spans="1:14">
      <c r="A3367" s="194">
        <v>41300.550949074073</v>
      </c>
      <c r="B3367" s="195">
        <v>2212</v>
      </c>
      <c r="C3367" s="194"/>
      <c r="D3367" s="194"/>
      <c r="E3367" s="198"/>
      <c r="G3367" s="202"/>
      <c r="J3367" s="195">
        <v>18</v>
      </c>
      <c r="K3367" s="204" t="s">
        <v>5</v>
      </c>
      <c r="L3367" s="199">
        <v>1</v>
      </c>
      <c r="M3367" s="200">
        <v>0.5</v>
      </c>
      <c r="N3367" s="201">
        <v>39</v>
      </c>
    </row>
    <row r="3368" spans="1:14">
      <c r="A3368" s="194">
        <v>41280.038541666669</v>
      </c>
      <c r="B3368" s="195">
        <v>2212</v>
      </c>
      <c r="C3368" s="194"/>
      <c r="D3368" s="194"/>
      <c r="E3368" s="196" t="s">
        <v>2013</v>
      </c>
      <c r="G3368" s="202"/>
      <c r="J3368" s="195">
        <v>24</v>
      </c>
      <c r="K3368" s="204" t="s">
        <v>25</v>
      </c>
      <c r="L3368" s="199">
        <v>2</v>
      </c>
      <c r="M3368" s="200">
        <v>0.4</v>
      </c>
      <c r="N3368" s="201">
        <v>27</v>
      </c>
    </row>
    <row r="3369" spans="1:14">
      <c r="A3369" s="194">
        <v>41278.747303240743</v>
      </c>
      <c r="B3369" s="195">
        <v>2212</v>
      </c>
      <c r="C3369" s="194"/>
      <c r="D3369" s="194"/>
      <c r="E3369" s="196" t="s">
        <v>1676</v>
      </c>
      <c r="G3369" s="202"/>
      <c r="J3369" s="195">
        <v>24</v>
      </c>
      <c r="K3369" s="204" t="s">
        <v>25</v>
      </c>
      <c r="L3369" s="199">
        <v>2</v>
      </c>
      <c r="M3369" s="200">
        <v>0.3</v>
      </c>
      <c r="N3369" s="201">
        <v>34</v>
      </c>
    </row>
    <row r="3370" spans="1:14">
      <c r="A3370" s="194">
        <v>41293.62903935185</v>
      </c>
      <c r="B3370" s="195">
        <v>2212</v>
      </c>
      <c r="C3370" s="194"/>
      <c r="D3370" s="194"/>
      <c r="E3370" s="196" t="s">
        <v>1622</v>
      </c>
      <c r="G3370" s="202"/>
      <c r="J3370" s="195">
        <v>24</v>
      </c>
      <c r="K3370" s="204" t="s">
        <v>25</v>
      </c>
      <c r="L3370" s="199">
        <v>2</v>
      </c>
      <c r="M3370" s="200">
        <v>0.4</v>
      </c>
      <c r="N3370" s="201">
        <v>36</v>
      </c>
    </row>
    <row r="3371" spans="1:14">
      <c r="A3371" s="194">
        <v>41301.780127314814</v>
      </c>
      <c r="B3371" s="195">
        <v>2212</v>
      </c>
      <c r="C3371" s="194"/>
      <c r="D3371" s="194"/>
      <c r="E3371" s="196" t="s">
        <v>1863</v>
      </c>
      <c r="G3371" s="202"/>
      <c r="J3371" s="195">
        <v>24</v>
      </c>
      <c r="K3371" s="204" t="s">
        <v>25</v>
      </c>
      <c r="L3371" s="199">
        <v>2</v>
      </c>
      <c r="M3371" s="200">
        <v>0.4</v>
      </c>
      <c r="N3371" s="201">
        <v>37</v>
      </c>
    </row>
    <row r="3372" spans="1:14">
      <c r="A3372" s="194">
        <v>41292.298310185186</v>
      </c>
      <c r="B3372" s="195">
        <v>2212</v>
      </c>
      <c r="C3372" s="194"/>
      <c r="D3372" s="194"/>
      <c r="E3372" s="196" t="s">
        <v>1643</v>
      </c>
      <c r="G3372" s="202"/>
      <c r="J3372" s="195">
        <v>24</v>
      </c>
      <c r="K3372" s="204" t="s">
        <v>25</v>
      </c>
      <c r="L3372" s="199">
        <v>1</v>
      </c>
      <c r="M3372" s="200">
        <v>0.5</v>
      </c>
      <c r="N3372" s="201">
        <v>38</v>
      </c>
    </row>
    <row r="3373" spans="1:14">
      <c r="A3373" s="194">
        <v>41288.669027777774</v>
      </c>
      <c r="B3373" s="195">
        <v>2212</v>
      </c>
      <c r="C3373" s="194"/>
      <c r="D3373" s="194"/>
      <c r="E3373" s="196" t="s">
        <v>2000</v>
      </c>
      <c r="G3373" s="202"/>
      <c r="J3373" s="195">
        <v>24</v>
      </c>
      <c r="K3373" s="204" t="s">
        <v>25</v>
      </c>
      <c r="L3373" s="199">
        <v>1</v>
      </c>
      <c r="M3373" s="200">
        <v>0.3</v>
      </c>
      <c r="N3373" s="201">
        <v>40</v>
      </c>
    </row>
    <row r="3374" spans="1:14">
      <c r="A3374" s="194">
        <v>41281.296377314815</v>
      </c>
      <c r="B3374" s="195">
        <v>2212</v>
      </c>
      <c r="C3374" s="194"/>
      <c r="D3374" s="194"/>
      <c r="E3374" s="196" t="s">
        <v>2092</v>
      </c>
      <c r="G3374" s="202"/>
      <c r="J3374" s="195">
        <v>24</v>
      </c>
      <c r="K3374" s="204" t="s">
        <v>25</v>
      </c>
      <c r="L3374" s="199">
        <v>1</v>
      </c>
      <c r="M3374" s="200">
        <v>1</v>
      </c>
      <c r="N3374" s="201">
        <v>43</v>
      </c>
    </row>
    <row r="3375" spans="1:14">
      <c r="A3375" s="194">
        <v>41277.865393518521</v>
      </c>
      <c r="B3375" s="195">
        <v>2212</v>
      </c>
      <c r="C3375" s="194"/>
      <c r="D3375" s="194"/>
      <c r="E3375" s="196" t="s">
        <v>1679</v>
      </c>
      <c r="G3375" s="202"/>
      <c r="J3375" s="195">
        <v>29</v>
      </c>
      <c r="K3375" s="204" t="s">
        <v>39</v>
      </c>
      <c r="L3375" s="199">
        <v>2</v>
      </c>
      <c r="M3375" s="200">
        <v>0.8</v>
      </c>
      <c r="N3375" s="201">
        <v>32</v>
      </c>
    </row>
    <row r="3376" spans="1:14">
      <c r="A3376" s="194">
        <v>41288.965277777781</v>
      </c>
      <c r="B3376" s="195">
        <v>2212</v>
      </c>
      <c r="C3376" s="194"/>
      <c r="D3376" s="194"/>
      <c r="E3376" s="196" t="s">
        <v>1844</v>
      </c>
      <c r="G3376" s="202"/>
      <c r="J3376" s="195">
        <v>29</v>
      </c>
      <c r="K3376" s="204" t="s">
        <v>39</v>
      </c>
      <c r="L3376" s="199">
        <v>2</v>
      </c>
      <c r="M3376" s="200">
        <v>0.5</v>
      </c>
      <c r="N3376" s="201">
        <v>53</v>
      </c>
    </row>
    <row r="3377" spans="1:14">
      <c r="A3377" s="194">
        <v>41280.561412037037</v>
      </c>
      <c r="B3377" s="195">
        <v>2212</v>
      </c>
      <c r="C3377" s="194"/>
      <c r="D3377" s="194"/>
      <c r="E3377" s="198"/>
      <c r="G3377" s="202"/>
      <c r="J3377" s="195">
        <v>41</v>
      </c>
      <c r="K3377" s="204" t="s">
        <v>40</v>
      </c>
      <c r="L3377" s="199">
        <v>3</v>
      </c>
      <c r="M3377" s="200">
        <v>3.3</v>
      </c>
      <c r="N3377" s="201">
        <v>16</v>
      </c>
    </row>
    <row r="3378" spans="1:14">
      <c r="A3378" s="194">
        <v>41280.561469907407</v>
      </c>
      <c r="B3378" s="195">
        <v>2212</v>
      </c>
      <c r="C3378" s="194"/>
      <c r="D3378" s="194"/>
      <c r="E3378" s="198"/>
      <c r="G3378" s="202"/>
      <c r="J3378" s="195">
        <v>41</v>
      </c>
      <c r="K3378" s="204" t="s">
        <v>40</v>
      </c>
      <c r="L3378" s="199">
        <v>3</v>
      </c>
      <c r="M3378" s="200">
        <v>8.1999999999999993</v>
      </c>
      <c r="N3378" s="201">
        <v>18</v>
      </c>
    </row>
    <row r="3379" spans="1:14">
      <c r="A3379" s="194">
        <v>41280.561574074076</v>
      </c>
      <c r="B3379" s="195">
        <v>2212</v>
      </c>
      <c r="C3379" s="194"/>
      <c r="D3379" s="194"/>
      <c r="E3379" s="198"/>
      <c r="G3379" s="202"/>
      <c r="J3379" s="195">
        <v>41</v>
      </c>
      <c r="K3379" s="204" t="s">
        <v>40</v>
      </c>
      <c r="L3379" s="199">
        <v>3</v>
      </c>
      <c r="M3379" s="200">
        <v>17.2</v>
      </c>
      <c r="N3379" s="201">
        <v>19</v>
      </c>
    </row>
    <row r="3380" spans="1:14">
      <c r="A3380" s="194">
        <v>41280.561516203707</v>
      </c>
      <c r="B3380" s="195">
        <v>2212</v>
      </c>
      <c r="C3380" s="194"/>
      <c r="D3380" s="194"/>
      <c r="E3380" s="198"/>
      <c r="G3380" s="202"/>
      <c r="J3380" s="195">
        <v>41</v>
      </c>
      <c r="K3380" s="204" t="s">
        <v>40</v>
      </c>
      <c r="L3380" s="199">
        <v>3</v>
      </c>
      <c r="M3380" s="200">
        <v>12.7</v>
      </c>
      <c r="N3380" s="201">
        <v>21</v>
      </c>
    </row>
    <row r="3381" spans="1:14">
      <c r="A3381" s="194">
        <v>41280.486527777779</v>
      </c>
      <c r="B3381" s="195">
        <v>2212</v>
      </c>
      <c r="C3381" s="194"/>
      <c r="D3381" s="194"/>
      <c r="E3381" s="198"/>
      <c r="G3381" s="202"/>
      <c r="J3381" s="195">
        <v>41</v>
      </c>
      <c r="K3381" s="204" t="s">
        <v>40</v>
      </c>
      <c r="L3381" s="199">
        <v>3</v>
      </c>
      <c r="M3381" s="200">
        <v>12</v>
      </c>
      <c r="N3381" s="201">
        <v>24</v>
      </c>
    </row>
    <row r="3382" spans="1:14">
      <c r="A3382" s="194">
        <v>41280.486446759256</v>
      </c>
      <c r="B3382" s="195">
        <v>2212</v>
      </c>
      <c r="C3382" s="194"/>
      <c r="D3382" s="194"/>
      <c r="E3382" s="198"/>
      <c r="G3382" s="202"/>
      <c r="J3382" s="195">
        <v>41</v>
      </c>
      <c r="K3382" s="204" t="s">
        <v>40</v>
      </c>
      <c r="L3382" s="199">
        <v>3</v>
      </c>
      <c r="M3382" s="200">
        <v>4.5</v>
      </c>
      <c r="N3382" s="201">
        <v>25</v>
      </c>
    </row>
    <row r="3383" spans="1:14">
      <c r="A3383" s="194">
        <v>41280.486493055556</v>
      </c>
      <c r="B3383" s="195">
        <v>2212</v>
      </c>
      <c r="C3383" s="194"/>
      <c r="D3383" s="194"/>
      <c r="E3383" s="198"/>
      <c r="G3383" s="202"/>
      <c r="J3383" s="195">
        <v>41</v>
      </c>
      <c r="K3383" s="204" t="s">
        <v>40</v>
      </c>
      <c r="L3383" s="199">
        <v>3</v>
      </c>
      <c r="M3383" s="200">
        <v>9.3000000000000007</v>
      </c>
      <c r="N3383" s="201">
        <v>28</v>
      </c>
    </row>
    <row r="3384" spans="1:14">
      <c r="A3384" s="194">
        <v>41280.486388888887</v>
      </c>
      <c r="B3384" s="195">
        <v>2212</v>
      </c>
      <c r="C3384" s="194"/>
      <c r="D3384" s="194"/>
      <c r="E3384" s="198"/>
      <c r="G3384" s="202"/>
      <c r="J3384" s="195">
        <v>41</v>
      </c>
      <c r="K3384" s="204" t="s">
        <v>40</v>
      </c>
      <c r="L3384" s="199">
        <v>3</v>
      </c>
      <c r="M3384" s="200">
        <v>0.3</v>
      </c>
      <c r="N3384" s="201">
        <v>31</v>
      </c>
    </row>
    <row r="3385" spans="1:14">
      <c r="A3385" s="194">
        <v>41300.479097222225</v>
      </c>
      <c r="B3385" s="195">
        <v>2212</v>
      </c>
      <c r="C3385" s="194"/>
      <c r="D3385" s="194"/>
      <c r="E3385" s="198"/>
      <c r="G3385" s="202"/>
      <c r="J3385" s="195">
        <v>41</v>
      </c>
      <c r="K3385" s="204" t="s">
        <v>40</v>
      </c>
      <c r="L3385" s="199">
        <v>2</v>
      </c>
      <c r="M3385" s="200">
        <v>1.1000000000000001</v>
      </c>
      <c r="N3385" s="201">
        <v>36</v>
      </c>
    </row>
    <row r="3386" spans="1:14">
      <c r="A3386" s="194">
        <v>41276.79315972222</v>
      </c>
      <c r="B3386" s="195">
        <v>2212</v>
      </c>
      <c r="C3386" s="194"/>
      <c r="D3386" s="194"/>
      <c r="E3386" s="198"/>
      <c r="G3386" s="202"/>
      <c r="J3386" s="195">
        <v>43</v>
      </c>
      <c r="K3386" s="204" t="s">
        <v>1596</v>
      </c>
      <c r="L3386" s="199">
        <v>3</v>
      </c>
      <c r="M3386" s="200">
        <v>0.3</v>
      </c>
      <c r="N3386" s="201">
        <v>15</v>
      </c>
    </row>
    <row r="3387" spans="1:14">
      <c r="A3387" s="194">
        <v>41279.492662037039</v>
      </c>
      <c r="B3387" s="195">
        <v>2212</v>
      </c>
      <c r="C3387" s="194"/>
      <c r="D3387" s="194"/>
      <c r="E3387" s="198"/>
      <c r="G3387" s="202"/>
      <c r="J3387" s="195">
        <v>43</v>
      </c>
      <c r="K3387" s="204" t="s">
        <v>1596</v>
      </c>
      <c r="L3387" s="199">
        <v>3</v>
      </c>
      <c r="M3387" s="200">
        <v>0.8</v>
      </c>
      <c r="N3387" s="201">
        <v>15</v>
      </c>
    </row>
    <row r="3388" spans="1:14">
      <c r="A3388" s="194">
        <v>41282.364004629628</v>
      </c>
      <c r="B3388" s="195">
        <v>2212</v>
      </c>
      <c r="C3388" s="194"/>
      <c r="D3388" s="194"/>
      <c r="E3388" s="198"/>
      <c r="G3388" s="202"/>
      <c r="J3388" s="195">
        <v>43</v>
      </c>
      <c r="K3388" s="204" t="s">
        <v>1596</v>
      </c>
      <c r="L3388" s="199">
        <v>3</v>
      </c>
      <c r="M3388" s="200">
        <v>0.5</v>
      </c>
      <c r="N3388" s="201">
        <v>16</v>
      </c>
    </row>
    <row r="3389" spans="1:14">
      <c r="A3389" s="194">
        <v>41281.786793981482</v>
      </c>
      <c r="B3389" s="195">
        <v>2212</v>
      </c>
      <c r="C3389" s="194"/>
      <c r="D3389" s="194"/>
      <c r="E3389" s="198"/>
      <c r="G3389" s="202"/>
      <c r="J3389" s="195">
        <v>43</v>
      </c>
      <c r="K3389" s="204" t="s">
        <v>1596</v>
      </c>
      <c r="L3389" s="199">
        <v>3</v>
      </c>
      <c r="M3389" s="200">
        <v>0.6</v>
      </c>
      <c r="N3389" s="201">
        <v>16</v>
      </c>
    </row>
    <row r="3390" spans="1:14">
      <c r="A3390" s="194">
        <v>41282.782592592594</v>
      </c>
      <c r="B3390" s="195">
        <v>2212</v>
      </c>
      <c r="C3390" s="194"/>
      <c r="D3390" s="194"/>
      <c r="E3390" s="198"/>
      <c r="G3390" s="202"/>
      <c r="J3390" s="195">
        <v>43</v>
      </c>
      <c r="K3390" s="204" t="s">
        <v>1596</v>
      </c>
      <c r="L3390" s="199">
        <v>3</v>
      </c>
      <c r="M3390" s="200">
        <v>0.7</v>
      </c>
      <c r="N3390" s="201">
        <v>16</v>
      </c>
    </row>
    <row r="3391" spans="1:14">
      <c r="A3391" s="194">
        <v>41281.428379629629</v>
      </c>
      <c r="B3391" s="195">
        <v>2212</v>
      </c>
      <c r="C3391" s="194"/>
      <c r="D3391" s="194"/>
      <c r="E3391" s="198"/>
      <c r="G3391" s="202"/>
      <c r="J3391" s="195">
        <v>43</v>
      </c>
      <c r="K3391" s="204" t="s">
        <v>1596</v>
      </c>
      <c r="L3391" s="199">
        <v>3</v>
      </c>
      <c r="M3391" s="200">
        <v>0.7</v>
      </c>
      <c r="N3391" s="201">
        <v>16</v>
      </c>
    </row>
    <row r="3392" spans="1:14">
      <c r="A3392" s="194">
        <v>41277.50513888889</v>
      </c>
      <c r="B3392" s="195">
        <v>2212</v>
      </c>
      <c r="C3392" s="194"/>
      <c r="D3392" s="194"/>
      <c r="E3392" s="198"/>
      <c r="G3392" s="202"/>
      <c r="J3392" s="195">
        <v>43</v>
      </c>
      <c r="K3392" s="204" t="s">
        <v>1596</v>
      </c>
      <c r="L3392" s="199">
        <v>3</v>
      </c>
      <c r="M3392" s="200">
        <v>0.7</v>
      </c>
      <c r="N3392" s="201">
        <v>16</v>
      </c>
    </row>
    <row r="3393" spans="1:14">
      <c r="A3393" s="194">
        <v>41277.469039351854</v>
      </c>
      <c r="B3393" s="195">
        <v>2212</v>
      </c>
      <c r="C3393" s="194"/>
      <c r="D3393" s="194"/>
      <c r="E3393" s="198"/>
      <c r="G3393" s="202"/>
      <c r="J3393" s="195">
        <v>43</v>
      </c>
      <c r="K3393" s="204" t="s">
        <v>1596</v>
      </c>
      <c r="L3393" s="199">
        <v>3</v>
      </c>
      <c r="M3393" s="200">
        <v>0.7</v>
      </c>
      <c r="N3393" s="201">
        <v>16</v>
      </c>
    </row>
    <row r="3394" spans="1:14">
      <c r="A3394" s="194">
        <v>41277.704548611109</v>
      </c>
      <c r="B3394" s="195">
        <v>2212</v>
      </c>
      <c r="C3394" s="194"/>
      <c r="D3394" s="194"/>
      <c r="E3394" s="198"/>
      <c r="G3394" s="202"/>
      <c r="J3394" s="195">
        <v>43</v>
      </c>
      <c r="K3394" s="204" t="s">
        <v>1596</v>
      </c>
      <c r="L3394" s="199">
        <v>3</v>
      </c>
      <c r="M3394" s="200">
        <v>0.8</v>
      </c>
      <c r="N3394" s="201">
        <v>16</v>
      </c>
    </row>
    <row r="3395" spans="1:14">
      <c r="A3395" s="194">
        <v>41282.623645833337</v>
      </c>
      <c r="B3395" s="195">
        <v>2212</v>
      </c>
      <c r="C3395" s="194"/>
      <c r="D3395" s="194"/>
      <c r="E3395" s="198"/>
      <c r="G3395" s="202"/>
      <c r="J3395" s="195">
        <v>43</v>
      </c>
      <c r="K3395" s="204" t="s">
        <v>1596</v>
      </c>
      <c r="L3395" s="199">
        <v>3</v>
      </c>
      <c r="M3395" s="200">
        <v>1.3</v>
      </c>
      <c r="N3395" s="201">
        <v>16</v>
      </c>
    </row>
    <row r="3396" spans="1:14">
      <c r="A3396" s="194">
        <v>41281.883842592593</v>
      </c>
      <c r="B3396" s="195">
        <v>2212</v>
      </c>
      <c r="C3396" s="194"/>
      <c r="D3396" s="194"/>
      <c r="E3396" s="198"/>
      <c r="G3396" s="202"/>
      <c r="J3396" s="195">
        <v>43</v>
      </c>
      <c r="K3396" s="204" t="s">
        <v>1596</v>
      </c>
      <c r="L3396" s="199">
        <v>3</v>
      </c>
      <c r="M3396" s="200">
        <v>1.3</v>
      </c>
      <c r="N3396" s="201">
        <v>16</v>
      </c>
    </row>
    <row r="3397" spans="1:14">
      <c r="A3397" s="194">
        <v>41282.350474537037</v>
      </c>
      <c r="B3397" s="195">
        <v>2212</v>
      </c>
      <c r="C3397" s="194"/>
      <c r="D3397" s="194"/>
      <c r="E3397" s="198"/>
      <c r="G3397" s="202"/>
      <c r="J3397" s="195">
        <v>43</v>
      </c>
      <c r="K3397" s="204" t="s">
        <v>1596</v>
      </c>
      <c r="L3397" s="199">
        <v>3</v>
      </c>
      <c r="M3397" s="200">
        <v>1.7</v>
      </c>
      <c r="N3397" s="201">
        <v>16</v>
      </c>
    </row>
    <row r="3398" spans="1:14">
      <c r="A3398" s="194">
        <v>41293.051516203705</v>
      </c>
      <c r="B3398" s="195">
        <v>2212</v>
      </c>
      <c r="C3398" s="194"/>
      <c r="D3398" s="194"/>
      <c r="E3398" s="198"/>
      <c r="G3398" s="202"/>
      <c r="J3398" s="195">
        <v>43</v>
      </c>
      <c r="K3398" s="204" t="s">
        <v>1596</v>
      </c>
      <c r="L3398" s="199">
        <v>2</v>
      </c>
      <c r="M3398" s="200">
        <v>11</v>
      </c>
      <c r="N3398" s="201">
        <v>16</v>
      </c>
    </row>
    <row r="3399" spans="1:14">
      <c r="A3399" s="194">
        <v>41282.790925925925</v>
      </c>
      <c r="B3399" s="195">
        <v>2212</v>
      </c>
      <c r="C3399" s="194"/>
      <c r="D3399" s="194"/>
      <c r="E3399" s="198"/>
      <c r="G3399" s="202"/>
      <c r="J3399" s="195">
        <v>43</v>
      </c>
      <c r="K3399" s="204" t="s">
        <v>1596</v>
      </c>
      <c r="L3399" s="199">
        <v>3</v>
      </c>
      <c r="M3399" s="200">
        <v>0.6</v>
      </c>
      <c r="N3399" s="201">
        <v>17</v>
      </c>
    </row>
    <row r="3400" spans="1:14">
      <c r="A3400" s="194">
        <v>41282.555127314816</v>
      </c>
      <c r="B3400" s="195">
        <v>2212</v>
      </c>
      <c r="C3400" s="194"/>
      <c r="D3400" s="194"/>
      <c r="E3400" s="198"/>
      <c r="G3400" s="202"/>
      <c r="J3400" s="195">
        <v>43</v>
      </c>
      <c r="K3400" s="204" t="s">
        <v>1596</v>
      </c>
      <c r="L3400" s="199">
        <v>3</v>
      </c>
      <c r="M3400" s="200">
        <v>0.6</v>
      </c>
      <c r="N3400" s="201">
        <v>17</v>
      </c>
    </row>
    <row r="3401" spans="1:14">
      <c r="A3401" s="194">
        <v>41279.883912037039</v>
      </c>
      <c r="B3401" s="195">
        <v>2212</v>
      </c>
      <c r="C3401" s="194"/>
      <c r="D3401" s="194"/>
      <c r="E3401" s="198"/>
      <c r="G3401" s="202"/>
      <c r="J3401" s="195">
        <v>43</v>
      </c>
      <c r="K3401" s="204" t="s">
        <v>1596</v>
      </c>
      <c r="L3401" s="199">
        <v>3</v>
      </c>
      <c r="M3401" s="200">
        <v>0.9</v>
      </c>
      <c r="N3401" s="201">
        <v>17</v>
      </c>
    </row>
    <row r="3402" spans="1:14">
      <c r="A3402" s="194">
        <v>41277.774375000001</v>
      </c>
      <c r="B3402" s="195">
        <v>2212</v>
      </c>
      <c r="C3402" s="194"/>
      <c r="D3402" s="194"/>
      <c r="E3402" s="198"/>
      <c r="G3402" s="202"/>
      <c r="J3402" s="195">
        <v>43</v>
      </c>
      <c r="K3402" s="204" t="s">
        <v>1596</v>
      </c>
      <c r="L3402" s="199">
        <v>3</v>
      </c>
      <c r="M3402" s="200">
        <v>1.2</v>
      </c>
      <c r="N3402" s="201">
        <v>17</v>
      </c>
    </row>
    <row r="3403" spans="1:14">
      <c r="A3403" s="194">
        <v>41281.628483796296</v>
      </c>
      <c r="B3403" s="195">
        <v>2212</v>
      </c>
      <c r="C3403" s="194"/>
      <c r="D3403" s="194"/>
      <c r="E3403" s="198"/>
      <c r="G3403" s="202"/>
      <c r="J3403" s="195">
        <v>43</v>
      </c>
      <c r="K3403" s="204" t="s">
        <v>1596</v>
      </c>
      <c r="L3403" s="199">
        <v>3</v>
      </c>
      <c r="M3403" s="200">
        <v>1.3</v>
      </c>
      <c r="N3403" s="201">
        <v>17</v>
      </c>
    </row>
    <row r="3404" spans="1:14">
      <c r="A3404" s="194">
        <v>41276.437673611108</v>
      </c>
      <c r="B3404" s="195">
        <v>2212</v>
      </c>
      <c r="C3404" s="194"/>
      <c r="D3404" s="194"/>
      <c r="E3404" s="198"/>
      <c r="G3404" s="202"/>
      <c r="J3404" s="195">
        <v>43</v>
      </c>
      <c r="K3404" s="204" t="s">
        <v>1596</v>
      </c>
      <c r="L3404" s="199">
        <v>3</v>
      </c>
      <c r="M3404" s="200">
        <v>1.3</v>
      </c>
      <c r="N3404" s="201">
        <v>17</v>
      </c>
    </row>
    <row r="3405" spans="1:14">
      <c r="A3405" s="194">
        <v>41284.162662037037</v>
      </c>
      <c r="B3405" s="195">
        <v>2212</v>
      </c>
      <c r="C3405" s="194"/>
      <c r="D3405" s="194"/>
      <c r="E3405" s="198"/>
      <c r="G3405" s="202"/>
      <c r="J3405" s="195">
        <v>43</v>
      </c>
      <c r="K3405" s="204" t="s">
        <v>1596</v>
      </c>
      <c r="L3405" s="199">
        <v>3</v>
      </c>
      <c r="M3405" s="200">
        <v>9.9</v>
      </c>
      <c r="N3405" s="201">
        <v>17</v>
      </c>
    </row>
    <row r="3406" spans="1:14">
      <c r="A3406" s="194">
        <v>41282.559745370374</v>
      </c>
      <c r="B3406" s="195">
        <v>2212</v>
      </c>
      <c r="C3406" s="194"/>
      <c r="D3406" s="194"/>
      <c r="E3406" s="198"/>
      <c r="G3406" s="202"/>
      <c r="J3406" s="195">
        <v>43</v>
      </c>
      <c r="K3406" s="204" t="s">
        <v>1596</v>
      </c>
      <c r="L3406" s="199">
        <v>3</v>
      </c>
      <c r="M3406" s="200">
        <v>0.3</v>
      </c>
      <c r="N3406" s="201">
        <v>18</v>
      </c>
    </row>
    <row r="3407" spans="1:14">
      <c r="A3407" s="194">
        <v>41282.230150462965</v>
      </c>
      <c r="B3407" s="195">
        <v>2212</v>
      </c>
      <c r="C3407" s="194"/>
      <c r="D3407" s="194"/>
      <c r="E3407" s="198"/>
      <c r="G3407" s="202"/>
      <c r="J3407" s="195">
        <v>43</v>
      </c>
      <c r="K3407" s="204" t="s">
        <v>1596</v>
      </c>
      <c r="L3407" s="199">
        <v>3</v>
      </c>
      <c r="M3407" s="200">
        <v>0.4</v>
      </c>
      <c r="N3407" s="201">
        <v>18</v>
      </c>
    </row>
    <row r="3408" spans="1:14">
      <c r="A3408" s="194">
        <v>41279.645775462966</v>
      </c>
      <c r="B3408" s="195">
        <v>2212</v>
      </c>
      <c r="C3408" s="194"/>
      <c r="D3408" s="194"/>
      <c r="E3408" s="198"/>
      <c r="G3408" s="202"/>
      <c r="J3408" s="195">
        <v>43</v>
      </c>
      <c r="K3408" s="204" t="s">
        <v>1596</v>
      </c>
      <c r="L3408" s="199">
        <v>3</v>
      </c>
      <c r="M3408" s="200">
        <v>0.7</v>
      </c>
      <c r="N3408" s="201">
        <v>18</v>
      </c>
    </row>
    <row r="3409" spans="1:14">
      <c r="A3409" s="194">
        <v>41279.524953703702</v>
      </c>
      <c r="B3409" s="195">
        <v>2212</v>
      </c>
      <c r="C3409" s="194"/>
      <c r="D3409" s="194"/>
      <c r="E3409" s="198"/>
      <c r="G3409" s="202"/>
      <c r="J3409" s="195">
        <v>43</v>
      </c>
      <c r="K3409" s="204" t="s">
        <v>1596</v>
      </c>
      <c r="L3409" s="199">
        <v>3</v>
      </c>
      <c r="M3409" s="200">
        <v>0.9</v>
      </c>
      <c r="N3409" s="201">
        <v>18</v>
      </c>
    </row>
    <row r="3410" spans="1:14">
      <c r="A3410" s="194">
        <v>41281.527407407404</v>
      </c>
      <c r="B3410" s="195">
        <v>2212</v>
      </c>
      <c r="C3410" s="194"/>
      <c r="D3410" s="194"/>
      <c r="E3410" s="198"/>
      <c r="G3410" s="202"/>
      <c r="J3410" s="195">
        <v>43</v>
      </c>
      <c r="K3410" s="204" t="s">
        <v>1596</v>
      </c>
      <c r="L3410" s="199">
        <v>3</v>
      </c>
      <c r="M3410" s="200">
        <v>1</v>
      </c>
      <c r="N3410" s="201">
        <v>18</v>
      </c>
    </row>
    <row r="3411" spans="1:14">
      <c r="A3411" s="194">
        <v>41279.820949074077</v>
      </c>
      <c r="B3411" s="195">
        <v>2212</v>
      </c>
      <c r="C3411" s="194"/>
      <c r="D3411" s="194"/>
      <c r="E3411" s="198"/>
      <c r="G3411" s="202"/>
      <c r="J3411" s="195">
        <v>43</v>
      </c>
      <c r="K3411" s="204" t="s">
        <v>1596</v>
      </c>
      <c r="L3411" s="199">
        <v>3</v>
      </c>
      <c r="M3411" s="200">
        <v>0.3</v>
      </c>
      <c r="N3411" s="201">
        <v>32</v>
      </c>
    </row>
    <row r="3412" spans="1:14">
      <c r="A3412" s="194">
        <v>41276.92</v>
      </c>
      <c r="B3412" s="195">
        <v>2212</v>
      </c>
      <c r="C3412" s="194"/>
      <c r="D3412" s="194"/>
      <c r="E3412" s="198"/>
      <c r="G3412" s="202"/>
      <c r="J3412" s="195">
        <v>43</v>
      </c>
      <c r="K3412" s="204" t="s">
        <v>1596</v>
      </c>
      <c r="L3412" s="199">
        <v>3</v>
      </c>
      <c r="M3412" s="200">
        <v>0.5</v>
      </c>
      <c r="N3412" s="201">
        <v>40</v>
      </c>
    </row>
    <row r="3413" spans="1:14">
      <c r="A3413" s="194">
        <v>41279.403090277781</v>
      </c>
      <c r="B3413" s="195">
        <v>2212</v>
      </c>
      <c r="C3413" s="194"/>
      <c r="D3413" s="194"/>
      <c r="E3413" s="198"/>
      <c r="G3413" s="202"/>
      <c r="J3413" s="195">
        <v>43</v>
      </c>
      <c r="K3413" s="204" t="s">
        <v>1596</v>
      </c>
      <c r="L3413" s="199">
        <v>3</v>
      </c>
      <c r="M3413" s="200">
        <v>0.5</v>
      </c>
      <c r="N3413" s="201">
        <v>58</v>
      </c>
    </row>
    <row r="3414" spans="1:14">
      <c r="A3414" s="194">
        <v>41299.844212962962</v>
      </c>
      <c r="B3414" s="195">
        <v>2234</v>
      </c>
      <c r="C3414" s="194"/>
      <c r="D3414" s="194"/>
      <c r="E3414" s="196" t="s">
        <v>366</v>
      </c>
      <c r="F3414" s="195">
        <v>456</v>
      </c>
      <c r="G3414" s="197" t="s">
        <v>141</v>
      </c>
      <c r="H3414" s="197" t="s">
        <v>223</v>
      </c>
      <c r="I3414" s="196" t="s">
        <v>226</v>
      </c>
      <c r="J3414" s="195">
        <v>1</v>
      </c>
      <c r="K3414" s="204" t="s">
        <v>224</v>
      </c>
      <c r="L3414" s="199">
        <v>3</v>
      </c>
      <c r="M3414" s="200">
        <v>0.5</v>
      </c>
      <c r="N3414" s="201">
        <v>30</v>
      </c>
    </row>
    <row r="3415" spans="1:14">
      <c r="A3415" s="194">
        <v>41302.843217592592</v>
      </c>
      <c r="B3415" s="195">
        <v>2234</v>
      </c>
      <c r="C3415" s="194"/>
      <c r="D3415" s="194"/>
      <c r="E3415" s="196" t="s">
        <v>1476</v>
      </c>
      <c r="F3415" s="195">
        <v>800</v>
      </c>
      <c r="G3415" s="197" t="s">
        <v>470</v>
      </c>
      <c r="H3415" s="197" t="s">
        <v>471</v>
      </c>
      <c r="J3415" s="195">
        <v>1</v>
      </c>
      <c r="K3415" s="204" t="s">
        <v>224</v>
      </c>
      <c r="L3415" s="199">
        <v>1</v>
      </c>
      <c r="M3415" s="200">
        <v>0.5</v>
      </c>
      <c r="N3415" s="201">
        <v>27</v>
      </c>
    </row>
    <row r="3416" spans="1:14">
      <c r="A3416" s="194">
        <v>41302.751168981478</v>
      </c>
      <c r="B3416" s="195">
        <v>2234</v>
      </c>
      <c r="C3416" s="194"/>
      <c r="D3416" s="194"/>
      <c r="E3416" s="196" t="s">
        <v>1475</v>
      </c>
      <c r="F3416" s="195">
        <v>800</v>
      </c>
      <c r="G3416" s="197" t="s">
        <v>470</v>
      </c>
      <c r="H3416" s="197" t="s">
        <v>471</v>
      </c>
      <c r="J3416" s="195">
        <v>1</v>
      </c>
      <c r="K3416" s="204" t="s">
        <v>224</v>
      </c>
      <c r="L3416" s="199">
        <v>3</v>
      </c>
      <c r="M3416" s="200">
        <v>0.4</v>
      </c>
      <c r="N3416" s="201">
        <v>28</v>
      </c>
    </row>
    <row r="3417" spans="1:14">
      <c r="A3417" s="194">
        <v>41303.555381944447</v>
      </c>
      <c r="B3417" s="195">
        <v>2234</v>
      </c>
      <c r="C3417" s="194"/>
      <c r="D3417" s="194"/>
      <c r="E3417" s="196" t="s">
        <v>1504</v>
      </c>
      <c r="F3417" s="195">
        <v>800</v>
      </c>
      <c r="G3417" s="197" t="s">
        <v>470</v>
      </c>
      <c r="H3417" s="197" t="s">
        <v>471</v>
      </c>
      <c r="J3417" s="195">
        <v>1</v>
      </c>
      <c r="K3417" s="204" t="s">
        <v>224</v>
      </c>
      <c r="L3417" s="199">
        <v>1</v>
      </c>
      <c r="M3417" s="200">
        <v>0.9</v>
      </c>
      <c r="N3417" s="201">
        <v>28</v>
      </c>
    </row>
    <row r="3418" spans="1:14">
      <c r="A3418" s="194">
        <v>41275.085636574076</v>
      </c>
      <c r="B3418" s="195">
        <v>2234</v>
      </c>
      <c r="C3418" s="194"/>
      <c r="D3418" s="194"/>
      <c r="E3418" s="196" t="s">
        <v>512</v>
      </c>
      <c r="F3418" s="195">
        <v>800</v>
      </c>
      <c r="G3418" s="197" t="s">
        <v>470</v>
      </c>
      <c r="H3418" s="197" t="s">
        <v>471</v>
      </c>
      <c r="J3418" s="195">
        <v>1</v>
      </c>
      <c r="K3418" s="204" t="s">
        <v>224</v>
      </c>
      <c r="L3418" s="199">
        <v>3</v>
      </c>
      <c r="M3418" s="200">
        <v>0.7</v>
      </c>
      <c r="N3418" s="201">
        <v>35</v>
      </c>
    </row>
    <row r="3419" spans="1:14">
      <c r="A3419" s="194">
        <v>41293.208981481483</v>
      </c>
      <c r="B3419" s="195">
        <v>2234</v>
      </c>
      <c r="C3419" s="194"/>
      <c r="D3419" s="194"/>
      <c r="E3419" s="196" t="s">
        <v>1206</v>
      </c>
      <c r="F3419" s="195">
        <v>800</v>
      </c>
      <c r="G3419" s="197" t="s">
        <v>470</v>
      </c>
      <c r="H3419" s="197" t="s">
        <v>471</v>
      </c>
      <c r="J3419" s="195">
        <v>1</v>
      </c>
      <c r="K3419" s="204" t="s">
        <v>224</v>
      </c>
      <c r="L3419" s="199">
        <v>3</v>
      </c>
      <c r="M3419" s="200">
        <v>0.5</v>
      </c>
      <c r="N3419" s="201">
        <v>41</v>
      </c>
    </row>
    <row r="3420" spans="1:14">
      <c r="A3420" s="194">
        <v>41293.864606481482</v>
      </c>
      <c r="B3420" s="195">
        <v>2234</v>
      </c>
      <c r="C3420" s="194"/>
      <c r="D3420" s="194"/>
      <c r="E3420" s="196" t="s">
        <v>1208</v>
      </c>
      <c r="F3420" s="195">
        <v>800</v>
      </c>
      <c r="G3420" s="197" t="s">
        <v>470</v>
      </c>
      <c r="H3420" s="197" t="s">
        <v>471</v>
      </c>
      <c r="J3420" s="195">
        <v>1</v>
      </c>
      <c r="K3420" s="204" t="s">
        <v>224</v>
      </c>
      <c r="L3420" s="199">
        <v>2</v>
      </c>
      <c r="M3420" s="200">
        <v>0.7</v>
      </c>
      <c r="N3420" s="201">
        <v>41</v>
      </c>
    </row>
    <row r="3421" spans="1:14">
      <c r="A3421" s="194">
        <v>41293.661041666666</v>
      </c>
      <c r="B3421" s="195">
        <v>2234</v>
      </c>
      <c r="C3421" s="194"/>
      <c r="D3421" s="194"/>
      <c r="E3421" s="196" t="s">
        <v>1207</v>
      </c>
      <c r="F3421" s="195">
        <v>800</v>
      </c>
      <c r="G3421" s="197" t="s">
        <v>470</v>
      </c>
      <c r="H3421" s="197" t="s">
        <v>471</v>
      </c>
      <c r="J3421" s="195">
        <v>1</v>
      </c>
      <c r="K3421" s="204" t="s">
        <v>224</v>
      </c>
      <c r="L3421" s="199">
        <v>3</v>
      </c>
      <c r="M3421" s="200">
        <v>0.8</v>
      </c>
      <c r="N3421" s="201">
        <v>41</v>
      </c>
    </row>
    <row r="3422" spans="1:14">
      <c r="A3422" s="194">
        <v>41289.92564814815</v>
      </c>
      <c r="B3422" s="195">
        <v>2234</v>
      </c>
      <c r="C3422" s="194"/>
      <c r="D3422" s="194"/>
      <c r="E3422" s="196" t="s">
        <v>1022</v>
      </c>
      <c r="F3422" s="195">
        <v>800</v>
      </c>
      <c r="G3422" s="197" t="s">
        <v>470</v>
      </c>
      <c r="H3422" s="197" t="s">
        <v>471</v>
      </c>
      <c r="J3422" s="195">
        <v>1</v>
      </c>
      <c r="K3422" s="204" t="s">
        <v>224</v>
      </c>
      <c r="L3422" s="199">
        <v>2</v>
      </c>
      <c r="M3422" s="200">
        <v>1.4</v>
      </c>
      <c r="N3422" s="201">
        <v>41</v>
      </c>
    </row>
    <row r="3423" spans="1:14">
      <c r="A3423" s="194">
        <v>41296.059918981482</v>
      </c>
      <c r="B3423" s="195">
        <v>2234</v>
      </c>
      <c r="C3423" s="194"/>
      <c r="D3423" s="194"/>
      <c r="E3423" s="196" t="s">
        <v>1099</v>
      </c>
      <c r="F3423" s="195">
        <v>800</v>
      </c>
      <c r="G3423" s="197" t="s">
        <v>470</v>
      </c>
      <c r="H3423" s="197" t="s">
        <v>471</v>
      </c>
      <c r="J3423" s="195">
        <v>1</v>
      </c>
      <c r="K3423" s="204" t="s">
        <v>224</v>
      </c>
      <c r="L3423" s="199">
        <v>2</v>
      </c>
      <c r="M3423" s="200">
        <v>0.3</v>
      </c>
      <c r="N3423" s="201">
        <v>48</v>
      </c>
    </row>
    <row r="3424" spans="1:14">
      <c r="A3424" s="194">
        <v>41277.011597222219</v>
      </c>
      <c r="B3424" s="195">
        <v>2234</v>
      </c>
      <c r="C3424" s="194"/>
      <c r="D3424" s="194"/>
      <c r="E3424" s="198"/>
      <c r="G3424" s="202"/>
      <c r="J3424" s="195">
        <v>2</v>
      </c>
      <c r="K3424" s="204" t="s">
        <v>32</v>
      </c>
      <c r="L3424" s="199">
        <v>2</v>
      </c>
      <c r="M3424" s="200">
        <v>0.4</v>
      </c>
      <c r="N3424" s="201">
        <v>38</v>
      </c>
    </row>
    <row r="3425" spans="1:14">
      <c r="A3425" s="194">
        <v>41282.579259259262</v>
      </c>
      <c r="B3425" s="195">
        <v>2234</v>
      </c>
      <c r="C3425" s="194"/>
      <c r="D3425" s="194"/>
      <c r="E3425" s="198"/>
      <c r="G3425" s="202"/>
      <c r="J3425" s="195">
        <v>11</v>
      </c>
      <c r="K3425" s="204" t="s">
        <v>1</v>
      </c>
      <c r="L3425" s="199">
        <v>2</v>
      </c>
      <c r="M3425" s="200">
        <v>0.3</v>
      </c>
      <c r="N3425" s="201">
        <v>34</v>
      </c>
    </row>
    <row r="3426" spans="1:14">
      <c r="A3426" s="194">
        <v>41275.103229166663</v>
      </c>
      <c r="B3426" s="195">
        <v>2234</v>
      </c>
      <c r="C3426" s="194"/>
      <c r="D3426" s="194"/>
      <c r="E3426" s="198"/>
      <c r="G3426" s="202"/>
      <c r="J3426" s="195">
        <v>11</v>
      </c>
      <c r="K3426" s="204" t="s">
        <v>1</v>
      </c>
      <c r="L3426" s="199">
        <v>1</v>
      </c>
      <c r="M3426" s="200">
        <v>0.6</v>
      </c>
      <c r="N3426" s="201">
        <v>35</v>
      </c>
    </row>
    <row r="3427" spans="1:14">
      <c r="A3427" s="194">
        <v>41291.446030092593</v>
      </c>
      <c r="B3427" s="195">
        <v>2234</v>
      </c>
      <c r="C3427" s="194"/>
      <c r="D3427" s="194"/>
      <c r="E3427" s="196" t="s">
        <v>2011</v>
      </c>
      <c r="G3427" s="202"/>
      <c r="J3427" s="195">
        <v>11</v>
      </c>
      <c r="K3427" s="204" t="s">
        <v>1</v>
      </c>
      <c r="L3427" s="199">
        <v>3</v>
      </c>
      <c r="M3427" s="200">
        <v>0.5</v>
      </c>
      <c r="N3427" s="201">
        <v>36</v>
      </c>
    </row>
    <row r="3428" spans="1:14">
      <c r="A3428" s="194">
        <v>41304.556284722225</v>
      </c>
      <c r="B3428" s="195">
        <v>2234</v>
      </c>
      <c r="C3428" s="194"/>
      <c r="D3428" s="194"/>
      <c r="E3428" s="198"/>
      <c r="G3428" s="202"/>
      <c r="J3428" s="195">
        <v>11</v>
      </c>
      <c r="K3428" s="204" t="s">
        <v>1</v>
      </c>
      <c r="L3428" s="199">
        <v>1</v>
      </c>
      <c r="M3428" s="200">
        <v>0.3</v>
      </c>
      <c r="N3428" s="201">
        <v>39</v>
      </c>
    </row>
    <row r="3429" spans="1:14">
      <c r="A3429" s="194">
        <v>41300.845173611109</v>
      </c>
      <c r="B3429" s="195">
        <v>2234</v>
      </c>
      <c r="C3429" s="194"/>
      <c r="D3429" s="194"/>
      <c r="E3429" s="198"/>
      <c r="G3429" s="202"/>
      <c r="J3429" s="195">
        <v>11</v>
      </c>
      <c r="K3429" s="204" t="s">
        <v>1</v>
      </c>
      <c r="L3429" s="199">
        <v>1</v>
      </c>
      <c r="M3429" s="200">
        <v>1.6</v>
      </c>
      <c r="N3429" s="201">
        <v>42</v>
      </c>
    </row>
    <row r="3430" spans="1:14">
      <c r="A3430" s="194">
        <v>41275.120821759258</v>
      </c>
      <c r="B3430" s="195">
        <v>2234</v>
      </c>
      <c r="C3430" s="194"/>
      <c r="D3430" s="194"/>
      <c r="E3430" s="198"/>
      <c r="G3430" s="202"/>
      <c r="J3430" s="195">
        <v>11</v>
      </c>
      <c r="K3430" s="204" t="s">
        <v>1</v>
      </c>
      <c r="L3430" s="199">
        <v>1</v>
      </c>
      <c r="M3430" s="200">
        <v>0.9</v>
      </c>
      <c r="N3430" s="201">
        <v>43</v>
      </c>
    </row>
    <row r="3431" spans="1:14">
      <c r="A3431" s="194">
        <v>41299.539583333331</v>
      </c>
      <c r="B3431" s="195">
        <v>2234</v>
      </c>
      <c r="C3431" s="194"/>
      <c r="D3431" s="194"/>
      <c r="E3431" s="198"/>
      <c r="G3431" s="202"/>
      <c r="J3431" s="195">
        <v>15</v>
      </c>
      <c r="K3431" s="204" t="s">
        <v>4</v>
      </c>
      <c r="L3431" s="199">
        <v>2</v>
      </c>
      <c r="M3431" s="200">
        <v>0.6</v>
      </c>
      <c r="N3431" s="201">
        <v>34</v>
      </c>
    </row>
    <row r="3432" spans="1:14">
      <c r="A3432" s="194">
        <v>41293.428738425922</v>
      </c>
      <c r="B3432" s="195">
        <v>2234</v>
      </c>
      <c r="C3432" s="194"/>
      <c r="D3432" s="194"/>
      <c r="E3432" s="198"/>
      <c r="G3432" s="202"/>
      <c r="J3432" s="195">
        <v>15</v>
      </c>
      <c r="K3432" s="204" t="s">
        <v>4</v>
      </c>
      <c r="L3432" s="199">
        <v>2</v>
      </c>
      <c r="M3432" s="200">
        <v>0.4</v>
      </c>
      <c r="N3432" s="201">
        <v>46</v>
      </c>
    </row>
    <row r="3433" spans="1:14">
      <c r="A3433" s="194">
        <v>41299.865520833337</v>
      </c>
      <c r="B3433" s="195">
        <v>2234</v>
      </c>
      <c r="C3433" s="194"/>
      <c r="D3433" s="194"/>
      <c r="E3433" s="198"/>
      <c r="G3433" s="202"/>
      <c r="J3433" s="195">
        <v>17</v>
      </c>
      <c r="K3433" s="204" t="s">
        <v>11</v>
      </c>
      <c r="L3433" s="199">
        <v>3</v>
      </c>
      <c r="M3433" s="200">
        <v>1</v>
      </c>
      <c r="N3433" s="201">
        <v>17</v>
      </c>
    </row>
    <row r="3434" spans="1:14">
      <c r="A3434" s="194">
        <v>41276.507013888891</v>
      </c>
      <c r="B3434" s="195">
        <v>2234</v>
      </c>
      <c r="C3434" s="194"/>
      <c r="D3434" s="194"/>
      <c r="E3434" s="198"/>
      <c r="G3434" s="202"/>
      <c r="J3434" s="195">
        <v>17</v>
      </c>
      <c r="K3434" s="204" t="s">
        <v>11</v>
      </c>
      <c r="L3434" s="199">
        <v>3</v>
      </c>
      <c r="M3434" s="200">
        <v>2</v>
      </c>
      <c r="N3434" s="201">
        <v>18</v>
      </c>
    </row>
    <row r="3435" spans="1:14">
      <c r="A3435" s="194">
        <v>41300.144270833334</v>
      </c>
      <c r="B3435" s="195">
        <v>2234</v>
      </c>
      <c r="C3435" s="194"/>
      <c r="D3435" s="194"/>
      <c r="E3435" s="198"/>
      <c r="G3435" s="202"/>
      <c r="J3435" s="195">
        <v>17</v>
      </c>
      <c r="K3435" s="204" t="s">
        <v>11</v>
      </c>
      <c r="L3435" s="199">
        <v>3</v>
      </c>
      <c r="M3435" s="200">
        <v>7.7</v>
      </c>
      <c r="N3435" s="201">
        <v>18</v>
      </c>
    </row>
    <row r="3436" spans="1:14">
      <c r="A3436" s="194">
        <v>41275.003668981481</v>
      </c>
      <c r="B3436" s="195">
        <v>2234</v>
      </c>
      <c r="C3436" s="194"/>
      <c r="D3436" s="194"/>
      <c r="E3436" s="198"/>
      <c r="G3436" s="202"/>
      <c r="J3436" s="195">
        <v>18</v>
      </c>
      <c r="K3436" s="204" t="s">
        <v>5</v>
      </c>
      <c r="L3436" s="199">
        <v>1</v>
      </c>
      <c r="M3436" s="200">
        <v>38.299999999999997</v>
      </c>
      <c r="N3436" s="201">
        <v>15</v>
      </c>
    </row>
    <row r="3437" spans="1:14">
      <c r="A3437" s="194">
        <v>41275.28229166667</v>
      </c>
      <c r="B3437" s="195">
        <v>2234</v>
      </c>
      <c r="C3437" s="194"/>
      <c r="D3437" s="194"/>
      <c r="E3437" s="198"/>
      <c r="G3437" s="202"/>
      <c r="J3437" s="195">
        <v>18</v>
      </c>
      <c r="K3437" s="204" t="s">
        <v>5</v>
      </c>
      <c r="L3437" s="199">
        <v>1</v>
      </c>
      <c r="M3437" s="200">
        <v>39.200000000000003</v>
      </c>
      <c r="N3437" s="201">
        <v>16</v>
      </c>
    </row>
    <row r="3438" spans="1:14">
      <c r="A3438" s="194">
        <v>41290.819201388891</v>
      </c>
      <c r="B3438" s="195">
        <v>2234</v>
      </c>
      <c r="C3438" s="194"/>
      <c r="D3438" s="194"/>
      <c r="E3438" s="198"/>
      <c r="G3438" s="202"/>
      <c r="J3438" s="195">
        <v>18</v>
      </c>
      <c r="K3438" s="204" t="s">
        <v>5</v>
      </c>
      <c r="L3438" s="199">
        <v>1</v>
      </c>
      <c r="M3438" s="200">
        <v>5.9</v>
      </c>
      <c r="N3438" s="201">
        <v>17</v>
      </c>
    </row>
    <row r="3439" spans="1:14">
      <c r="A3439" s="194">
        <v>41293.247349537036</v>
      </c>
      <c r="B3439" s="195">
        <v>2234</v>
      </c>
      <c r="C3439" s="194"/>
      <c r="D3439" s="194"/>
      <c r="E3439" s="198"/>
      <c r="G3439" s="202"/>
      <c r="J3439" s="195">
        <v>18</v>
      </c>
      <c r="K3439" s="204" t="s">
        <v>5</v>
      </c>
      <c r="L3439" s="199">
        <v>2</v>
      </c>
      <c r="M3439" s="200">
        <v>33.700000000000003</v>
      </c>
      <c r="N3439" s="201">
        <v>18</v>
      </c>
    </row>
    <row r="3440" spans="1:14">
      <c r="A3440" s="194">
        <v>41277.333993055552</v>
      </c>
      <c r="B3440" s="195">
        <v>2234</v>
      </c>
      <c r="C3440" s="194"/>
      <c r="D3440" s="194"/>
      <c r="E3440" s="198"/>
      <c r="G3440" s="202"/>
      <c r="J3440" s="195">
        <v>18</v>
      </c>
      <c r="K3440" s="204" t="s">
        <v>5</v>
      </c>
      <c r="L3440" s="199">
        <v>2</v>
      </c>
      <c r="M3440" s="200">
        <v>5.6</v>
      </c>
      <c r="N3440" s="201">
        <v>19</v>
      </c>
    </row>
    <row r="3441" spans="1:14">
      <c r="A3441" s="194">
        <v>41295.08489583333</v>
      </c>
      <c r="B3441" s="195">
        <v>2234</v>
      </c>
      <c r="C3441" s="194"/>
      <c r="D3441" s="194"/>
      <c r="E3441" s="198"/>
      <c r="G3441" s="202"/>
      <c r="J3441" s="195">
        <v>18</v>
      </c>
      <c r="K3441" s="204" t="s">
        <v>5</v>
      </c>
      <c r="L3441" s="199">
        <v>2</v>
      </c>
      <c r="M3441" s="200">
        <v>6.3</v>
      </c>
      <c r="N3441" s="201">
        <v>19</v>
      </c>
    </row>
    <row r="3442" spans="1:14">
      <c r="A3442" s="194">
        <v>41293.524675925924</v>
      </c>
      <c r="B3442" s="195">
        <v>2234</v>
      </c>
      <c r="C3442" s="194"/>
      <c r="D3442" s="194"/>
      <c r="E3442" s="198"/>
      <c r="G3442" s="202"/>
      <c r="J3442" s="195">
        <v>18</v>
      </c>
      <c r="K3442" s="204" t="s">
        <v>5</v>
      </c>
      <c r="L3442" s="199">
        <v>1</v>
      </c>
      <c r="M3442" s="200">
        <v>10.4</v>
      </c>
      <c r="N3442" s="201">
        <v>19</v>
      </c>
    </row>
    <row r="3443" spans="1:14">
      <c r="A3443" s="194">
        <v>41295.485914351855</v>
      </c>
      <c r="B3443" s="195">
        <v>2234</v>
      </c>
      <c r="C3443" s="194"/>
      <c r="D3443" s="194"/>
      <c r="E3443" s="198"/>
      <c r="G3443" s="202"/>
      <c r="J3443" s="195">
        <v>18</v>
      </c>
      <c r="K3443" s="204" t="s">
        <v>5</v>
      </c>
      <c r="L3443" s="199">
        <v>1</v>
      </c>
      <c r="M3443" s="200">
        <v>2.9</v>
      </c>
      <c r="N3443" s="201">
        <v>22</v>
      </c>
    </row>
    <row r="3444" spans="1:14">
      <c r="A3444" s="194">
        <v>41288.684513888889</v>
      </c>
      <c r="B3444" s="195">
        <v>2234</v>
      </c>
      <c r="C3444" s="194"/>
      <c r="D3444" s="194"/>
      <c r="E3444" s="198"/>
      <c r="G3444" s="202"/>
      <c r="J3444" s="195">
        <v>18</v>
      </c>
      <c r="K3444" s="204" t="s">
        <v>5</v>
      </c>
      <c r="L3444" s="199">
        <v>2</v>
      </c>
      <c r="M3444" s="200">
        <v>4.0999999999999996</v>
      </c>
      <c r="N3444" s="201">
        <v>26</v>
      </c>
    </row>
    <row r="3445" spans="1:14">
      <c r="A3445" s="194">
        <v>41295.486840277779</v>
      </c>
      <c r="B3445" s="195">
        <v>2234</v>
      </c>
      <c r="C3445" s="194"/>
      <c r="D3445" s="194"/>
      <c r="E3445" s="198"/>
      <c r="G3445" s="202"/>
      <c r="J3445" s="195">
        <v>18</v>
      </c>
      <c r="K3445" s="204" t="s">
        <v>5</v>
      </c>
      <c r="L3445" s="199">
        <v>2</v>
      </c>
      <c r="M3445" s="200">
        <v>3</v>
      </c>
      <c r="N3445" s="201">
        <v>27</v>
      </c>
    </row>
    <row r="3446" spans="1:14">
      <c r="A3446" s="194">
        <v>41281.933796296296</v>
      </c>
      <c r="B3446" s="195">
        <v>2234</v>
      </c>
      <c r="C3446" s="194"/>
      <c r="D3446" s="194"/>
      <c r="E3446" s="198"/>
      <c r="G3446" s="202"/>
      <c r="J3446" s="195">
        <v>18</v>
      </c>
      <c r="K3446" s="204" t="s">
        <v>5</v>
      </c>
      <c r="L3446" s="199">
        <v>2</v>
      </c>
      <c r="M3446" s="200">
        <v>0.4</v>
      </c>
      <c r="N3446" s="201">
        <v>63</v>
      </c>
    </row>
    <row r="3447" spans="1:14">
      <c r="A3447" s="194">
        <v>41275.983854166669</v>
      </c>
      <c r="B3447" s="195">
        <v>2234</v>
      </c>
      <c r="C3447" s="194"/>
      <c r="D3447" s="194"/>
      <c r="E3447" s="196" t="s">
        <v>1698</v>
      </c>
      <c r="G3447" s="202"/>
      <c r="J3447" s="195">
        <v>24</v>
      </c>
      <c r="K3447" s="204" t="s">
        <v>25</v>
      </c>
      <c r="L3447" s="199">
        <v>2</v>
      </c>
      <c r="M3447" s="200">
        <v>1</v>
      </c>
      <c r="N3447" s="201">
        <v>44</v>
      </c>
    </row>
    <row r="3448" spans="1:14">
      <c r="A3448" s="194">
        <v>41295.722071759257</v>
      </c>
      <c r="B3448" s="195">
        <v>2234</v>
      </c>
      <c r="C3448" s="194"/>
      <c r="D3448" s="194"/>
      <c r="E3448" s="196" t="s">
        <v>1634</v>
      </c>
      <c r="G3448" s="202"/>
      <c r="J3448" s="195">
        <v>29</v>
      </c>
      <c r="K3448" s="204" t="s">
        <v>39</v>
      </c>
      <c r="L3448" s="199">
        <v>1</v>
      </c>
      <c r="M3448" s="200">
        <v>0.9</v>
      </c>
      <c r="N3448" s="201">
        <v>28</v>
      </c>
    </row>
    <row r="3449" spans="1:14">
      <c r="A3449" s="194">
        <v>41299.488680555558</v>
      </c>
      <c r="B3449" s="195">
        <v>2234</v>
      </c>
      <c r="C3449" s="194"/>
      <c r="D3449" s="194"/>
      <c r="E3449" s="198"/>
      <c r="G3449" s="202"/>
      <c r="J3449" s="195">
        <v>43</v>
      </c>
      <c r="K3449" s="204" t="s">
        <v>1596</v>
      </c>
      <c r="L3449" s="199">
        <v>3</v>
      </c>
      <c r="M3449" s="200">
        <v>1.6</v>
      </c>
      <c r="N3449" s="201">
        <v>19</v>
      </c>
    </row>
    <row r="3450" spans="1:14">
      <c r="A3450" s="194">
        <v>41297.347094907411</v>
      </c>
      <c r="B3450" s="195">
        <v>2241</v>
      </c>
      <c r="C3450" s="194"/>
      <c r="D3450" s="194"/>
      <c r="E3450" s="196" t="s">
        <v>355</v>
      </c>
      <c r="F3450" s="195">
        <v>456</v>
      </c>
      <c r="G3450" s="197" t="s">
        <v>141</v>
      </c>
      <c r="H3450" s="197" t="s">
        <v>223</v>
      </c>
      <c r="I3450" s="196" t="s">
        <v>226</v>
      </c>
      <c r="J3450" s="195">
        <v>1</v>
      </c>
      <c r="K3450" s="204" t="s">
        <v>224</v>
      </c>
      <c r="L3450" s="199">
        <v>3</v>
      </c>
      <c r="M3450" s="200">
        <v>0.5</v>
      </c>
      <c r="N3450" s="201">
        <v>16</v>
      </c>
    </row>
    <row r="3451" spans="1:14">
      <c r="A3451" s="194">
        <v>41280.594606481478</v>
      </c>
      <c r="B3451" s="195">
        <v>2241</v>
      </c>
      <c r="C3451" s="194"/>
      <c r="D3451" s="194"/>
      <c r="E3451" s="196" t="s">
        <v>255</v>
      </c>
      <c r="F3451" s="195">
        <v>456</v>
      </c>
      <c r="G3451" s="197" t="s">
        <v>141</v>
      </c>
      <c r="H3451" s="197" t="s">
        <v>223</v>
      </c>
      <c r="I3451" s="196" t="s">
        <v>226</v>
      </c>
      <c r="J3451" s="195">
        <v>1</v>
      </c>
      <c r="K3451" s="204" t="s">
        <v>224</v>
      </c>
      <c r="L3451" s="199">
        <v>3</v>
      </c>
      <c r="M3451" s="200">
        <v>0.4</v>
      </c>
      <c r="N3451" s="201">
        <v>17</v>
      </c>
    </row>
    <row r="3452" spans="1:14">
      <c r="A3452" s="194">
        <v>41282.640104166669</v>
      </c>
      <c r="B3452" s="195">
        <v>2241</v>
      </c>
      <c r="C3452" s="194"/>
      <c r="D3452" s="194"/>
      <c r="E3452" s="196" t="s">
        <v>284</v>
      </c>
      <c r="F3452" s="195">
        <v>456</v>
      </c>
      <c r="G3452" s="197" t="s">
        <v>141</v>
      </c>
      <c r="H3452" s="197" t="s">
        <v>223</v>
      </c>
      <c r="I3452" s="196" t="s">
        <v>226</v>
      </c>
      <c r="J3452" s="195">
        <v>1</v>
      </c>
      <c r="K3452" s="204" t="s">
        <v>224</v>
      </c>
      <c r="L3452" s="199">
        <v>3</v>
      </c>
      <c r="M3452" s="200">
        <v>0.8</v>
      </c>
      <c r="N3452" s="201">
        <v>17</v>
      </c>
    </row>
    <row r="3453" spans="1:14">
      <c r="A3453" s="194">
        <v>41287.502939814818</v>
      </c>
      <c r="B3453" s="195">
        <v>2241</v>
      </c>
      <c r="C3453" s="194"/>
      <c r="D3453" s="194"/>
      <c r="E3453" s="196" t="s">
        <v>301</v>
      </c>
      <c r="F3453" s="195">
        <v>456</v>
      </c>
      <c r="G3453" s="197" t="s">
        <v>141</v>
      </c>
      <c r="H3453" s="197" t="s">
        <v>223</v>
      </c>
      <c r="I3453" s="196" t="s">
        <v>226</v>
      </c>
      <c r="J3453" s="195">
        <v>1</v>
      </c>
      <c r="K3453" s="204" t="s">
        <v>224</v>
      </c>
      <c r="L3453" s="199">
        <v>2</v>
      </c>
      <c r="M3453" s="200">
        <v>0.8</v>
      </c>
      <c r="N3453" s="201">
        <v>33</v>
      </c>
    </row>
    <row r="3454" spans="1:14">
      <c r="A3454" s="194">
        <v>41293.619629629633</v>
      </c>
      <c r="B3454" s="195">
        <v>2241</v>
      </c>
      <c r="C3454" s="194"/>
      <c r="D3454" s="194"/>
      <c r="E3454" s="196" t="s">
        <v>340</v>
      </c>
      <c r="F3454" s="195">
        <v>456</v>
      </c>
      <c r="G3454" s="197" t="s">
        <v>141</v>
      </c>
      <c r="H3454" s="197" t="s">
        <v>223</v>
      </c>
      <c r="I3454" s="196" t="s">
        <v>226</v>
      </c>
      <c r="J3454" s="195">
        <v>1</v>
      </c>
      <c r="K3454" s="204" t="s">
        <v>224</v>
      </c>
      <c r="L3454" s="199">
        <v>2</v>
      </c>
      <c r="M3454" s="200">
        <v>0.3</v>
      </c>
      <c r="N3454" s="201">
        <v>34</v>
      </c>
    </row>
    <row r="3455" spans="1:14">
      <c r="A3455" s="194">
        <v>41278.544062499997</v>
      </c>
      <c r="B3455" s="195">
        <v>2241</v>
      </c>
      <c r="C3455" s="194"/>
      <c r="D3455" s="194"/>
      <c r="E3455" s="196" t="s">
        <v>266</v>
      </c>
      <c r="F3455" s="195">
        <v>456</v>
      </c>
      <c r="G3455" s="197" t="s">
        <v>141</v>
      </c>
      <c r="H3455" s="197" t="s">
        <v>223</v>
      </c>
      <c r="I3455" s="196" t="s">
        <v>226</v>
      </c>
      <c r="J3455" s="195">
        <v>1</v>
      </c>
      <c r="K3455" s="204" t="s">
        <v>224</v>
      </c>
      <c r="L3455" s="199">
        <v>3</v>
      </c>
      <c r="M3455" s="200">
        <v>0.4</v>
      </c>
      <c r="N3455" s="201">
        <v>38</v>
      </c>
    </row>
    <row r="3456" spans="1:14">
      <c r="A3456" s="194">
        <v>41277.466261574074</v>
      </c>
      <c r="B3456" s="195">
        <v>2241</v>
      </c>
      <c r="C3456" s="194"/>
      <c r="D3456" s="194"/>
      <c r="E3456" s="196" t="s">
        <v>403</v>
      </c>
      <c r="F3456" s="195">
        <v>462</v>
      </c>
      <c r="G3456" s="197" t="s">
        <v>144</v>
      </c>
      <c r="H3456" s="197" t="s">
        <v>223</v>
      </c>
      <c r="I3456" s="196" t="s">
        <v>402</v>
      </c>
      <c r="J3456" s="195">
        <v>1</v>
      </c>
      <c r="K3456" s="204" t="s">
        <v>224</v>
      </c>
      <c r="L3456" s="199">
        <v>3</v>
      </c>
      <c r="M3456" s="200">
        <v>1.9</v>
      </c>
      <c r="N3456" s="201">
        <v>16</v>
      </c>
    </row>
    <row r="3457" spans="1:14">
      <c r="A3457" s="194">
        <v>41305.820821759262</v>
      </c>
      <c r="B3457" s="195">
        <v>2241</v>
      </c>
      <c r="C3457" s="194"/>
      <c r="D3457" s="194"/>
      <c r="E3457" s="196" t="s">
        <v>1591</v>
      </c>
      <c r="F3457" s="195">
        <v>800</v>
      </c>
      <c r="G3457" s="197" t="s">
        <v>470</v>
      </c>
      <c r="H3457" s="197" t="s">
        <v>471</v>
      </c>
      <c r="J3457" s="195">
        <v>1</v>
      </c>
      <c r="K3457" s="204" t="s">
        <v>224</v>
      </c>
      <c r="L3457" s="199">
        <v>3</v>
      </c>
      <c r="M3457" s="200">
        <v>0.8</v>
      </c>
      <c r="N3457" s="201">
        <v>15</v>
      </c>
    </row>
    <row r="3458" spans="1:14">
      <c r="A3458" s="194">
        <v>41289.348171296297</v>
      </c>
      <c r="B3458" s="195">
        <v>2241</v>
      </c>
      <c r="C3458" s="194"/>
      <c r="D3458" s="194"/>
      <c r="E3458" s="196" t="s">
        <v>1023</v>
      </c>
      <c r="F3458" s="195">
        <v>800</v>
      </c>
      <c r="G3458" s="197" t="s">
        <v>470</v>
      </c>
      <c r="H3458" s="197" t="s">
        <v>471</v>
      </c>
      <c r="J3458" s="195">
        <v>1</v>
      </c>
      <c r="K3458" s="204" t="s">
        <v>224</v>
      </c>
      <c r="L3458" s="199">
        <v>3</v>
      </c>
      <c r="M3458" s="200">
        <v>0.5</v>
      </c>
      <c r="N3458" s="201">
        <v>16</v>
      </c>
    </row>
    <row r="3459" spans="1:14">
      <c r="A3459" s="194">
        <v>41280.646701388891</v>
      </c>
      <c r="B3459" s="195">
        <v>2241</v>
      </c>
      <c r="C3459" s="194"/>
      <c r="D3459" s="194"/>
      <c r="E3459" s="196" t="s">
        <v>574</v>
      </c>
      <c r="F3459" s="195">
        <v>800</v>
      </c>
      <c r="G3459" s="197" t="s">
        <v>470</v>
      </c>
      <c r="H3459" s="197" t="s">
        <v>471</v>
      </c>
      <c r="J3459" s="195">
        <v>1</v>
      </c>
      <c r="K3459" s="204" t="s">
        <v>224</v>
      </c>
      <c r="L3459" s="199">
        <v>3</v>
      </c>
      <c r="M3459" s="200">
        <v>0.7</v>
      </c>
      <c r="N3459" s="201">
        <v>16</v>
      </c>
    </row>
    <row r="3460" spans="1:14">
      <c r="A3460" s="194">
        <v>41284.328414351854</v>
      </c>
      <c r="B3460" s="195">
        <v>2241</v>
      </c>
      <c r="C3460" s="194"/>
      <c r="D3460" s="194"/>
      <c r="E3460" s="196" t="s">
        <v>781</v>
      </c>
      <c r="F3460" s="195">
        <v>800</v>
      </c>
      <c r="G3460" s="197" t="s">
        <v>470</v>
      </c>
      <c r="H3460" s="197" t="s">
        <v>471</v>
      </c>
      <c r="J3460" s="195">
        <v>1</v>
      </c>
      <c r="K3460" s="204" t="s">
        <v>224</v>
      </c>
      <c r="L3460" s="199">
        <v>3</v>
      </c>
      <c r="M3460" s="200">
        <v>0.7</v>
      </c>
      <c r="N3460" s="201">
        <v>16</v>
      </c>
    </row>
    <row r="3461" spans="1:14">
      <c r="A3461" s="194">
        <v>41297.395011574074</v>
      </c>
      <c r="B3461" s="195">
        <v>2241</v>
      </c>
      <c r="C3461" s="194"/>
      <c r="D3461" s="194"/>
      <c r="E3461" s="196" t="s">
        <v>1346</v>
      </c>
      <c r="F3461" s="195">
        <v>800</v>
      </c>
      <c r="G3461" s="197" t="s">
        <v>470</v>
      </c>
      <c r="H3461" s="197" t="s">
        <v>471</v>
      </c>
      <c r="J3461" s="195">
        <v>1</v>
      </c>
      <c r="K3461" s="204" t="s">
        <v>224</v>
      </c>
      <c r="L3461" s="199">
        <v>3</v>
      </c>
      <c r="M3461" s="200">
        <v>1.2</v>
      </c>
      <c r="N3461" s="201">
        <v>16</v>
      </c>
    </row>
    <row r="3462" spans="1:14">
      <c r="A3462" s="194">
        <v>41305.730706018519</v>
      </c>
      <c r="B3462" s="195">
        <v>2241</v>
      </c>
      <c r="C3462" s="194"/>
      <c r="D3462" s="194"/>
      <c r="E3462" s="196" t="s">
        <v>1590</v>
      </c>
      <c r="F3462" s="195">
        <v>800</v>
      </c>
      <c r="G3462" s="197" t="s">
        <v>470</v>
      </c>
      <c r="H3462" s="197" t="s">
        <v>471</v>
      </c>
      <c r="J3462" s="195">
        <v>1</v>
      </c>
      <c r="K3462" s="204" t="s">
        <v>224</v>
      </c>
      <c r="L3462" s="199">
        <v>3</v>
      </c>
      <c r="M3462" s="200">
        <v>1.3</v>
      </c>
      <c r="N3462" s="201">
        <v>16</v>
      </c>
    </row>
    <row r="3463" spans="1:14">
      <c r="A3463" s="194">
        <v>41278.4922337963</v>
      </c>
      <c r="B3463" s="195">
        <v>2241</v>
      </c>
      <c r="C3463" s="194"/>
      <c r="D3463" s="194"/>
      <c r="E3463" s="196" t="s">
        <v>610</v>
      </c>
      <c r="F3463" s="195">
        <v>800</v>
      </c>
      <c r="G3463" s="197" t="s">
        <v>470</v>
      </c>
      <c r="H3463" s="197" t="s">
        <v>471</v>
      </c>
      <c r="J3463" s="195">
        <v>1</v>
      </c>
      <c r="K3463" s="204" t="s">
        <v>224</v>
      </c>
      <c r="L3463" s="199">
        <v>3</v>
      </c>
      <c r="M3463" s="200">
        <v>1.7</v>
      </c>
      <c r="N3463" s="201">
        <v>16</v>
      </c>
    </row>
    <row r="3464" spans="1:14">
      <c r="A3464" s="194">
        <v>41298.658819444441</v>
      </c>
      <c r="B3464" s="195">
        <v>2241</v>
      </c>
      <c r="C3464" s="194"/>
      <c r="D3464" s="194"/>
      <c r="E3464" s="196" t="s">
        <v>1334</v>
      </c>
      <c r="F3464" s="195">
        <v>800</v>
      </c>
      <c r="G3464" s="197" t="s">
        <v>470</v>
      </c>
      <c r="H3464" s="197" t="s">
        <v>471</v>
      </c>
      <c r="J3464" s="195">
        <v>1</v>
      </c>
      <c r="K3464" s="204" t="s">
        <v>224</v>
      </c>
      <c r="L3464" s="199">
        <v>3</v>
      </c>
      <c r="M3464" s="200">
        <v>1.1000000000000001</v>
      </c>
      <c r="N3464" s="201">
        <v>17</v>
      </c>
    </row>
    <row r="3465" spans="1:14">
      <c r="A3465" s="194">
        <v>41285.674502314818</v>
      </c>
      <c r="B3465" s="195">
        <v>2241</v>
      </c>
      <c r="C3465" s="194"/>
      <c r="D3465" s="194"/>
      <c r="E3465" s="196" t="s">
        <v>937</v>
      </c>
      <c r="F3465" s="195">
        <v>800</v>
      </c>
      <c r="G3465" s="197" t="s">
        <v>470</v>
      </c>
      <c r="H3465" s="197" t="s">
        <v>471</v>
      </c>
      <c r="J3465" s="195">
        <v>1</v>
      </c>
      <c r="K3465" s="204" t="s">
        <v>224</v>
      </c>
      <c r="L3465" s="199">
        <v>3</v>
      </c>
      <c r="M3465" s="200">
        <v>1.2</v>
      </c>
      <c r="N3465" s="201">
        <v>17</v>
      </c>
    </row>
    <row r="3466" spans="1:14">
      <c r="A3466" s="194">
        <v>41293.627986111111</v>
      </c>
      <c r="B3466" s="195">
        <v>2241</v>
      </c>
      <c r="C3466" s="194"/>
      <c r="D3466" s="194"/>
      <c r="E3466" s="196" t="s">
        <v>1214</v>
      </c>
      <c r="F3466" s="195">
        <v>800</v>
      </c>
      <c r="G3466" s="197" t="s">
        <v>470</v>
      </c>
      <c r="H3466" s="197" t="s">
        <v>471</v>
      </c>
      <c r="J3466" s="195">
        <v>1</v>
      </c>
      <c r="K3466" s="204" t="s">
        <v>224</v>
      </c>
      <c r="L3466" s="199">
        <v>3</v>
      </c>
      <c r="M3466" s="200">
        <v>1.6</v>
      </c>
      <c r="N3466" s="201">
        <v>17</v>
      </c>
    </row>
    <row r="3467" spans="1:14">
      <c r="A3467" s="194">
        <v>41282.658865740741</v>
      </c>
      <c r="B3467" s="195">
        <v>2241</v>
      </c>
      <c r="C3467" s="194"/>
      <c r="D3467" s="194"/>
      <c r="E3467" s="196" t="s">
        <v>746</v>
      </c>
      <c r="F3467" s="195">
        <v>800</v>
      </c>
      <c r="G3467" s="197" t="s">
        <v>470</v>
      </c>
      <c r="H3467" s="197" t="s">
        <v>471</v>
      </c>
      <c r="J3467" s="195">
        <v>1</v>
      </c>
      <c r="K3467" s="204" t="s">
        <v>224</v>
      </c>
      <c r="L3467" s="199">
        <v>3</v>
      </c>
      <c r="M3467" s="200">
        <v>1.7</v>
      </c>
      <c r="N3467" s="201">
        <v>17</v>
      </c>
    </row>
    <row r="3468" spans="1:14">
      <c r="A3468" s="194">
        <v>41304.518067129633</v>
      </c>
      <c r="B3468" s="195">
        <v>2241</v>
      </c>
      <c r="C3468" s="194"/>
      <c r="D3468" s="194"/>
      <c r="E3468" s="196" t="s">
        <v>1553</v>
      </c>
      <c r="F3468" s="195">
        <v>800</v>
      </c>
      <c r="G3468" s="197" t="s">
        <v>470</v>
      </c>
      <c r="H3468" s="197" t="s">
        <v>471</v>
      </c>
      <c r="J3468" s="195">
        <v>1</v>
      </c>
      <c r="K3468" s="204" t="s">
        <v>224</v>
      </c>
      <c r="L3468" s="199">
        <v>3</v>
      </c>
      <c r="M3468" s="200">
        <v>2.1</v>
      </c>
      <c r="N3468" s="201">
        <v>17</v>
      </c>
    </row>
    <row r="3469" spans="1:14">
      <c r="A3469" s="194">
        <v>41285.322152777779</v>
      </c>
      <c r="B3469" s="195">
        <v>2241</v>
      </c>
      <c r="C3469" s="194"/>
      <c r="D3469" s="194"/>
      <c r="E3469" s="196" t="s">
        <v>934</v>
      </c>
      <c r="F3469" s="195">
        <v>800</v>
      </c>
      <c r="G3469" s="197" t="s">
        <v>470</v>
      </c>
      <c r="H3469" s="197" t="s">
        <v>471</v>
      </c>
      <c r="J3469" s="195">
        <v>1</v>
      </c>
      <c r="K3469" s="204" t="s">
        <v>224</v>
      </c>
      <c r="L3469" s="199">
        <v>3</v>
      </c>
      <c r="M3469" s="200">
        <v>0.3</v>
      </c>
      <c r="N3469" s="201">
        <v>18</v>
      </c>
    </row>
    <row r="3470" spans="1:14">
      <c r="A3470" s="194">
        <v>41281.708854166667</v>
      </c>
      <c r="B3470" s="195">
        <v>2241</v>
      </c>
      <c r="C3470" s="194"/>
      <c r="D3470" s="194"/>
      <c r="E3470" s="196" t="s">
        <v>722</v>
      </c>
      <c r="F3470" s="195">
        <v>800</v>
      </c>
      <c r="G3470" s="197" t="s">
        <v>470</v>
      </c>
      <c r="H3470" s="197" t="s">
        <v>471</v>
      </c>
      <c r="J3470" s="195">
        <v>1</v>
      </c>
      <c r="K3470" s="204" t="s">
        <v>224</v>
      </c>
      <c r="L3470" s="199">
        <v>3</v>
      </c>
      <c r="M3470" s="200">
        <v>0.4</v>
      </c>
      <c r="N3470" s="201">
        <v>18</v>
      </c>
    </row>
    <row r="3471" spans="1:14">
      <c r="A3471" s="194">
        <v>41285.330474537041</v>
      </c>
      <c r="B3471" s="195">
        <v>2241</v>
      </c>
      <c r="C3471" s="194"/>
      <c r="D3471" s="194"/>
      <c r="E3471" s="196" t="s">
        <v>935</v>
      </c>
      <c r="F3471" s="195">
        <v>800</v>
      </c>
      <c r="G3471" s="197" t="s">
        <v>470</v>
      </c>
      <c r="H3471" s="197" t="s">
        <v>471</v>
      </c>
      <c r="J3471" s="195">
        <v>1</v>
      </c>
      <c r="K3471" s="204" t="s">
        <v>224</v>
      </c>
      <c r="L3471" s="199">
        <v>3</v>
      </c>
      <c r="M3471" s="200">
        <v>0.5</v>
      </c>
      <c r="N3471" s="201">
        <v>18</v>
      </c>
    </row>
    <row r="3472" spans="1:14">
      <c r="A3472" s="194">
        <v>41297.658831018518</v>
      </c>
      <c r="B3472" s="195">
        <v>2241</v>
      </c>
      <c r="C3472" s="194"/>
      <c r="D3472" s="194"/>
      <c r="E3472" s="196" t="s">
        <v>1347</v>
      </c>
      <c r="F3472" s="195">
        <v>800</v>
      </c>
      <c r="G3472" s="197" t="s">
        <v>470</v>
      </c>
      <c r="H3472" s="197" t="s">
        <v>471</v>
      </c>
      <c r="J3472" s="195">
        <v>1</v>
      </c>
      <c r="K3472" s="204" t="s">
        <v>224</v>
      </c>
      <c r="L3472" s="199">
        <v>3</v>
      </c>
      <c r="M3472" s="200">
        <v>0.7</v>
      </c>
      <c r="N3472" s="201">
        <v>18</v>
      </c>
    </row>
    <row r="3473" spans="1:14">
      <c r="A3473" s="194">
        <v>41297.755706018521</v>
      </c>
      <c r="B3473" s="195">
        <v>2241</v>
      </c>
      <c r="C3473" s="194"/>
      <c r="D3473" s="194"/>
      <c r="E3473" s="196" t="s">
        <v>1348</v>
      </c>
      <c r="F3473" s="195">
        <v>800</v>
      </c>
      <c r="G3473" s="197" t="s">
        <v>470</v>
      </c>
      <c r="H3473" s="197" t="s">
        <v>471</v>
      </c>
      <c r="J3473" s="195">
        <v>1</v>
      </c>
      <c r="K3473" s="204" t="s">
        <v>224</v>
      </c>
      <c r="L3473" s="199">
        <v>3</v>
      </c>
      <c r="M3473" s="200">
        <v>0.8</v>
      </c>
      <c r="N3473" s="201">
        <v>18</v>
      </c>
    </row>
    <row r="3474" spans="1:14">
      <c r="A3474" s="194">
        <v>41293.505057870374</v>
      </c>
      <c r="B3474" s="195">
        <v>2241</v>
      </c>
      <c r="C3474" s="194"/>
      <c r="D3474" s="194"/>
      <c r="E3474" s="196" t="s">
        <v>1213</v>
      </c>
      <c r="F3474" s="195">
        <v>800</v>
      </c>
      <c r="G3474" s="197" t="s">
        <v>470</v>
      </c>
      <c r="H3474" s="197" t="s">
        <v>471</v>
      </c>
      <c r="J3474" s="195">
        <v>1</v>
      </c>
      <c r="K3474" s="204" t="s">
        <v>224</v>
      </c>
      <c r="L3474" s="199">
        <v>3</v>
      </c>
      <c r="M3474" s="200">
        <v>1.3</v>
      </c>
      <c r="N3474" s="201">
        <v>18</v>
      </c>
    </row>
    <row r="3475" spans="1:14">
      <c r="A3475" s="194">
        <v>41277.639097222222</v>
      </c>
      <c r="B3475" s="195">
        <v>2241</v>
      </c>
      <c r="C3475" s="194"/>
      <c r="D3475" s="194"/>
      <c r="E3475" s="196" t="s">
        <v>641</v>
      </c>
      <c r="F3475" s="195">
        <v>800</v>
      </c>
      <c r="G3475" s="197" t="s">
        <v>470</v>
      </c>
      <c r="H3475" s="197" t="s">
        <v>471</v>
      </c>
      <c r="J3475" s="195">
        <v>1</v>
      </c>
      <c r="K3475" s="204" t="s">
        <v>224</v>
      </c>
      <c r="L3475" s="199">
        <v>3</v>
      </c>
      <c r="M3475" s="200">
        <v>1.9</v>
      </c>
      <c r="N3475" s="201">
        <v>18</v>
      </c>
    </row>
    <row r="3476" spans="1:14">
      <c r="A3476" s="194">
        <v>41287.650891203702</v>
      </c>
      <c r="B3476" s="195">
        <v>2241</v>
      </c>
      <c r="C3476" s="194"/>
      <c r="D3476" s="194"/>
      <c r="E3476" s="196" t="s">
        <v>875</v>
      </c>
      <c r="F3476" s="195">
        <v>800</v>
      </c>
      <c r="G3476" s="197" t="s">
        <v>470</v>
      </c>
      <c r="H3476" s="197" t="s">
        <v>471</v>
      </c>
      <c r="J3476" s="195">
        <v>1</v>
      </c>
      <c r="K3476" s="204" t="s">
        <v>224</v>
      </c>
      <c r="L3476" s="199">
        <v>3</v>
      </c>
      <c r="M3476" s="200">
        <v>3.3</v>
      </c>
      <c r="N3476" s="201">
        <v>18</v>
      </c>
    </row>
    <row r="3477" spans="1:14">
      <c r="A3477" s="194">
        <v>41285.904317129629</v>
      </c>
      <c r="B3477" s="195">
        <v>2241</v>
      </c>
      <c r="C3477" s="194"/>
      <c r="D3477" s="194"/>
      <c r="E3477" s="196" t="s">
        <v>939</v>
      </c>
      <c r="F3477" s="195">
        <v>800</v>
      </c>
      <c r="G3477" s="197" t="s">
        <v>470</v>
      </c>
      <c r="H3477" s="197" t="s">
        <v>471</v>
      </c>
      <c r="J3477" s="195">
        <v>1</v>
      </c>
      <c r="K3477" s="204" t="s">
        <v>224</v>
      </c>
      <c r="L3477" s="199">
        <v>3</v>
      </c>
      <c r="M3477" s="200">
        <v>10.5</v>
      </c>
      <c r="N3477" s="201">
        <v>18</v>
      </c>
    </row>
    <row r="3478" spans="1:14">
      <c r="A3478" s="194">
        <v>41276.833240740743</v>
      </c>
      <c r="B3478" s="195">
        <v>2241</v>
      </c>
      <c r="C3478" s="194"/>
      <c r="D3478" s="194"/>
      <c r="E3478" s="196" t="s">
        <v>532</v>
      </c>
      <c r="F3478" s="195">
        <v>800</v>
      </c>
      <c r="G3478" s="197" t="s">
        <v>470</v>
      </c>
      <c r="H3478" s="197" t="s">
        <v>471</v>
      </c>
      <c r="J3478" s="195">
        <v>1</v>
      </c>
      <c r="K3478" s="204" t="s">
        <v>224</v>
      </c>
      <c r="L3478" s="199">
        <v>3</v>
      </c>
      <c r="M3478" s="200">
        <v>26.3</v>
      </c>
      <c r="N3478" s="201">
        <v>18</v>
      </c>
    </row>
    <row r="3479" spans="1:14">
      <c r="A3479" s="194">
        <v>41292.375243055554</v>
      </c>
      <c r="B3479" s="195">
        <v>2241</v>
      </c>
      <c r="C3479" s="194"/>
      <c r="D3479" s="194"/>
      <c r="E3479" s="196" t="s">
        <v>1179</v>
      </c>
      <c r="F3479" s="195">
        <v>800</v>
      </c>
      <c r="G3479" s="197" t="s">
        <v>470</v>
      </c>
      <c r="H3479" s="197" t="s">
        <v>471</v>
      </c>
      <c r="J3479" s="195">
        <v>1</v>
      </c>
      <c r="K3479" s="204" t="s">
        <v>224</v>
      </c>
      <c r="L3479" s="199">
        <v>3</v>
      </c>
      <c r="M3479" s="200">
        <v>0.5</v>
      </c>
      <c r="N3479" s="201">
        <v>19</v>
      </c>
    </row>
    <row r="3480" spans="1:14">
      <c r="A3480" s="194">
        <v>41285.353391203702</v>
      </c>
      <c r="B3480" s="195">
        <v>2241</v>
      </c>
      <c r="C3480" s="194"/>
      <c r="D3480" s="194"/>
      <c r="E3480" s="196" t="s">
        <v>936</v>
      </c>
      <c r="F3480" s="195">
        <v>800</v>
      </c>
      <c r="G3480" s="197" t="s">
        <v>470</v>
      </c>
      <c r="H3480" s="197" t="s">
        <v>471</v>
      </c>
      <c r="J3480" s="195">
        <v>1</v>
      </c>
      <c r="K3480" s="204" t="s">
        <v>224</v>
      </c>
      <c r="L3480" s="199">
        <v>3</v>
      </c>
      <c r="M3480" s="200">
        <v>1.3</v>
      </c>
      <c r="N3480" s="201">
        <v>20</v>
      </c>
    </row>
    <row r="3481" spans="1:14">
      <c r="A3481" s="194">
        <v>41293.442557870374</v>
      </c>
      <c r="B3481" s="195">
        <v>2241</v>
      </c>
      <c r="C3481" s="194"/>
      <c r="D3481" s="194"/>
      <c r="E3481" s="196" t="s">
        <v>1211</v>
      </c>
      <c r="F3481" s="195">
        <v>800</v>
      </c>
      <c r="G3481" s="197" t="s">
        <v>470</v>
      </c>
      <c r="H3481" s="197" t="s">
        <v>471</v>
      </c>
      <c r="J3481" s="195">
        <v>1</v>
      </c>
      <c r="K3481" s="204" t="s">
        <v>224</v>
      </c>
      <c r="L3481" s="199">
        <v>2</v>
      </c>
      <c r="M3481" s="200">
        <v>0.9</v>
      </c>
      <c r="N3481" s="201">
        <v>26</v>
      </c>
    </row>
    <row r="3482" spans="1:14">
      <c r="A3482" s="194">
        <v>41282.40420138889</v>
      </c>
      <c r="B3482" s="195">
        <v>2241</v>
      </c>
      <c r="C3482" s="194"/>
      <c r="D3482" s="194"/>
      <c r="E3482" s="196" t="s">
        <v>745</v>
      </c>
      <c r="F3482" s="195">
        <v>800</v>
      </c>
      <c r="G3482" s="197" t="s">
        <v>470</v>
      </c>
      <c r="H3482" s="197" t="s">
        <v>471</v>
      </c>
      <c r="J3482" s="195">
        <v>1</v>
      </c>
      <c r="K3482" s="204" t="s">
        <v>224</v>
      </c>
      <c r="L3482" s="199">
        <v>2</v>
      </c>
      <c r="M3482" s="200">
        <v>0.8</v>
      </c>
      <c r="N3482" s="201">
        <v>27</v>
      </c>
    </row>
    <row r="3483" spans="1:14">
      <c r="A3483" s="194">
        <v>41292.355462962965</v>
      </c>
      <c r="B3483" s="195">
        <v>2241</v>
      </c>
      <c r="C3483" s="194"/>
      <c r="D3483" s="194"/>
      <c r="E3483" s="196" t="s">
        <v>1178</v>
      </c>
      <c r="F3483" s="195">
        <v>800</v>
      </c>
      <c r="G3483" s="197" t="s">
        <v>470</v>
      </c>
      <c r="H3483" s="197" t="s">
        <v>471</v>
      </c>
      <c r="J3483" s="195">
        <v>1</v>
      </c>
      <c r="K3483" s="204" t="s">
        <v>224</v>
      </c>
      <c r="L3483" s="199">
        <v>2</v>
      </c>
      <c r="M3483" s="200">
        <v>1</v>
      </c>
      <c r="N3483" s="201">
        <v>27</v>
      </c>
    </row>
    <row r="3484" spans="1:14">
      <c r="A3484" s="194">
        <v>41276.780775462961</v>
      </c>
      <c r="B3484" s="195">
        <v>2241</v>
      </c>
      <c r="C3484" s="194"/>
      <c r="D3484" s="194"/>
      <c r="E3484" s="196" t="s">
        <v>531</v>
      </c>
      <c r="F3484" s="195">
        <v>800</v>
      </c>
      <c r="G3484" s="197" t="s">
        <v>470</v>
      </c>
      <c r="H3484" s="197" t="s">
        <v>471</v>
      </c>
      <c r="J3484" s="195">
        <v>1</v>
      </c>
      <c r="K3484" s="204" t="s">
        <v>224</v>
      </c>
      <c r="L3484" s="199">
        <v>3</v>
      </c>
      <c r="M3484" s="200">
        <v>1.4</v>
      </c>
      <c r="N3484" s="201">
        <v>27</v>
      </c>
    </row>
    <row r="3485" spans="1:14">
      <c r="A3485" s="194">
        <v>41305.834710648145</v>
      </c>
      <c r="B3485" s="195">
        <v>2241</v>
      </c>
      <c r="C3485" s="194"/>
      <c r="D3485" s="194"/>
      <c r="E3485" s="196" t="s">
        <v>1592</v>
      </c>
      <c r="F3485" s="195">
        <v>800</v>
      </c>
      <c r="G3485" s="197" t="s">
        <v>470</v>
      </c>
      <c r="H3485" s="197" t="s">
        <v>471</v>
      </c>
      <c r="J3485" s="195">
        <v>1</v>
      </c>
      <c r="K3485" s="204" t="s">
        <v>224</v>
      </c>
      <c r="L3485" s="199">
        <v>2</v>
      </c>
      <c r="M3485" s="200">
        <v>0.7</v>
      </c>
      <c r="N3485" s="201">
        <v>28</v>
      </c>
    </row>
    <row r="3486" spans="1:14">
      <c r="A3486" s="194">
        <v>41287.605023148149</v>
      </c>
      <c r="B3486" s="195">
        <v>2241</v>
      </c>
      <c r="C3486" s="194"/>
      <c r="D3486" s="194"/>
      <c r="E3486" s="196" t="s">
        <v>873</v>
      </c>
      <c r="F3486" s="195">
        <v>800</v>
      </c>
      <c r="G3486" s="197" t="s">
        <v>470</v>
      </c>
      <c r="H3486" s="197" t="s">
        <v>471</v>
      </c>
      <c r="J3486" s="195">
        <v>1</v>
      </c>
      <c r="K3486" s="204" t="s">
        <v>224</v>
      </c>
      <c r="L3486" s="199">
        <v>2</v>
      </c>
      <c r="M3486" s="200">
        <v>0.5</v>
      </c>
      <c r="N3486" s="201">
        <v>29</v>
      </c>
    </row>
    <row r="3487" spans="1:14">
      <c r="A3487" s="194">
        <v>41298.68173611111</v>
      </c>
      <c r="B3487" s="195">
        <v>2241</v>
      </c>
      <c r="C3487" s="194"/>
      <c r="D3487" s="194"/>
      <c r="E3487" s="196" t="s">
        <v>1335</v>
      </c>
      <c r="F3487" s="195">
        <v>800</v>
      </c>
      <c r="G3487" s="197" t="s">
        <v>470</v>
      </c>
      <c r="H3487" s="197" t="s">
        <v>471</v>
      </c>
      <c r="J3487" s="195">
        <v>1</v>
      </c>
      <c r="K3487" s="204" t="s">
        <v>224</v>
      </c>
      <c r="L3487" s="199">
        <v>2</v>
      </c>
      <c r="M3487" s="200">
        <v>2</v>
      </c>
      <c r="N3487" s="201">
        <v>29</v>
      </c>
    </row>
    <row r="3488" spans="1:14">
      <c r="A3488" s="194">
        <v>41294.752916666665</v>
      </c>
      <c r="B3488" s="195">
        <v>2241</v>
      </c>
      <c r="C3488" s="194"/>
      <c r="D3488" s="194"/>
      <c r="E3488" s="196" t="s">
        <v>1186</v>
      </c>
      <c r="F3488" s="195">
        <v>800</v>
      </c>
      <c r="G3488" s="197" t="s">
        <v>470</v>
      </c>
      <c r="H3488" s="197" t="s">
        <v>471</v>
      </c>
      <c r="J3488" s="195">
        <v>1</v>
      </c>
      <c r="K3488" s="204" t="s">
        <v>224</v>
      </c>
      <c r="L3488" s="199">
        <v>2</v>
      </c>
      <c r="M3488" s="200">
        <v>0.6</v>
      </c>
      <c r="N3488" s="201">
        <v>33</v>
      </c>
    </row>
    <row r="3489" spans="1:14">
      <c r="A3489" s="194">
        <v>41285.687002314815</v>
      </c>
      <c r="B3489" s="195">
        <v>2241</v>
      </c>
      <c r="C3489" s="194"/>
      <c r="D3489" s="194"/>
      <c r="E3489" s="196" t="s">
        <v>938</v>
      </c>
      <c r="F3489" s="195">
        <v>800</v>
      </c>
      <c r="G3489" s="197" t="s">
        <v>470</v>
      </c>
      <c r="H3489" s="197" t="s">
        <v>471</v>
      </c>
      <c r="J3489" s="195">
        <v>1</v>
      </c>
      <c r="K3489" s="204" t="s">
        <v>224</v>
      </c>
      <c r="L3489" s="199">
        <v>2</v>
      </c>
      <c r="M3489" s="200">
        <v>0.3</v>
      </c>
      <c r="N3489" s="201">
        <v>35</v>
      </c>
    </row>
    <row r="3490" spans="1:14">
      <c r="A3490" s="194">
        <v>41286.405023148145</v>
      </c>
      <c r="B3490" s="195">
        <v>2241</v>
      </c>
      <c r="C3490" s="194"/>
      <c r="D3490" s="194"/>
      <c r="E3490" s="196" t="s">
        <v>919</v>
      </c>
      <c r="F3490" s="195">
        <v>800</v>
      </c>
      <c r="G3490" s="197" t="s">
        <v>470</v>
      </c>
      <c r="H3490" s="197" t="s">
        <v>471</v>
      </c>
      <c r="J3490" s="195">
        <v>1</v>
      </c>
      <c r="K3490" s="204" t="s">
        <v>224</v>
      </c>
      <c r="L3490" s="199">
        <v>2</v>
      </c>
      <c r="M3490" s="200">
        <v>0.9</v>
      </c>
      <c r="N3490" s="201">
        <v>37</v>
      </c>
    </row>
    <row r="3491" spans="1:14">
      <c r="A3491" s="194">
        <v>41293.500891203701</v>
      </c>
      <c r="B3491" s="195">
        <v>2241</v>
      </c>
      <c r="C3491" s="194"/>
      <c r="D3491" s="194"/>
      <c r="E3491" s="196" t="s">
        <v>1212</v>
      </c>
      <c r="F3491" s="195">
        <v>800</v>
      </c>
      <c r="G3491" s="197" t="s">
        <v>470</v>
      </c>
      <c r="H3491" s="197" t="s">
        <v>471</v>
      </c>
      <c r="J3491" s="195">
        <v>1</v>
      </c>
      <c r="K3491" s="204" t="s">
        <v>224</v>
      </c>
      <c r="L3491" s="199">
        <v>3</v>
      </c>
      <c r="M3491" s="200">
        <v>1.3</v>
      </c>
      <c r="N3491" s="201">
        <v>37</v>
      </c>
    </row>
    <row r="3492" spans="1:14">
      <c r="A3492" s="194">
        <v>41276.619050925925</v>
      </c>
      <c r="B3492" s="195">
        <v>2241</v>
      </c>
      <c r="C3492" s="194"/>
      <c r="D3492" s="194"/>
      <c r="E3492" s="196" t="s">
        <v>530</v>
      </c>
      <c r="F3492" s="195">
        <v>800</v>
      </c>
      <c r="G3492" s="197" t="s">
        <v>470</v>
      </c>
      <c r="H3492" s="197" t="s">
        <v>471</v>
      </c>
      <c r="J3492" s="195">
        <v>1</v>
      </c>
      <c r="K3492" s="204" t="s">
        <v>224</v>
      </c>
      <c r="L3492" s="199">
        <v>3</v>
      </c>
      <c r="M3492" s="200">
        <v>2.2000000000000002</v>
      </c>
      <c r="N3492" s="201">
        <v>39</v>
      </c>
    </row>
    <row r="3493" spans="1:14">
      <c r="A3493" s="194">
        <v>41293.407129629632</v>
      </c>
      <c r="B3493" s="195">
        <v>2241</v>
      </c>
      <c r="C3493" s="194"/>
      <c r="D3493" s="194"/>
      <c r="E3493" s="196" t="s">
        <v>1210</v>
      </c>
      <c r="F3493" s="195">
        <v>800</v>
      </c>
      <c r="G3493" s="197" t="s">
        <v>470</v>
      </c>
      <c r="H3493" s="197" t="s">
        <v>471</v>
      </c>
      <c r="J3493" s="195">
        <v>1</v>
      </c>
      <c r="K3493" s="204" t="s">
        <v>224</v>
      </c>
      <c r="L3493" s="199">
        <v>3</v>
      </c>
      <c r="M3493" s="200">
        <v>0.4</v>
      </c>
      <c r="N3493" s="201">
        <v>41</v>
      </c>
    </row>
    <row r="3494" spans="1:14">
      <c r="A3494" s="194">
        <v>41286.715486111112</v>
      </c>
      <c r="B3494" s="195">
        <v>2241</v>
      </c>
      <c r="C3494" s="194"/>
      <c r="D3494" s="194"/>
      <c r="E3494" s="196" t="s">
        <v>920</v>
      </c>
      <c r="F3494" s="195">
        <v>800</v>
      </c>
      <c r="G3494" s="197" t="s">
        <v>470</v>
      </c>
      <c r="H3494" s="197" t="s">
        <v>471</v>
      </c>
      <c r="J3494" s="195">
        <v>1</v>
      </c>
      <c r="K3494" s="204" t="s">
        <v>224</v>
      </c>
      <c r="L3494" s="199">
        <v>2</v>
      </c>
      <c r="M3494" s="200">
        <v>0.3</v>
      </c>
      <c r="N3494" s="201">
        <v>42</v>
      </c>
    </row>
    <row r="3495" spans="1:14">
      <c r="A3495" s="194">
        <v>41291.376319444447</v>
      </c>
      <c r="B3495" s="195">
        <v>2241</v>
      </c>
      <c r="C3495" s="194"/>
      <c r="D3495" s="194"/>
      <c r="E3495" s="196" t="s">
        <v>1129</v>
      </c>
      <c r="F3495" s="195">
        <v>800</v>
      </c>
      <c r="G3495" s="197" t="s">
        <v>470</v>
      </c>
      <c r="H3495" s="197" t="s">
        <v>471</v>
      </c>
      <c r="J3495" s="195">
        <v>1</v>
      </c>
      <c r="K3495" s="204" t="s">
        <v>224</v>
      </c>
      <c r="L3495" s="199">
        <v>2</v>
      </c>
      <c r="M3495" s="200">
        <v>1.3</v>
      </c>
      <c r="N3495" s="201">
        <v>42</v>
      </c>
    </row>
    <row r="3496" spans="1:14">
      <c r="A3496" s="194">
        <v>41276.383587962962</v>
      </c>
      <c r="B3496" s="195">
        <v>2241</v>
      </c>
      <c r="C3496" s="194"/>
      <c r="D3496" s="194"/>
      <c r="E3496" s="196" t="s">
        <v>529</v>
      </c>
      <c r="F3496" s="195">
        <v>800</v>
      </c>
      <c r="G3496" s="197" t="s">
        <v>470</v>
      </c>
      <c r="H3496" s="197" t="s">
        <v>471</v>
      </c>
      <c r="J3496" s="195">
        <v>1</v>
      </c>
      <c r="K3496" s="204" t="s">
        <v>224</v>
      </c>
      <c r="L3496" s="199">
        <v>2</v>
      </c>
      <c r="M3496" s="200">
        <v>0.3</v>
      </c>
      <c r="N3496" s="201">
        <v>43</v>
      </c>
    </row>
    <row r="3497" spans="1:14">
      <c r="A3497" s="194">
        <v>41276.331550925926</v>
      </c>
      <c r="B3497" s="195">
        <v>2241</v>
      </c>
      <c r="C3497" s="194"/>
      <c r="D3497" s="194"/>
      <c r="E3497" s="196" t="s">
        <v>528</v>
      </c>
      <c r="F3497" s="195">
        <v>800</v>
      </c>
      <c r="G3497" s="197" t="s">
        <v>470</v>
      </c>
      <c r="H3497" s="197" t="s">
        <v>471</v>
      </c>
      <c r="J3497" s="195">
        <v>1</v>
      </c>
      <c r="K3497" s="204" t="s">
        <v>224</v>
      </c>
      <c r="L3497" s="199">
        <v>2</v>
      </c>
      <c r="M3497" s="200">
        <v>0.6</v>
      </c>
      <c r="N3497" s="201">
        <v>44</v>
      </c>
    </row>
    <row r="3498" spans="1:14">
      <c r="A3498" s="194">
        <v>41281.403333333335</v>
      </c>
      <c r="B3498" s="195">
        <v>2241</v>
      </c>
      <c r="C3498" s="194"/>
      <c r="D3498" s="194"/>
      <c r="E3498" s="196" t="s">
        <v>721</v>
      </c>
      <c r="F3498" s="195">
        <v>800</v>
      </c>
      <c r="G3498" s="197" t="s">
        <v>470</v>
      </c>
      <c r="H3498" s="197" t="s">
        <v>471</v>
      </c>
      <c r="J3498" s="195">
        <v>1</v>
      </c>
      <c r="K3498" s="204" t="s">
        <v>224</v>
      </c>
      <c r="L3498" s="199">
        <v>2</v>
      </c>
      <c r="M3498" s="200">
        <v>2.1</v>
      </c>
      <c r="N3498" s="201">
        <v>45</v>
      </c>
    </row>
    <row r="3499" spans="1:14">
      <c r="A3499" s="194">
        <v>41294.419594907406</v>
      </c>
      <c r="B3499" s="195">
        <v>2241</v>
      </c>
      <c r="C3499" s="194"/>
      <c r="D3499" s="194"/>
      <c r="E3499" s="196" t="s">
        <v>1183</v>
      </c>
      <c r="F3499" s="195">
        <v>800</v>
      </c>
      <c r="G3499" s="197" t="s">
        <v>470</v>
      </c>
      <c r="H3499" s="197" t="s">
        <v>471</v>
      </c>
      <c r="J3499" s="195">
        <v>1</v>
      </c>
      <c r="K3499" s="204" t="s">
        <v>224</v>
      </c>
      <c r="L3499" s="199">
        <v>2</v>
      </c>
      <c r="M3499" s="200">
        <v>1.3</v>
      </c>
      <c r="N3499" s="201">
        <v>46</v>
      </c>
    </row>
    <row r="3500" spans="1:14">
      <c r="A3500" s="194">
        <v>41295.691111111111</v>
      </c>
      <c r="B3500" s="195">
        <v>2241</v>
      </c>
      <c r="C3500" s="194"/>
      <c r="D3500" s="194"/>
      <c r="E3500" s="198"/>
      <c r="G3500" s="202"/>
      <c r="J3500" s="195">
        <v>2</v>
      </c>
      <c r="K3500" s="204" t="s">
        <v>32</v>
      </c>
      <c r="L3500" s="199">
        <v>3</v>
      </c>
      <c r="M3500" s="200">
        <v>0.4</v>
      </c>
      <c r="N3500" s="201">
        <v>16</v>
      </c>
    </row>
    <row r="3501" spans="1:14">
      <c r="A3501" s="194">
        <v>41290.380462962959</v>
      </c>
      <c r="B3501" s="195">
        <v>2241</v>
      </c>
      <c r="C3501" s="194"/>
      <c r="D3501" s="194"/>
      <c r="E3501" s="198"/>
      <c r="G3501" s="202"/>
      <c r="J3501" s="195">
        <v>2</v>
      </c>
      <c r="K3501" s="204" t="s">
        <v>32</v>
      </c>
      <c r="L3501" s="199">
        <v>3</v>
      </c>
      <c r="M3501" s="200">
        <v>0.4</v>
      </c>
      <c r="N3501" s="201">
        <v>16</v>
      </c>
    </row>
    <row r="3502" spans="1:14">
      <c r="A3502" s="194">
        <v>41282.697395833333</v>
      </c>
      <c r="B3502" s="195">
        <v>2241</v>
      </c>
      <c r="C3502" s="194"/>
      <c r="D3502" s="194"/>
      <c r="E3502" s="198"/>
      <c r="G3502" s="202"/>
      <c r="J3502" s="195">
        <v>2</v>
      </c>
      <c r="K3502" s="204" t="s">
        <v>32</v>
      </c>
      <c r="L3502" s="199">
        <v>3</v>
      </c>
      <c r="M3502" s="200">
        <v>0.5</v>
      </c>
      <c r="N3502" s="201">
        <v>16</v>
      </c>
    </row>
    <row r="3503" spans="1:14">
      <c r="A3503" s="194">
        <v>41294.046064814815</v>
      </c>
      <c r="B3503" s="195">
        <v>2241</v>
      </c>
      <c r="C3503" s="194"/>
      <c r="D3503" s="194"/>
      <c r="E3503" s="198"/>
      <c r="G3503" s="202"/>
      <c r="J3503" s="195">
        <v>2</v>
      </c>
      <c r="K3503" s="204" t="s">
        <v>32</v>
      </c>
      <c r="L3503" s="199">
        <v>3</v>
      </c>
      <c r="M3503" s="200">
        <v>18.2</v>
      </c>
      <c r="N3503" s="201">
        <v>23</v>
      </c>
    </row>
    <row r="3504" spans="1:14">
      <c r="A3504" s="194">
        <v>41286.376909722225</v>
      </c>
      <c r="B3504" s="195">
        <v>2241</v>
      </c>
      <c r="C3504" s="194"/>
      <c r="D3504" s="194"/>
      <c r="E3504" s="198"/>
      <c r="G3504" s="202"/>
      <c r="J3504" s="195">
        <v>2</v>
      </c>
      <c r="K3504" s="204" t="s">
        <v>32</v>
      </c>
      <c r="L3504" s="199">
        <v>2</v>
      </c>
      <c r="M3504" s="200">
        <v>0.9</v>
      </c>
      <c r="N3504" s="201">
        <v>34</v>
      </c>
    </row>
    <row r="3505" spans="1:14">
      <c r="A3505" s="194">
        <v>41296.629664351851</v>
      </c>
      <c r="B3505" s="195">
        <v>2241</v>
      </c>
      <c r="C3505" s="194"/>
      <c r="D3505" s="194"/>
      <c r="E3505" s="198"/>
      <c r="G3505" s="202"/>
      <c r="J3505" s="195">
        <v>2</v>
      </c>
      <c r="K3505" s="204" t="s">
        <v>32</v>
      </c>
      <c r="L3505" s="199">
        <v>2</v>
      </c>
      <c r="M3505" s="200">
        <v>1.2</v>
      </c>
      <c r="N3505" s="201">
        <v>35</v>
      </c>
    </row>
    <row r="3506" spans="1:14">
      <c r="A3506" s="194">
        <v>41294.765428240738</v>
      </c>
      <c r="B3506" s="195">
        <v>2241</v>
      </c>
      <c r="C3506" s="194"/>
      <c r="D3506" s="194"/>
      <c r="E3506" s="198"/>
      <c r="G3506" s="202"/>
      <c r="J3506" s="195">
        <v>2</v>
      </c>
      <c r="K3506" s="204" t="s">
        <v>32</v>
      </c>
      <c r="L3506" s="199">
        <v>2</v>
      </c>
      <c r="M3506" s="200">
        <v>1.1000000000000001</v>
      </c>
      <c r="N3506" s="201">
        <v>36</v>
      </c>
    </row>
    <row r="3507" spans="1:14">
      <c r="A3507" s="194">
        <v>41291.771354166667</v>
      </c>
      <c r="B3507" s="195">
        <v>2241</v>
      </c>
      <c r="C3507" s="194"/>
      <c r="D3507" s="194"/>
      <c r="E3507" s="198"/>
      <c r="G3507" s="202"/>
      <c r="J3507" s="195">
        <v>2</v>
      </c>
      <c r="K3507" s="204" t="s">
        <v>32</v>
      </c>
      <c r="L3507" s="199">
        <v>2</v>
      </c>
      <c r="M3507" s="200">
        <v>0.4</v>
      </c>
      <c r="N3507" s="201">
        <v>37</v>
      </c>
    </row>
    <row r="3508" spans="1:14">
      <c r="A3508" s="194">
        <v>41293.742534722223</v>
      </c>
      <c r="B3508" s="195">
        <v>2241</v>
      </c>
      <c r="C3508" s="194"/>
      <c r="D3508" s="194"/>
      <c r="E3508" s="198"/>
      <c r="G3508" s="202"/>
      <c r="J3508" s="195">
        <v>2</v>
      </c>
      <c r="K3508" s="204" t="s">
        <v>32</v>
      </c>
      <c r="L3508" s="199">
        <v>2</v>
      </c>
      <c r="M3508" s="200">
        <v>1.1000000000000001</v>
      </c>
      <c r="N3508" s="201">
        <v>45</v>
      </c>
    </row>
    <row r="3509" spans="1:14">
      <c r="A3509" s="194">
        <v>41290.60050925926</v>
      </c>
      <c r="B3509" s="195">
        <v>2241</v>
      </c>
      <c r="C3509" s="194"/>
      <c r="D3509" s="194"/>
      <c r="E3509" s="198"/>
      <c r="G3509" s="202"/>
      <c r="J3509" s="195">
        <v>2</v>
      </c>
      <c r="K3509" s="204" t="s">
        <v>32</v>
      </c>
      <c r="L3509" s="199">
        <v>2</v>
      </c>
      <c r="M3509" s="200">
        <v>1.1000000000000001</v>
      </c>
      <c r="N3509" s="201">
        <v>46</v>
      </c>
    </row>
    <row r="3510" spans="1:14">
      <c r="A3510" s="194">
        <v>41290.4375462963</v>
      </c>
      <c r="B3510" s="195">
        <v>2241</v>
      </c>
      <c r="C3510" s="194"/>
      <c r="D3510" s="194"/>
      <c r="E3510" s="198"/>
      <c r="G3510" s="202"/>
      <c r="J3510" s="195">
        <v>3</v>
      </c>
      <c r="K3510" s="204" t="s">
        <v>1595</v>
      </c>
      <c r="L3510" s="199">
        <v>2</v>
      </c>
      <c r="M3510" s="200">
        <v>0.3</v>
      </c>
      <c r="N3510" s="201">
        <v>28</v>
      </c>
    </row>
    <row r="3511" spans="1:14">
      <c r="A3511" s="194">
        <v>41285.656782407408</v>
      </c>
      <c r="B3511" s="195">
        <v>2241</v>
      </c>
      <c r="C3511" s="194"/>
      <c r="D3511" s="194"/>
      <c r="E3511" s="198"/>
      <c r="G3511" s="202"/>
      <c r="J3511" s="195">
        <v>3</v>
      </c>
      <c r="K3511" s="204" t="s">
        <v>1595</v>
      </c>
      <c r="L3511" s="199">
        <v>2</v>
      </c>
      <c r="M3511" s="200">
        <v>0.4</v>
      </c>
      <c r="N3511" s="201">
        <v>33</v>
      </c>
    </row>
    <row r="3512" spans="1:14">
      <c r="A3512" s="194">
        <v>41302.768171296295</v>
      </c>
      <c r="B3512" s="195">
        <v>2241</v>
      </c>
      <c r="C3512" s="194"/>
      <c r="D3512" s="194"/>
      <c r="E3512" s="198"/>
      <c r="G3512" s="202"/>
      <c r="J3512" s="195">
        <v>3</v>
      </c>
      <c r="K3512" s="204" t="s">
        <v>1595</v>
      </c>
      <c r="L3512" s="199">
        <v>2</v>
      </c>
      <c r="M3512" s="200">
        <v>0.7</v>
      </c>
      <c r="N3512" s="201">
        <v>35</v>
      </c>
    </row>
    <row r="3513" spans="1:14">
      <c r="A3513" s="194">
        <v>41286.648796296293</v>
      </c>
      <c r="B3513" s="195">
        <v>2241</v>
      </c>
      <c r="C3513" s="194"/>
      <c r="D3513" s="194"/>
      <c r="E3513" s="198"/>
      <c r="G3513" s="202"/>
      <c r="J3513" s="195">
        <v>3</v>
      </c>
      <c r="K3513" s="204" t="s">
        <v>1595</v>
      </c>
      <c r="L3513" s="199">
        <v>2</v>
      </c>
      <c r="M3513" s="200">
        <v>1</v>
      </c>
      <c r="N3513" s="201">
        <v>35</v>
      </c>
    </row>
    <row r="3514" spans="1:14">
      <c r="A3514" s="194">
        <v>41276.594039351854</v>
      </c>
      <c r="B3514" s="195">
        <v>2241</v>
      </c>
      <c r="C3514" s="194"/>
      <c r="D3514" s="194"/>
      <c r="E3514" s="198"/>
      <c r="G3514" s="202"/>
      <c r="J3514" s="195">
        <v>7</v>
      </c>
      <c r="K3514" s="204" t="s">
        <v>30</v>
      </c>
      <c r="L3514" s="199">
        <v>2</v>
      </c>
      <c r="M3514" s="200">
        <v>1.2</v>
      </c>
      <c r="N3514" s="201">
        <v>30</v>
      </c>
    </row>
    <row r="3515" spans="1:14">
      <c r="A3515" s="194">
        <v>41305.625937500001</v>
      </c>
      <c r="B3515" s="195">
        <v>2241</v>
      </c>
      <c r="C3515" s="194"/>
      <c r="D3515" s="194"/>
      <c r="E3515" s="196" t="s">
        <v>2027</v>
      </c>
      <c r="G3515" s="202"/>
      <c r="J3515" s="195">
        <v>7</v>
      </c>
      <c r="K3515" s="204" t="s">
        <v>30</v>
      </c>
      <c r="L3515" s="199">
        <v>2</v>
      </c>
      <c r="M3515" s="200">
        <v>0.4</v>
      </c>
      <c r="N3515" s="201">
        <v>39</v>
      </c>
    </row>
    <row r="3516" spans="1:14">
      <c r="A3516" s="194">
        <v>41297.487523148149</v>
      </c>
      <c r="B3516" s="195">
        <v>2241</v>
      </c>
      <c r="C3516" s="194"/>
      <c r="D3516" s="194"/>
      <c r="E3516" s="198"/>
      <c r="G3516" s="202"/>
      <c r="J3516" s="195">
        <v>10</v>
      </c>
      <c r="K3516" s="204" t="s">
        <v>31</v>
      </c>
      <c r="L3516" s="199">
        <v>3</v>
      </c>
      <c r="M3516" s="200">
        <v>1.7</v>
      </c>
      <c r="N3516" s="201">
        <v>16</v>
      </c>
    </row>
    <row r="3517" spans="1:14">
      <c r="A3517" s="194">
        <v>41303.580983796295</v>
      </c>
      <c r="B3517" s="195">
        <v>2241</v>
      </c>
      <c r="C3517" s="194"/>
      <c r="D3517" s="194"/>
      <c r="E3517" s="198"/>
      <c r="G3517" s="202"/>
      <c r="J3517" s="195">
        <v>10</v>
      </c>
      <c r="K3517" s="204" t="s">
        <v>31</v>
      </c>
      <c r="L3517" s="199">
        <v>2</v>
      </c>
      <c r="M3517" s="200">
        <v>0.3</v>
      </c>
      <c r="N3517" s="201">
        <v>34</v>
      </c>
    </row>
    <row r="3518" spans="1:14">
      <c r="A3518" s="194">
        <v>41277.594953703701</v>
      </c>
      <c r="B3518" s="195">
        <v>2241</v>
      </c>
      <c r="C3518" s="194"/>
      <c r="D3518" s="194"/>
      <c r="E3518" s="198"/>
      <c r="G3518" s="202"/>
      <c r="J3518" s="195">
        <v>10</v>
      </c>
      <c r="K3518" s="204" t="s">
        <v>31</v>
      </c>
      <c r="L3518" s="199">
        <v>1</v>
      </c>
      <c r="M3518" s="200">
        <v>0.5</v>
      </c>
      <c r="N3518" s="201">
        <v>35</v>
      </c>
    </row>
    <row r="3519" spans="1:14">
      <c r="A3519" s="194">
        <v>41286.577939814815</v>
      </c>
      <c r="B3519" s="195">
        <v>2241</v>
      </c>
      <c r="C3519" s="194"/>
      <c r="D3519" s="194"/>
      <c r="E3519" s="196" t="s">
        <v>2131</v>
      </c>
      <c r="G3519" s="202"/>
      <c r="J3519" s="195">
        <v>10</v>
      </c>
      <c r="K3519" s="204" t="s">
        <v>31</v>
      </c>
      <c r="L3519" s="199">
        <v>2</v>
      </c>
      <c r="M3519" s="200">
        <v>0.5</v>
      </c>
      <c r="N3519" s="201">
        <v>40</v>
      </c>
    </row>
    <row r="3520" spans="1:14">
      <c r="A3520" s="194">
        <v>41288.199872685182</v>
      </c>
      <c r="B3520" s="195">
        <v>2241</v>
      </c>
      <c r="C3520" s="194"/>
      <c r="D3520" s="194"/>
      <c r="E3520" s="198"/>
      <c r="G3520" s="202"/>
      <c r="J3520" s="195">
        <v>11</v>
      </c>
      <c r="K3520" s="204" t="s">
        <v>1</v>
      </c>
      <c r="L3520" s="199">
        <v>2</v>
      </c>
      <c r="M3520" s="200">
        <v>24.9</v>
      </c>
      <c r="N3520" s="201">
        <v>31</v>
      </c>
    </row>
    <row r="3521" spans="1:14">
      <c r="A3521" s="194">
        <v>41296.658819444441</v>
      </c>
      <c r="B3521" s="195">
        <v>2241</v>
      </c>
      <c r="C3521" s="194"/>
      <c r="D3521" s="194"/>
      <c r="E3521" s="198"/>
      <c r="G3521" s="202"/>
      <c r="J3521" s="195">
        <v>11</v>
      </c>
      <c r="K3521" s="204" t="s">
        <v>1</v>
      </c>
      <c r="L3521" s="199">
        <v>2</v>
      </c>
      <c r="M3521" s="200">
        <v>0.7</v>
      </c>
      <c r="N3521" s="201">
        <v>35</v>
      </c>
    </row>
    <row r="3522" spans="1:14">
      <c r="A3522" s="194">
        <v>41287.509189814817</v>
      </c>
      <c r="B3522" s="195">
        <v>2241</v>
      </c>
      <c r="C3522" s="194"/>
      <c r="D3522" s="194"/>
      <c r="E3522" s="198"/>
      <c r="G3522" s="202"/>
      <c r="J3522" s="195">
        <v>11</v>
      </c>
      <c r="K3522" s="204" t="s">
        <v>1</v>
      </c>
      <c r="L3522" s="199">
        <v>2</v>
      </c>
      <c r="M3522" s="200">
        <v>0.5</v>
      </c>
      <c r="N3522" s="201">
        <v>41</v>
      </c>
    </row>
    <row r="3523" spans="1:14">
      <c r="A3523" s="194">
        <v>41302.842118055552</v>
      </c>
      <c r="B3523" s="195">
        <v>2241</v>
      </c>
      <c r="C3523" s="194"/>
      <c r="D3523" s="194"/>
      <c r="E3523" s="198"/>
      <c r="G3523" s="202"/>
      <c r="J3523" s="195">
        <v>13</v>
      </c>
      <c r="K3523" s="204" t="s">
        <v>3</v>
      </c>
      <c r="L3523" s="199">
        <v>3</v>
      </c>
      <c r="M3523" s="200">
        <v>2.2999999999999998</v>
      </c>
      <c r="N3523" s="201">
        <v>19</v>
      </c>
    </row>
    <row r="3524" spans="1:14">
      <c r="A3524" s="194">
        <v>41277.633877314816</v>
      </c>
      <c r="B3524" s="195">
        <v>2241</v>
      </c>
      <c r="C3524" s="194"/>
      <c r="D3524" s="194"/>
      <c r="E3524" s="198"/>
      <c r="G3524" s="202"/>
      <c r="J3524" s="195">
        <v>17</v>
      </c>
      <c r="K3524" s="204" t="s">
        <v>11</v>
      </c>
      <c r="L3524" s="199">
        <v>2</v>
      </c>
      <c r="M3524" s="200">
        <v>0.6</v>
      </c>
      <c r="N3524" s="201">
        <v>0</v>
      </c>
    </row>
    <row r="3525" spans="1:14">
      <c r="A3525" s="194">
        <v>41282.703645833331</v>
      </c>
      <c r="B3525" s="195">
        <v>2241</v>
      </c>
      <c r="C3525" s="194"/>
      <c r="D3525" s="194"/>
      <c r="E3525" s="198"/>
      <c r="G3525" s="202"/>
      <c r="J3525" s="195">
        <v>17</v>
      </c>
      <c r="K3525" s="204" t="s">
        <v>11</v>
      </c>
      <c r="L3525" s="199">
        <v>1</v>
      </c>
      <c r="M3525" s="200">
        <v>0.6</v>
      </c>
      <c r="N3525" s="201">
        <v>16</v>
      </c>
    </row>
    <row r="3526" spans="1:14">
      <c r="A3526" s="194">
        <v>41291.704699074071</v>
      </c>
      <c r="B3526" s="195">
        <v>2241</v>
      </c>
      <c r="C3526" s="194"/>
      <c r="D3526" s="194"/>
      <c r="E3526" s="198"/>
      <c r="G3526" s="202"/>
      <c r="J3526" s="195">
        <v>17</v>
      </c>
      <c r="K3526" s="204" t="s">
        <v>11</v>
      </c>
      <c r="L3526" s="199">
        <v>3</v>
      </c>
      <c r="M3526" s="200">
        <v>0.7</v>
      </c>
      <c r="N3526" s="201">
        <v>16</v>
      </c>
    </row>
    <row r="3527" spans="1:14">
      <c r="A3527" s="194">
        <v>41296.562511574077</v>
      </c>
      <c r="B3527" s="195">
        <v>2241</v>
      </c>
      <c r="C3527" s="194"/>
      <c r="D3527" s="194"/>
      <c r="E3527" s="198"/>
      <c r="G3527" s="202"/>
      <c r="J3527" s="195">
        <v>17</v>
      </c>
      <c r="K3527" s="204" t="s">
        <v>11</v>
      </c>
      <c r="L3527" s="199">
        <v>1</v>
      </c>
      <c r="M3527" s="200">
        <v>0.8</v>
      </c>
      <c r="N3527" s="201">
        <v>16</v>
      </c>
    </row>
    <row r="3528" spans="1:14">
      <c r="A3528" s="194">
        <v>41285.750555555554</v>
      </c>
      <c r="B3528" s="195">
        <v>2241</v>
      </c>
      <c r="C3528" s="194"/>
      <c r="D3528" s="194"/>
      <c r="E3528" s="198"/>
      <c r="G3528" s="202"/>
      <c r="J3528" s="195">
        <v>17</v>
      </c>
      <c r="K3528" s="204" t="s">
        <v>11</v>
      </c>
      <c r="L3528" s="199">
        <v>3</v>
      </c>
      <c r="M3528" s="200">
        <v>0.9</v>
      </c>
      <c r="N3528" s="201">
        <v>16</v>
      </c>
    </row>
    <row r="3529" spans="1:14">
      <c r="A3529" s="194">
        <v>41285.802384259259</v>
      </c>
      <c r="B3529" s="195">
        <v>2241</v>
      </c>
      <c r="C3529" s="194"/>
      <c r="D3529" s="194"/>
      <c r="E3529" s="198"/>
      <c r="G3529" s="202"/>
      <c r="J3529" s="195">
        <v>17</v>
      </c>
      <c r="K3529" s="204" t="s">
        <v>11</v>
      </c>
      <c r="L3529" s="199">
        <v>1</v>
      </c>
      <c r="M3529" s="200">
        <v>1.3</v>
      </c>
      <c r="N3529" s="201">
        <v>16</v>
      </c>
    </row>
    <row r="3530" spans="1:14">
      <c r="A3530" s="194">
        <v>41284.371122685188</v>
      </c>
      <c r="B3530" s="195">
        <v>2241</v>
      </c>
      <c r="C3530" s="194"/>
      <c r="D3530" s="194"/>
      <c r="E3530" s="198"/>
      <c r="G3530" s="202"/>
      <c r="J3530" s="195">
        <v>17</v>
      </c>
      <c r="K3530" s="204" t="s">
        <v>11</v>
      </c>
      <c r="L3530" s="199">
        <v>3</v>
      </c>
      <c r="M3530" s="200">
        <v>1.3</v>
      </c>
      <c r="N3530" s="201">
        <v>16</v>
      </c>
    </row>
    <row r="3531" spans="1:14">
      <c r="A3531" s="194">
        <v>41276.679710648146</v>
      </c>
      <c r="B3531" s="195">
        <v>2241</v>
      </c>
      <c r="C3531" s="194"/>
      <c r="D3531" s="194"/>
      <c r="E3531" s="198"/>
      <c r="G3531" s="202"/>
      <c r="J3531" s="195">
        <v>17</v>
      </c>
      <c r="K3531" s="204" t="s">
        <v>11</v>
      </c>
      <c r="L3531" s="199">
        <v>2</v>
      </c>
      <c r="M3531" s="200">
        <v>1.4</v>
      </c>
      <c r="N3531" s="201">
        <v>16</v>
      </c>
    </row>
    <row r="3532" spans="1:14">
      <c r="A3532" s="194">
        <v>41291.361747685187</v>
      </c>
      <c r="B3532" s="195">
        <v>2241</v>
      </c>
      <c r="C3532" s="194"/>
      <c r="D3532" s="194"/>
      <c r="E3532" s="198"/>
      <c r="G3532" s="202"/>
      <c r="J3532" s="195">
        <v>17</v>
      </c>
      <c r="K3532" s="204" t="s">
        <v>11</v>
      </c>
      <c r="L3532" s="199">
        <v>1</v>
      </c>
      <c r="M3532" s="200">
        <v>1.8</v>
      </c>
      <c r="N3532" s="201">
        <v>16</v>
      </c>
    </row>
    <row r="3533" spans="1:14">
      <c r="A3533" s="194">
        <v>41284.75577546296</v>
      </c>
      <c r="B3533" s="195">
        <v>2241</v>
      </c>
      <c r="C3533" s="194"/>
      <c r="D3533" s="194"/>
      <c r="E3533" s="198"/>
      <c r="G3533" s="202"/>
      <c r="J3533" s="195">
        <v>17</v>
      </c>
      <c r="K3533" s="204" t="s">
        <v>11</v>
      </c>
      <c r="L3533" s="199">
        <v>3</v>
      </c>
      <c r="M3533" s="200">
        <v>2.2000000000000002</v>
      </c>
      <c r="N3533" s="201">
        <v>16</v>
      </c>
    </row>
    <row r="3534" spans="1:14">
      <c r="A3534" s="194">
        <v>41298.288807870369</v>
      </c>
      <c r="B3534" s="195">
        <v>2241</v>
      </c>
      <c r="C3534" s="194"/>
      <c r="D3534" s="194"/>
      <c r="E3534" s="198"/>
      <c r="G3534" s="202"/>
      <c r="J3534" s="195">
        <v>17</v>
      </c>
      <c r="K3534" s="204" t="s">
        <v>11</v>
      </c>
      <c r="L3534" s="199">
        <v>3</v>
      </c>
      <c r="M3534" s="200">
        <v>3.1</v>
      </c>
      <c r="N3534" s="201">
        <v>16</v>
      </c>
    </row>
    <row r="3535" spans="1:14">
      <c r="A3535" s="194">
        <v>41279.579027777778</v>
      </c>
      <c r="B3535" s="195">
        <v>2241</v>
      </c>
      <c r="C3535" s="194"/>
      <c r="D3535" s="194"/>
      <c r="E3535" s="198"/>
      <c r="G3535" s="202"/>
      <c r="J3535" s="195">
        <v>17</v>
      </c>
      <c r="K3535" s="204" t="s">
        <v>11</v>
      </c>
      <c r="L3535" s="199">
        <v>2</v>
      </c>
      <c r="M3535" s="200">
        <v>3.2</v>
      </c>
      <c r="N3535" s="201">
        <v>16</v>
      </c>
    </row>
    <row r="3536" spans="1:14">
      <c r="A3536" s="194">
        <v>41283.307581018518</v>
      </c>
      <c r="B3536" s="195">
        <v>2241</v>
      </c>
      <c r="C3536" s="194"/>
      <c r="D3536" s="194"/>
      <c r="E3536" s="198"/>
      <c r="G3536" s="202"/>
      <c r="J3536" s="195">
        <v>17</v>
      </c>
      <c r="K3536" s="204" t="s">
        <v>11</v>
      </c>
      <c r="L3536" s="199">
        <v>3</v>
      </c>
      <c r="M3536" s="200">
        <v>3.6</v>
      </c>
      <c r="N3536" s="201">
        <v>16</v>
      </c>
    </row>
    <row r="3537" spans="1:14">
      <c r="A3537" s="194">
        <v>41297.912546296298</v>
      </c>
      <c r="B3537" s="195">
        <v>2241</v>
      </c>
      <c r="C3537" s="194"/>
      <c r="D3537" s="194"/>
      <c r="E3537" s="198"/>
      <c r="G3537" s="202"/>
      <c r="J3537" s="195">
        <v>17</v>
      </c>
      <c r="K3537" s="204" t="s">
        <v>11</v>
      </c>
      <c r="L3537" s="199">
        <v>2</v>
      </c>
      <c r="M3537" s="200">
        <v>5.4</v>
      </c>
      <c r="N3537" s="201">
        <v>16</v>
      </c>
    </row>
    <row r="3538" spans="1:14">
      <c r="A3538" s="194">
        <v>41293.200844907406</v>
      </c>
      <c r="B3538" s="195">
        <v>2241</v>
      </c>
      <c r="C3538" s="194"/>
      <c r="D3538" s="194"/>
      <c r="E3538" s="198"/>
      <c r="G3538" s="202"/>
      <c r="J3538" s="195">
        <v>17</v>
      </c>
      <c r="K3538" s="204" t="s">
        <v>11</v>
      </c>
      <c r="L3538" s="199">
        <v>3</v>
      </c>
      <c r="M3538" s="200">
        <v>30.8</v>
      </c>
      <c r="N3538" s="201">
        <v>16</v>
      </c>
    </row>
    <row r="3539" spans="1:14">
      <c r="A3539" s="194">
        <v>41291.708854166667</v>
      </c>
      <c r="B3539" s="195">
        <v>2241</v>
      </c>
      <c r="C3539" s="194"/>
      <c r="D3539" s="194"/>
      <c r="E3539" s="198"/>
      <c r="G3539" s="202"/>
      <c r="J3539" s="195">
        <v>17</v>
      </c>
      <c r="K3539" s="204" t="s">
        <v>11</v>
      </c>
      <c r="L3539" s="199">
        <v>1</v>
      </c>
      <c r="M3539" s="200">
        <v>0.4</v>
      </c>
      <c r="N3539" s="201">
        <v>17</v>
      </c>
    </row>
    <row r="3540" spans="1:14">
      <c r="A3540" s="194">
        <v>41302.740057870367</v>
      </c>
      <c r="B3540" s="195">
        <v>2241</v>
      </c>
      <c r="C3540" s="194"/>
      <c r="D3540" s="194"/>
      <c r="E3540" s="198"/>
      <c r="G3540" s="202"/>
      <c r="J3540" s="195">
        <v>17</v>
      </c>
      <c r="K3540" s="204" t="s">
        <v>11</v>
      </c>
      <c r="L3540" s="199">
        <v>2</v>
      </c>
      <c r="M3540" s="200">
        <v>0.6</v>
      </c>
      <c r="N3540" s="201">
        <v>17</v>
      </c>
    </row>
    <row r="3541" spans="1:14">
      <c r="A3541" s="194">
        <v>41286.396689814814</v>
      </c>
      <c r="B3541" s="195">
        <v>2241</v>
      </c>
      <c r="C3541" s="194"/>
      <c r="D3541" s="194"/>
      <c r="E3541" s="198"/>
      <c r="G3541" s="202"/>
      <c r="J3541" s="195">
        <v>17</v>
      </c>
      <c r="K3541" s="204" t="s">
        <v>11</v>
      </c>
      <c r="L3541" s="199">
        <v>2</v>
      </c>
      <c r="M3541" s="200">
        <v>0.7</v>
      </c>
      <c r="N3541" s="201">
        <v>17</v>
      </c>
    </row>
    <row r="3542" spans="1:14">
      <c r="A3542" s="194">
        <v>41285.332569444443</v>
      </c>
      <c r="B3542" s="195">
        <v>2241</v>
      </c>
      <c r="C3542" s="194"/>
      <c r="D3542" s="194"/>
      <c r="E3542" s="198"/>
      <c r="G3542" s="202"/>
      <c r="J3542" s="195">
        <v>17</v>
      </c>
      <c r="K3542" s="204" t="s">
        <v>11</v>
      </c>
      <c r="L3542" s="199">
        <v>1</v>
      </c>
      <c r="M3542" s="200">
        <v>0.8</v>
      </c>
      <c r="N3542" s="201">
        <v>17</v>
      </c>
    </row>
    <row r="3543" spans="1:14">
      <c r="A3543" s="194">
        <v>41292.246886574074</v>
      </c>
      <c r="B3543" s="195">
        <v>2241</v>
      </c>
      <c r="C3543" s="194"/>
      <c r="D3543" s="194"/>
      <c r="E3543" s="198"/>
      <c r="G3543" s="202"/>
      <c r="J3543" s="195">
        <v>17</v>
      </c>
      <c r="K3543" s="204" t="s">
        <v>11</v>
      </c>
      <c r="L3543" s="199">
        <v>3</v>
      </c>
      <c r="M3543" s="200">
        <v>8.3000000000000007</v>
      </c>
      <c r="N3543" s="201">
        <v>17</v>
      </c>
    </row>
    <row r="3544" spans="1:14">
      <c r="A3544" s="194">
        <v>41304.192384259259</v>
      </c>
      <c r="B3544" s="195">
        <v>2241</v>
      </c>
      <c r="C3544" s="194"/>
      <c r="D3544" s="194"/>
      <c r="E3544" s="198"/>
      <c r="G3544" s="202"/>
      <c r="J3544" s="195">
        <v>17</v>
      </c>
      <c r="K3544" s="204" t="s">
        <v>11</v>
      </c>
      <c r="L3544" s="199">
        <v>1</v>
      </c>
      <c r="M3544" s="200">
        <v>24.1</v>
      </c>
      <c r="N3544" s="201">
        <v>17</v>
      </c>
    </row>
    <row r="3545" spans="1:14">
      <c r="A3545" s="194">
        <v>41285.440370370372</v>
      </c>
      <c r="B3545" s="195">
        <v>2241</v>
      </c>
      <c r="C3545" s="194"/>
      <c r="D3545" s="194"/>
      <c r="E3545" s="198"/>
      <c r="G3545" s="202"/>
      <c r="J3545" s="195">
        <v>17</v>
      </c>
      <c r="K3545" s="204" t="s">
        <v>11</v>
      </c>
      <c r="L3545" s="199">
        <v>3</v>
      </c>
      <c r="M3545" s="200">
        <v>5.3</v>
      </c>
      <c r="N3545" s="201">
        <v>18</v>
      </c>
    </row>
    <row r="3546" spans="1:14">
      <c r="A3546" s="194">
        <v>41275.843287037038</v>
      </c>
      <c r="B3546" s="195">
        <v>2241</v>
      </c>
      <c r="C3546" s="194"/>
      <c r="D3546" s="194"/>
      <c r="E3546" s="198"/>
      <c r="G3546" s="202"/>
      <c r="J3546" s="195">
        <v>17</v>
      </c>
      <c r="K3546" s="204" t="s">
        <v>11</v>
      </c>
      <c r="L3546" s="199">
        <v>3</v>
      </c>
      <c r="M3546" s="200">
        <v>14.2</v>
      </c>
      <c r="N3546" s="201">
        <v>18</v>
      </c>
    </row>
    <row r="3547" spans="1:14">
      <c r="A3547" s="194">
        <v>41287.784490740742</v>
      </c>
      <c r="B3547" s="195">
        <v>2241</v>
      </c>
      <c r="C3547" s="194"/>
      <c r="D3547" s="194"/>
      <c r="E3547" s="198"/>
      <c r="G3547" s="202"/>
      <c r="J3547" s="195">
        <v>17</v>
      </c>
      <c r="K3547" s="204" t="s">
        <v>11</v>
      </c>
      <c r="L3547" s="199">
        <v>3</v>
      </c>
      <c r="M3547" s="200">
        <v>23.6</v>
      </c>
      <c r="N3547" s="201">
        <v>18</v>
      </c>
    </row>
    <row r="3548" spans="1:14">
      <c r="A3548" s="194">
        <v>41287.131377314814</v>
      </c>
      <c r="B3548" s="195">
        <v>2241</v>
      </c>
      <c r="C3548" s="194"/>
      <c r="D3548" s="194"/>
      <c r="E3548" s="198"/>
      <c r="G3548" s="202"/>
      <c r="J3548" s="195">
        <v>17</v>
      </c>
      <c r="K3548" s="204" t="s">
        <v>11</v>
      </c>
      <c r="L3548" s="199">
        <v>2</v>
      </c>
      <c r="M3548" s="200">
        <v>27.7</v>
      </c>
      <c r="N3548" s="201">
        <v>18</v>
      </c>
    </row>
    <row r="3549" spans="1:14">
      <c r="A3549" s="194">
        <v>41297.623622685183</v>
      </c>
      <c r="B3549" s="195">
        <v>2241</v>
      </c>
      <c r="C3549" s="194"/>
      <c r="D3549" s="194"/>
      <c r="E3549" s="198"/>
      <c r="G3549" s="202"/>
      <c r="J3549" s="195">
        <v>17</v>
      </c>
      <c r="K3549" s="204" t="s">
        <v>11</v>
      </c>
      <c r="L3549" s="199">
        <v>2</v>
      </c>
      <c r="M3549" s="200">
        <v>0.3</v>
      </c>
      <c r="N3549" s="201">
        <v>21</v>
      </c>
    </row>
    <row r="3550" spans="1:14">
      <c r="A3550" s="194">
        <v>41282.6796875</v>
      </c>
      <c r="B3550" s="195">
        <v>2241</v>
      </c>
      <c r="C3550" s="194"/>
      <c r="D3550" s="194"/>
      <c r="E3550" s="196" t="s">
        <v>1949</v>
      </c>
      <c r="G3550" s="202"/>
      <c r="J3550" s="195">
        <v>17</v>
      </c>
      <c r="K3550" s="204" t="s">
        <v>11</v>
      </c>
      <c r="L3550" s="199">
        <v>3</v>
      </c>
      <c r="M3550" s="200">
        <v>0.6</v>
      </c>
      <c r="N3550" s="201">
        <v>21</v>
      </c>
    </row>
    <row r="3551" spans="1:14">
      <c r="A3551" s="194">
        <v>41292.676574074074</v>
      </c>
      <c r="B3551" s="195">
        <v>2241</v>
      </c>
      <c r="C3551" s="194"/>
      <c r="D3551" s="194"/>
      <c r="E3551" s="198"/>
      <c r="G3551" s="202"/>
      <c r="J3551" s="195">
        <v>17</v>
      </c>
      <c r="K3551" s="204" t="s">
        <v>11</v>
      </c>
      <c r="L3551" s="199">
        <v>2</v>
      </c>
      <c r="M3551" s="200">
        <v>1.7</v>
      </c>
      <c r="N3551" s="201">
        <v>21</v>
      </c>
    </row>
    <row r="3552" spans="1:14">
      <c r="A3552" s="194">
        <v>41295.801527777781</v>
      </c>
      <c r="B3552" s="195">
        <v>2241</v>
      </c>
      <c r="C3552" s="194"/>
      <c r="D3552" s="194"/>
      <c r="E3552" s="198"/>
      <c r="G3552" s="202"/>
      <c r="J3552" s="195">
        <v>17</v>
      </c>
      <c r="K3552" s="204" t="s">
        <v>11</v>
      </c>
      <c r="L3552" s="199">
        <v>2</v>
      </c>
      <c r="M3552" s="200">
        <v>11.1</v>
      </c>
      <c r="N3552" s="201">
        <v>21</v>
      </c>
    </row>
    <row r="3553" spans="1:14">
      <c r="A3553" s="194">
        <v>41295.537511574075</v>
      </c>
      <c r="B3553" s="195">
        <v>2241</v>
      </c>
      <c r="C3553" s="194"/>
      <c r="D3553" s="194"/>
      <c r="E3553" s="198"/>
      <c r="G3553" s="202"/>
      <c r="J3553" s="195">
        <v>17</v>
      </c>
      <c r="K3553" s="204" t="s">
        <v>11</v>
      </c>
      <c r="L3553" s="199">
        <v>2</v>
      </c>
      <c r="M3553" s="200">
        <v>0.7</v>
      </c>
      <c r="N3553" s="201">
        <v>23</v>
      </c>
    </row>
    <row r="3554" spans="1:14">
      <c r="A3554" s="194">
        <v>41294.98400462963</v>
      </c>
      <c r="B3554" s="195">
        <v>2241</v>
      </c>
      <c r="C3554" s="194"/>
      <c r="D3554" s="194"/>
      <c r="E3554" s="198"/>
      <c r="G3554" s="202"/>
      <c r="J3554" s="195">
        <v>18</v>
      </c>
      <c r="K3554" s="204" t="s">
        <v>5</v>
      </c>
      <c r="L3554" s="199">
        <v>1</v>
      </c>
      <c r="M3554" s="200">
        <v>18.3</v>
      </c>
      <c r="N3554" s="201">
        <v>19</v>
      </c>
    </row>
    <row r="3555" spans="1:14">
      <c r="A3555" s="194">
        <v>41294.932314814818</v>
      </c>
      <c r="B3555" s="195">
        <v>2241</v>
      </c>
      <c r="C3555" s="194"/>
      <c r="D3555" s="194"/>
      <c r="E3555" s="198"/>
      <c r="G3555" s="202"/>
      <c r="J3555" s="195">
        <v>18</v>
      </c>
      <c r="K3555" s="204" t="s">
        <v>5</v>
      </c>
      <c r="L3555" s="199">
        <v>1</v>
      </c>
      <c r="M3555" s="200">
        <v>31.4</v>
      </c>
      <c r="N3555" s="201">
        <v>19</v>
      </c>
    </row>
    <row r="3556" spans="1:14">
      <c r="A3556" s="194">
        <v>41286.780057870368</v>
      </c>
      <c r="B3556" s="195">
        <v>2241</v>
      </c>
      <c r="C3556" s="194"/>
      <c r="D3556" s="194"/>
      <c r="E3556" s="196" t="s">
        <v>1810</v>
      </c>
      <c r="G3556" s="202"/>
      <c r="J3556" s="195">
        <v>24</v>
      </c>
      <c r="K3556" s="204" t="s">
        <v>25</v>
      </c>
      <c r="L3556" s="199">
        <v>3</v>
      </c>
      <c r="M3556" s="200">
        <v>1.4</v>
      </c>
      <c r="N3556" s="201">
        <v>15</v>
      </c>
    </row>
    <row r="3557" spans="1:14">
      <c r="A3557" s="194">
        <v>41293.432141203702</v>
      </c>
      <c r="B3557" s="195">
        <v>2241</v>
      </c>
      <c r="C3557" s="194"/>
      <c r="D3557" s="194"/>
      <c r="E3557" s="196" t="s">
        <v>1817</v>
      </c>
      <c r="G3557" s="202"/>
      <c r="J3557" s="195">
        <v>24</v>
      </c>
      <c r="K3557" s="204" t="s">
        <v>25</v>
      </c>
      <c r="L3557" s="199">
        <v>3</v>
      </c>
      <c r="M3557" s="200">
        <v>1.4</v>
      </c>
      <c r="N3557" s="201">
        <v>17</v>
      </c>
    </row>
    <row r="3558" spans="1:14">
      <c r="A3558" s="194">
        <v>41285.376284722224</v>
      </c>
      <c r="B3558" s="195">
        <v>2241</v>
      </c>
      <c r="C3558" s="194"/>
      <c r="D3558" s="194"/>
      <c r="E3558" s="196" t="s">
        <v>1701</v>
      </c>
      <c r="G3558" s="202"/>
      <c r="J3558" s="195">
        <v>24</v>
      </c>
      <c r="K3558" s="204" t="s">
        <v>25</v>
      </c>
      <c r="L3558" s="199">
        <v>3</v>
      </c>
      <c r="M3558" s="200">
        <v>0.6</v>
      </c>
      <c r="N3558" s="201">
        <v>18</v>
      </c>
    </row>
    <row r="3559" spans="1:14">
      <c r="A3559" s="194">
        <v>41287.589398148149</v>
      </c>
      <c r="B3559" s="195">
        <v>2241</v>
      </c>
      <c r="C3559" s="194"/>
      <c r="D3559" s="194"/>
      <c r="E3559" s="196" t="s">
        <v>1616</v>
      </c>
      <c r="G3559" s="202"/>
      <c r="J3559" s="195">
        <v>24</v>
      </c>
      <c r="K3559" s="204" t="s">
        <v>25</v>
      </c>
      <c r="L3559" s="199">
        <v>3</v>
      </c>
      <c r="M3559" s="200">
        <v>0.3</v>
      </c>
      <c r="N3559" s="201">
        <v>19</v>
      </c>
    </row>
    <row r="3560" spans="1:14">
      <c r="A3560" s="194">
        <v>41280.379016203704</v>
      </c>
      <c r="B3560" s="195">
        <v>2241</v>
      </c>
      <c r="C3560" s="194"/>
      <c r="D3560" s="194"/>
      <c r="E3560" s="196" t="s">
        <v>2078</v>
      </c>
      <c r="G3560" s="202"/>
      <c r="J3560" s="195">
        <v>24</v>
      </c>
      <c r="K3560" s="204" t="s">
        <v>25</v>
      </c>
      <c r="L3560" s="199">
        <v>2</v>
      </c>
      <c r="M3560" s="200">
        <v>2.2000000000000002</v>
      </c>
      <c r="N3560" s="201">
        <v>26</v>
      </c>
    </row>
    <row r="3561" spans="1:14">
      <c r="A3561" s="194">
        <v>41294.650833333333</v>
      </c>
      <c r="B3561" s="195">
        <v>2241</v>
      </c>
      <c r="C3561" s="194"/>
      <c r="D3561" s="194"/>
      <c r="E3561" s="196" t="s">
        <v>1670</v>
      </c>
      <c r="G3561" s="202"/>
      <c r="J3561" s="195">
        <v>24</v>
      </c>
      <c r="K3561" s="204" t="s">
        <v>25</v>
      </c>
      <c r="L3561" s="199">
        <v>3</v>
      </c>
      <c r="M3561" s="200">
        <v>0.3</v>
      </c>
      <c r="N3561" s="201">
        <v>31</v>
      </c>
    </row>
    <row r="3562" spans="1:14">
      <c r="A3562" s="194">
        <v>41275.752638888887</v>
      </c>
      <c r="B3562" s="195">
        <v>2241</v>
      </c>
      <c r="C3562" s="194"/>
      <c r="D3562" s="194"/>
      <c r="E3562" s="196" t="s">
        <v>2014</v>
      </c>
      <c r="G3562" s="202"/>
      <c r="J3562" s="195">
        <v>24</v>
      </c>
      <c r="K3562" s="204" t="s">
        <v>25</v>
      </c>
      <c r="L3562" s="199">
        <v>3</v>
      </c>
      <c r="M3562" s="200">
        <v>0.3</v>
      </c>
      <c r="N3562" s="201">
        <v>34</v>
      </c>
    </row>
    <row r="3563" spans="1:14">
      <c r="A3563" s="194">
        <v>41294.432083333333</v>
      </c>
      <c r="B3563" s="195">
        <v>2241</v>
      </c>
      <c r="C3563" s="194"/>
      <c r="D3563" s="194"/>
      <c r="E3563" s="196" t="s">
        <v>1626</v>
      </c>
      <c r="G3563" s="202"/>
      <c r="J3563" s="195">
        <v>24</v>
      </c>
      <c r="K3563" s="204" t="s">
        <v>25</v>
      </c>
      <c r="L3563" s="199">
        <v>2</v>
      </c>
      <c r="M3563" s="200">
        <v>0.5</v>
      </c>
      <c r="N3563" s="201">
        <v>39</v>
      </c>
    </row>
    <row r="3564" spans="1:14">
      <c r="A3564" s="194">
        <v>41278.320069444446</v>
      </c>
      <c r="B3564" s="195">
        <v>2241</v>
      </c>
      <c r="C3564" s="194"/>
      <c r="D3564" s="194"/>
      <c r="E3564" s="196" t="s">
        <v>1961</v>
      </c>
      <c r="G3564" s="202"/>
      <c r="J3564" s="195">
        <v>29</v>
      </c>
      <c r="K3564" s="204" t="s">
        <v>39</v>
      </c>
      <c r="L3564" s="199">
        <v>3</v>
      </c>
      <c r="M3564" s="200">
        <v>0.5</v>
      </c>
      <c r="N3564" s="201">
        <v>16</v>
      </c>
    </row>
    <row r="3565" spans="1:14">
      <c r="A3565" s="194">
        <v>41276.835717592592</v>
      </c>
      <c r="B3565" s="195">
        <v>2241</v>
      </c>
      <c r="C3565" s="194"/>
      <c r="D3565" s="194"/>
      <c r="E3565" s="196" t="s">
        <v>1945</v>
      </c>
      <c r="G3565" s="202"/>
      <c r="J3565" s="195">
        <v>29</v>
      </c>
      <c r="K3565" s="204" t="s">
        <v>39</v>
      </c>
      <c r="L3565" s="199">
        <v>3</v>
      </c>
      <c r="M3565" s="200">
        <v>0.4</v>
      </c>
      <c r="N3565" s="201">
        <v>17</v>
      </c>
    </row>
    <row r="3566" spans="1:14">
      <c r="A3566" s="194">
        <v>41275.710972222223</v>
      </c>
      <c r="B3566" s="195">
        <v>2241</v>
      </c>
      <c r="C3566" s="194"/>
      <c r="D3566" s="194"/>
      <c r="E3566" s="196" t="s">
        <v>1853</v>
      </c>
      <c r="G3566" s="202"/>
      <c r="J3566" s="195">
        <v>29</v>
      </c>
      <c r="K3566" s="204" t="s">
        <v>39</v>
      </c>
      <c r="L3566" s="199">
        <v>3</v>
      </c>
      <c r="M3566" s="200">
        <v>0.4</v>
      </c>
      <c r="N3566" s="201">
        <v>24</v>
      </c>
    </row>
    <row r="3567" spans="1:14">
      <c r="A3567" s="194">
        <v>41278.66097222222</v>
      </c>
      <c r="B3567" s="195">
        <v>2241</v>
      </c>
      <c r="C3567" s="194"/>
      <c r="D3567" s="194"/>
      <c r="E3567" s="196" t="s">
        <v>1879</v>
      </c>
      <c r="G3567" s="202"/>
      <c r="J3567" s="195">
        <v>29</v>
      </c>
      <c r="K3567" s="204" t="s">
        <v>39</v>
      </c>
      <c r="L3567" s="199">
        <v>3</v>
      </c>
      <c r="M3567" s="200">
        <v>0.4</v>
      </c>
      <c r="N3567" s="201">
        <v>29</v>
      </c>
    </row>
    <row r="3568" spans="1:14">
      <c r="A3568" s="194">
        <v>41294.591458333336</v>
      </c>
      <c r="B3568" s="195">
        <v>2241</v>
      </c>
      <c r="C3568" s="194"/>
      <c r="D3568" s="194"/>
      <c r="E3568" s="196" t="s">
        <v>2018</v>
      </c>
      <c r="G3568" s="202"/>
      <c r="J3568" s="195">
        <v>29</v>
      </c>
      <c r="K3568" s="204" t="s">
        <v>39</v>
      </c>
      <c r="L3568" s="199">
        <v>2</v>
      </c>
      <c r="M3568" s="200">
        <v>0.8</v>
      </c>
      <c r="N3568" s="201">
        <v>38</v>
      </c>
    </row>
    <row r="3569" spans="1:14">
      <c r="A3569" s="194">
        <v>41305.712997685187</v>
      </c>
      <c r="B3569" s="195">
        <v>2241</v>
      </c>
      <c r="C3569" s="194"/>
      <c r="D3569" s="194"/>
      <c r="E3569" s="196" t="s">
        <v>1741</v>
      </c>
      <c r="G3569" s="202"/>
      <c r="J3569" s="195">
        <v>29</v>
      </c>
      <c r="K3569" s="204" t="s">
        <v>39</v>
      </c>
      <c r="L3569" s="199">
        <v>3</v>
      </c>
      <c r="M3569" s="200">
        <v>1.1000000000000001</v>
      </c>
      <c r="N3569" s="201">
        <v>38</v>
      </c>
    </row>
    <row r="3570" spans="1:14">
      <c r="A3570" s="194">
        <v>41293.026666666665</v>
      </c>
      <c r="B3570" s="195">
        <v>2241</v>
      </c>
      <c r="C3570" s="194"/>
      <c r="D3570" s="194"/>
      <c r="E3570" s="196" t="s">
        <v>2012</v>
      </c>
      <c r="G3570" s="202"/>
      <c r="J3570" s="195">
        <v>29</v>
      </c>
      <c r="K3570" s="204" t="s">
        <v>39</v>
      </c>
      <c r="L3570" s="199">
        <v>2</v>
      </c>
      <c r="M3570" s="200">
        <v>23.4</v>
      </c>
      <c r="N3570" s="201">
        <v>41</v>
      </c>
    </row>
    <row r="3571" spans="1:14">
      <c r="A3571" s="194">
        <v>41285.319027777776</v>
      </c>
      <c r="B3571" s="195">
        <v>2241</v>
      </c>
      <c r="C3571" s="194"/>
      <c r="D3571" s="194"/>
      <c r="E3571" s="196" t="s">
        <v>2082</v>
      </c>
      <c r="G3571" s="202"/>
      <c r="J3571" s="195">
        <v>29</v>
      </c>
      <c r="K3571" s="204" t="s">
        <v>39</v>
      </c>
      <c r="L3571" s="199">
        <v>2</v>
      </c>
      <c r="M3571" s="200">
        <v>0.5</v>
      </c>
      <c r="N3571" s="201">
        <v>44</v>
      </c>
    </row>
    <row r="3572" spans="1:14">
      <c r="A3572" s="194">
        <v>41280.597754629627</v>
      </c>
      <c r="B3572" s="195">
        <v>2241</v>
      </c>
      <c r="C3572" s="194"/>
      <c r="D3572" s="194"/>
      <c r="E3572" s="198"/>
      <c r="G3572" s="202"/>
      <c r="J3572" s="195">
        <v>43</v>
      </c>
      <c r="K3572" s="204" t="s">
        <v>1596</v>
      </c>
      <c r="L3572" s="199">
        <v>1</v>
      </c>
      <c r="M3572" s="200">
        <v>1.9</v>
      </c>
      <c r="N3572" s="201">
        <v>30</v>
      </c>
    </row>
    <row r="3573" spans="1:14">
      <c r="A3573" s="194">
        <v>41285.302361111113</v>
      </c>
      <c r="B3573" s="195">
        <v>2241</v>
      </c>
      <c r="C3573" s="194"/>
      <c r="D3573" s="194"/>
      <c r="E3573" s="198"/>
      <c r="G3573" s="202"/>
      <c r="J3573" s="195">
        <v>43</v>
      </c>
      <c r="K3573" s="204" t="s">
        <v>1596</v>
      </c>
      <c r="L3573" s="199">
        <v>2</v>
      </c>
      <c r="M3573" s="200">
        <v>0.6</v>
      </c>
      <c r="N3573" s="201">
        <v>34</v>
      </c>
    </row>
    <row r="3574" spans="1:14">
      <c r="A3574" s="194">
        <v>41283.011643518519</v>
      </c>
      <c r="B3574" s="195">
        <v>2241</v>
      </c>
      <c r="C3574" s="194"/>
      <c r="D3574" s="194"/>
      <c r="E3574" s="198"/>
      <c r="G3574" s="202"/>
      <c r="J3574" s="195">
        <v>43</v>
      </c>
      <c r="K3574" s="204" t="s">
        <v>1596</v>
      </c>
      <c r="L3574" s="199">
        <v>1</v>
      </c>
      <c r="M3574" s="200">
        <v>1.1000000000000001</v>
      </c>
      <c r="N3574" s="201">
        <v>34</v>
      </c>
    </row>
    <row r="3575" spans="1:14">
      <c r="A3575" s="194">
        <v>41287.510254629633</v>
      </c>
      <c r="B3575" s="195">
        <v>2241</v>
      </c>
      <c r="C3575" s="194"/>
      <c r="D3575" s="194"/>
      <c r="E3575" s="198"/>
      <c r="G3575" s="202"/>
      <c r="J3575" s="195">
        <v>43</v>
      </c>
      <c r="K3575" s="204" t="s">
        <v>1596</v>
      </c>
      <c r="L3575" s="199">
        <v>1</v>
      </c>
      <c r="M3575" s="200">
        <v>2.8</v>
      </c>
      <c r="N3575" s="201">
        <v>36</v>
      </c>
    </row>
    <row r="3576" spans="1:14">
      <c r="A3576" s="194">
        <v>41292.639050925929</v>
      </c>
      <c r="B3576" s="195">
        <v>2241</v>
      </c>
      <c r="C3576" s="194"/>
      <c r="D3576" s="194"/>
      <c r="E3576" s="198"/>
      <c r="G3576" s="202"/>
      <c r="J3576" s="195">
        <v>43</v>
      </c>
      <c r="K3576" s="204" t="s">
        <v>1596</v>
      </c>
      <c r="L3576" s="199">
        <v>1</v>
      </c>
      <c r="M3576" s="200">
        <v>0.9</v>
      </c>
      <c r="N3576" s="201">
        <v>39</v>
      </c>
    </row>
    <row r="3577" spans="1:14">
      <c r="A3577" s="194">
        <v>41294.642511574071</v>
      </c>
      <c r="B3577" s="195">
        <v>2241</v>
      </c>
      <c r="C3577" s="194"/>
      <c r="D3577" s="194"/>
      <c r="E3577" s="198"/>
      <c r="G3577" s="202"/>
      <c r="J3577" s="195">
        <v>43</v>
      </c>
      <c r="K3577" s="204" t="s">
        <v>1596</v>
      </c>
      <c r="L3577" s="199">
        <v>1</v>
      </c>
      <c r="M3577" s="200">
        <v>0.9</v>
      </c>
      <c r="N3577" s="201">
        <v>40</v>
      </c>
    </row>
    <row r="3578" spans="1:14">
      <c r="A3578" s="194">
        <v>41290.374212962961</v>
      </c>
      <c r="B3578" s="195">
        <v>2241</v>
      </c>
      <c r="C3578" s="194"/>
      <c r="D3578" s="194"/>
      <c r="E3578" s="198"/>
      <c r="G3578" s="202"/>
      <c r="J3578" s="195">
        <v>43</v>
      </c>
      <c r="K3578" s="204" t="s">
        <v>1596</v>
      </c>
      <c r="L3578" s="199">
        <v>1</v>
      </c>
      <c r="M3578" s="200">
        <v>0.5</v>
      </c>
      <c r="N3578" s="201">
        <v>41</v>
      </c>
    </row>
    <row r="3579" spans="1:14">
      <c r="A3579" s="194">
        <v>41293.674803240741</v>
      </c>
      <c r="B3579" s="195">
        <v>2241</v>
      </c>
      <c r="C3579" s="194"/>
      <c r="D3579" s="194"/>
      <c r="E3579" s="198"/>
      <c r="G3579" s="202"/>
      <c r="J3579" s="195">
        <v>43</v>
      </c>
      <c r="K3579" s="204" t="s">
        <v>1596</v>
      </c>
      <c r="L3579" s="199">
        <v>2</v>
      </c>
      <c r="M3579" s="200">
        <v>0.4</v>
      </c>
      <c r="N3579" s="201">
        <v>54</v>
      </c>
    </row>
    <row r="3580" spans="1:14">
      <c r="A3580" s="194">
        <v>41281.276319444441</v>
      </c>
      <c r="B3580" s="195">
        <v>2241</v>
      </c>
      <c r="C3580" s="194"/>
      <c r="D3580" s="194"/>
      <c r="E3580" s="198"/>
      <c r="G3580" s="202"/>
      <c r="J3580" s="195">
        <v>43</v>
      </c>
      <c r="K3580" s="204" t="s">
        <v>1596</v>
      </c>
      <c r="L3580" s="199">
        <v>2</v>
      </c>
      <c r="M3580" s="200">
        <v>0.4</v>
      </c>
      <c r="N3580" s="201">
        <v>64</v>
      </c>
    </row>
    <row r="3581" spans="1:14">
      <c r="A3581" s="194">
        <v>41290.599583333336</v>
      </c>
      <c r="B3581" s="195">
        <v>2241</v>
      </c>
      <c r="C3581" s="194"/>
      <c r="D3581" s="194"/>
      <c r="E3581" s="198"/>
      <c r="G3581" s="202"/>
      <c r="J3581" s="195">
        <v>4400</v>
      </c>
      <c r="K3581" s="204" t="s">
        <v>37</v>
      </c>
      <c r="L3581" s="199">
        <v>2</v>
      </c>
      <c r="M3581" s="200">
        <v>0.9</v>
      </c>
      <c r="N3581" s="201">
        <v>31</v>
      </c>
    </row>
    <row r="3582" spans="1:14">
      <c r="A3582" s="194">
        <v>41284.285694444443</v>
      </c>
      <c r="B3582" s="195">
        <v>2241</v>
      </c>
      <c r="C3582" s="194"/>
      <c r="D3582" s="194"/>
      <c r="E3582" s="198"/>
      <c r="G3582" s="202"/>
      <c r="J3582" s="195">
        <v>4400</v>
      </c>
      <c r="K3582" s="204" t="s">
        <v>37</v>
      </c>
      <c r="L3582" s="199">
        <v>2</v>
      </c>
      <c r="M3582" s="200">
        <v>0.3</v>
      </c>
      <c r="N3582" s="201">
        <v>40</v>
      </c>
    </row>
    <row r="3583" spans="1:14">
      <c r="A3583" s="194">
        <v>41287.38003472222</v>
      </c>
      <c r="B3583" s="195">
        <v>2241</v>
      </c>
      <c r="C3583" s="194"/>
      <c r="D3583" s="194"/>
      <c r="E3583" s="198"/>
      <c r="G3583" s="202"/>
      <c r="J3583" s="195">
        <v>4400</v>
      </c>
      <c r="K3583" s="204" t="s">
        <v>37</v>
      </c>
      <c r="L3583" s="199">
        <v>3</v>
      </c>
      <c r="M3583" s="200">
        <v>0.8</v>
      </c>
      <c r="N3583" s="201">
        <v>50</v>
      </c>
    </row>
    <row r="3584" spans="1:14">
      <c r="A3584" s="194">
        <v>41280.256967592592</v>
      </c>
      <c r="B3584" s="195">
        <v>2242</v>
      </c>
      <c r="C3584" s="194"/>
      <c r="D3584" s="194"/>
      <c r="E3584" s="196" t="s">
        <v>256</v>
      </c>
      <c r="F3584" s="195">
        <v>456</v>
      </c>
      <c r="G3584" s="197" t="s">
        <v>141</v>
      </c>
      <c r="H3584" s="197" t="s">
        <v>223</v>
      </c>
      <c r="I3584" s="196" t="s">
        <v>226</v>
      </c>
      <c r="J3584" s="195">
        <v>1</v>
      </c>
      <c r="K3584" s="204" t="s">
        <v>224</v>
      </c>
      <c r="L3584" s="199">
        <v>2</v>
      </c>
      <c r="M3584" s="200">
        <v>0.6</v>
      </c>
      <c r="N3584" s="201">
        <v>38</v>
      </c>
    </row>
    <row r="3585" spans="1:14">
      <c r="A3585" s="194">
        <v>41288.436666666668</v>
      </c>
      <c r="B3585" s="195">
        <v>2242</v>
      </c>
      <c r="C3585" s="194"/>
      <c r="D3585" s="194"/>
      <c r="E3585" s="196" t="s">
        <v>437</v>
      </c>
      <c r="F3585" s="195">
        <v>466</v>
      </c>
      <c r="G3585" s="197" t="s">
        <v>142</v>
      </c>
      <c r="H3585" s="197" t="s">
        <v>223</v>
      </c>
      <c r="I3585" s="196" t="s">
        <v>402</v>
      </c>
      <c r="J3585" s="195">
        <v>1</v>
      </c>
      <c r="K3585" s="204" t="s">
        <v>224</v>
      </c>
      <c r="L3585" s="199">
        <v>2</v>
      </c>
      <c r="M3585" s="200">
        <v>0.3</v>
      </c>
      <c r="N3585" s="201">
        <v>35</v>
      </c>
    </row>
    <row r="3586" spans="1:14">
      <c r="A3586" s="194">
        <v>41280.952708333331</v>
      </c>
      <c r="B3586" s="195">
        <v>2242</v>
      </c>
      <c r="C3586" s="194"/>
      <c r="D3586" s="194"/>
      <c r="E3586" s="196" t="s">
        <v>577</v>
      </c>
      <c r="F3586" s="195">
        <v>800</v>
      </c>
      <c r="G3586" s="197" t="s">
        <v>470</v>
      </c>
      <c r="H3586" s="197" t="s">
        <v>471</v>
      </c>
      <c r="J3586" s="195">
        <v>1</v>
      </c>
      <c r="K3586" s="204" t="s">
        <v>224</v>
      </c>
      <c r="L3586" s="199">
        <v>2</v>
      </c>
      <c r="M3586" s="200">
        <v>31.7</v>
      </c>
      <c r="N3586" s="201">
        <v>22</v>
      </c>
    </row>
    <row r="3587" spans="1:14">
      <c r="A3587" s="194">
        <v>41293.636377314811</v>
      </c>
      <c r="B3587" s="195">
        <v>2242</v>
      </c>
      <c r="C3587" s="194"/>
      <c r="D3587" s="194"/>
      <c r="E3587" s="196" t="s">
        <v>1215</v>
      </c>
      <c r="F3587" s="195">
        <v>800</v>
      </c>
      <c r="G3587" s="197" t="s">
        <v>470</v>
      </c>
      <c r="H3587" s="197" t="s">
        <v>471</v>
      </c>
      <c r="J3587" s="195">
        <v>1</v>
      </c>
      <c r="K3587" s="204" t="s">
        <v>224</v>
      </c>
      <c r="L3587" s="199">
        <v>1</v>
      </c>
      <c r="M3587" s="200">
        <v>1.1000000000000001</v>
      </c>
      <c r="N3587" s="201">
        <v>30</v>
      </c>
    </row>
    <row r="3588" spans="1:14">
      <c r="A3588" s="194">
        <v>41280.405034722222</v>
      </c>
      <c r="B3588" s="195">
        <v>2242</v>
      </c>
      <c r="C3588" s="194"/>
      <c r="D3588" s="194"/>
      <c r="E3588" s="196" t="s">
        <v>575</v>
      </c>
      <c r="F3588" s="195">
        <v>800</v>
      </c>
      <c r="G3588" s="197" t="s">
        <v>470</v>
      </c>
      <c r="H3588" s="197" t="s">
        <v>471</v>
      </c>
      <c r="J3588" s="195">
        <v>1</v>
      </c>
      <c r="K3588" s="204" t="s">
        <v>224</v>
      </c>
      <c r="L3588" s="199">
        <v>2</v>
      </c>
      <c r="M3588" s="200">
        <v>1.7</v>
      </c>
      <c r="N3588" s="201">
        <v>31</v>
      </c>
    </row>
    <row r="3589" spans="1:14">
      <c r="A3589" s="194">
        <v>41288.476481481484</v>
      </c>
      <c r="B3589" s="195">
        <v>2242</v>
      </c>
      <c r="C3589" s="194"/>
      <c r="D3589" s="194"/>
      <c r="E3589" s="196" t="s">
        <v>985</v>
      </c>
      <c r="F3589" s="195">
        <v>800</v>
      </c>
      <c r="G3589" s="197" t="s">
        <v>470</v>
      </c>
      <c r="H3589" s="197" t="s">
        <v>471</v>
      </c>
      <c r="J3589" s="195">
        <v>1</v>
      </c>
      <c r="K3589" s="204" t="s">
        <v>224</v>
      </c>
      <c r="L3589" s="199">
        <v>2</v>
      </c>
      <c r="M3589" s="200">
        <v>0.6</v>
      </c>
      <c r="N3589" s="201">
        <v>35</v>
      </c>
    </row>
    <row r="3590" spans="1:14">
      <c r="A3590" s="194">
        <v>41281.01458333333</v>
      </c>
      <c r="B3590" s="195">
        <v>2242</v>
      </c>
      <c r="C3590" s="194"/>
      <c r="D3590" s="194"/>
      <c r="E3590" s="196" t="s">
        <v>558</v>
      </c>
      <c r="F3590" s="195">
        <v>800</v>
      </c>
      <c r="G3590" s="197" t="s">
        <v>470</v>
      </c>
      <c r="H3590" s="197" t="s">
        <v>471</v>
      </c>
      <c r="J3590" s="195">
        <v>1</v>
      </c>
      <c r="K3590" s="204" t="s">
        <v>224</v>
      </c>
      <c r="L3590" s="199">
        <v>2</v>
      </c>
      <c r="M3590" s="200">
        <v>16.8</v>
      </c>
      <c r="N3590" s="201">
        <v>36</v>
      </c>
    </row>
    <row r="3591" spans="1:14">
      <c r="A3591" s="194">
        <v>41296.397372685184</v>
      </c>
      <c r="B3591" s="195">
        <v>2242</v>
      </c>
      <c r="C3591" s="194"/>
      <c r="D3591" s="194"/>
      <c r="E3591" s="196" t="s">
        <v>1333</v>
      </c>
      <c r="F3591" s="195">
        <v>800</v>
      </c>
      <c r="G3591" s="197" t="s">
        <v>470</v>
      </c>
      <c r="H3591" s="197" t="s">
        <v>471</v>
      </c>
      <c r="J3591" s="195">
        <v>1</v>
      </c>
      <c r="K3591" s="204" t="s">
        <v>224</v>
      </c>
      <c r="L3591" s="199">
        <v>2</v>
      </c>
      <c r="M3591" s="200">
        <v>0.6</v>
      </c>
      <c r="N3591" s="201">
        <v>37</v>
      </c>
    </row>
    <row r="3592" spans="1:14">
      <c r="A3592" s="194">
        <v>41290.387800925928</v>
      </c>
      <c r="B3592" s="195">
        <v>2242</v>
      </c>
      <c r="C3592" s="194"/>
      <c r="D3592" s="194"/>
      <c r="E3592" s="196" t="s">
        <v>1056</v>
      </c>
      <c r="F3592" s="195">
        <v>800</v>
      </c>
      <c r="G3592" s="197" t="s">
        <v>470</v>
      </c>
      <c r="H3592" s="197" t="s">
        <v>471</v>
      </c>
      <c r="J3592" s="195">
        <v>1</v>
      </c>
      <c r="K3592" s="204" t="s">
        <v>224</v>
      </c>
      <c r="L3592" s="199">
        <v>2</v>
      </c>
      <c r="M3592" s="200">
        <v>0.5</v>
      </c>
      <c r="N3592" s="201">
        <v>38</v>
      </c>
    </row>
    <row r="3593" spans="1:14">
      <c r="A3593" s="194">
        <v>41279.365324074075</v>
      </c>
      <c r="B3593" s="195">
        <v>2242</v>
      </c>
      <c r="C3593" s="194"/>
      <c r="D3593" s="194"/>
      <c r="E3593" s="196" t="s">
        <v>663</v>
      </c>
      <c r="F3593" s="195">
        <v>800</v>
      </c>
      <c r="G3593" s="197" t="s">
        <v>470</v>
      </c>
      <c r="H3593" s="197" t="s">
        <v>471</v>
      </c>
      <c r="J3593" s="195">
        <v>1</v>
      </c>
      <c r="K3593" s="204" t="s">
        <v>224</v>
      </c>
      <c r="L3593" s="199">
        <v>2</v>
      </c>
      <c r="M3593" s="200">
        <v>0.6</v>
      </c>
      <c r="N3593" s="201">
        <v>39</v>
      </c>
    </row>
    <row r="3594" spans="1:14">
      <c r="A3594" s="194">
        <v>41288.872789351852</v>
      </c>
      <c r="B3594" s="195">
        <v>2242</v>
      </c>
      <c r="C3594" s="194"/>
      <c r="D3594" s="194"/>
      <c r="E3594" s="196" t="s">
        <v>987</v>
      </c>
      <c r="F3594" s="195">
        <v>800</v>
      </c>
      <c r="G3594" s="197" t="s">
        <v>470</v>
      </c>
      <c r="H3594" s="197" t="s">
        <v>471</v>
      </c>
      <c r="J3594" s="195">
        <v>1</v>
      </c>
      <c r="K3594" s="204" t="s">
        <v>224</v>
      </c>
      <c r="L3594" s="199">
        <v>2</v>
      </c>
      <c r="M3594" s="200">
        <v>1.4</v>
      </c>
      <c r="N3594" s="201">
        <v>41</v>
      </c>
    </row>
    <row r="3595" spans="1:14">
      <c r="A3595" s="194">
        <v>41280.414398148147</v>
      </c>
      <c r="B3595" s="195">
        <v>2242</v>
      </c>
      <c r="C3595" s="194"/>
      <c r="D3595" s="194"/>
      <c r="E3595" s="196" t="s">
        <v>576</v>
      </c>
      <c r="F3595" s="195">
        <v>800</v>
      </c>
      <c r="G3595" s="197" t="s">
        <v>470</v>
      </c>
      <c r="H3595" s="197" t="s">
        <v>471</v>
      </c>
      <c r="J3595" s="195">
        <v>1</v>
      </c>
      <c r="K3595" s="204" t="s">
        <v>224</v>
      </c>
      <c r="L3595" s="199">
        <v>2</v>
      </c>
      <c r="M3595" s="200">
        <v>0.9</v>
      </c>
      <c r="N3595" s="201">
        <v>42</v>
      </c>
    </row>
    <row r="3596" spans="1:14">
      <c r="A3596" s="194">
        <v>41294.414456018516</v>
      </c>
      <c r="B3596" s="195">
        <v>2242</v>
      </c>
      <c r="C3596" s="194"/>
      <c r="D3596" s="194"/>
      <c r="E3596" s="198"/>
      <c r="G3596" s="202"/>
      <c r="J3596" s="195">
        <v>2</v>
      </c>
      <c r="K3596" s="204" t="s">
        <v>32</v>
      </c>
      <c r="L3596" s="199">
        <v>3</v>
      </c>
      <c r="M3596" s="200">
        <v>2.4</v>
      </c>
      <c r="N3596" s="201">
        <v>15</v>
      </c>
    </row>
    <row r="3597" spans="1:14">
      <c r="A3597" s="194">
        <v>41302.542280092595</v>
      </c>
      <c r="B3597" s="195">
        <v>2242</v>
      </c>
      <c r="C3597" s="194"/>
      <c r="D3597" s="194"/>
      <c r="E3597" s="198"/>
      <c r="G3597" s="202"/>
      <c r="J3597" s="195">
        <v>2</v>
      </c>
      <c r="K3597" s="204" t="s">
        <v>32</v>
      </c>
      <c r="L3597" s="199">
        <v>3</v>
      </c>
      <c r="M3597" s="200">
        <v>6.3</v>
      </c>
      <c r="N3597" s="201">
        <v>16</v>
      </c>
    </row>
    <row r="3598" spans="1:14">
      <c r="A3598" s="194">
        <v>41290.429270833331</v>
      </c>
      <c r="B3598" s="195">
        <v>2242</v>
      </c>
      <c r="C3598" s="194"/>
      <c r="D3598" s="194"/>
      <c r="E3598" s="198"/>
      <c r="G3598" s="202"/>
      <c r="J3598" s="195">
        <v>2</v>
      </c>
      <c r="K3598" s="204" t="s">
        <v>32</v>
      </c>
      <c r="L3598" s="199">
        <v>3</v>
      </c>
      <c r="M3598" s="200">
        <v>1.6</v>
      </c>
      <c r="N3598" s="201">
        <v>17</v>
      </c>
    </row>
    <row r="3599" spans="1:14">
      <c r="A3599" s="194">
        <v>41296.715162037035</v>
      </c>
      <c r="B3599" s="195">
        <v>2242</v>
      </c>
      <c r="C3599" s="194"/>
      <c r="D3599" s="194"/>
      <c r="E3599" s="198"/>
      <c r="G3599" s="202"/>
      <c r="J3599" s="195">
        <v>2</v>
      </c>
      <c r="K3599" s="204" t="s">
        <v>32</v>
      </c>
      <c r="L3599" s="199">
        <v>2</v>
      </c>
      <c r="M3599" s="200">
        <v>0.3</v>
      </c>
      <c r="N3599" s="201">
        <v>30</v>
      </c>
    </row>
    <row r="3600" spans="1:14">
      <c r="A3600" s="194">
        <v>41287.865370370368</v>
      </c>
      <c r="B3600" s="195">
        <v>2242</v>
      </c>
      <c r="C3600" s="194"/>
      <c r="D3600" s="194"/>
      <c r="E3600" s="198"/>
      <c r="G3600" s="202"/>
      <c r="J3600" s="195">
        <v>2</v>
      </c>
      <c r="K3600" s="204" t="s">
        <v>32</v>
      </c>
      <c r="L3600" s="199">
        <v>2</v>
      </c>
      <c r="M3600" s="200">
        <v>2.1</v>
      </c>
      <c r="N3600" s="201">
        <v>32</v>
      </c>
    </row>
    <row r="3601" spans="1:14">
      <c r="A3601" s="194">
        <v>41275.622719907406</v>
      </c>
      <c r="B3601" s="195">
        <v>2242</v>
      </c>
      <c r="C3601" s="194"/>
      <c r="D3601" s="194"/>
      <c r="E3601" s="198"/>
      <c r="G3601" s="202"/>
      <c r="J3601" s="195">
        <v>2</v>
      </c>
      <c r="K3601" s="204" t="s">
        <v>32</v>
      </c>
      <c r="L3601" s="199">
        <v>1</v>
      </c>
      <c r="M3601" s="200">
        <v>3.1</v>
      </c>
      <c r="N3601" s="201">
        <v>33</v>
      </c>
    </row>
    <row r="3602" spans="1:14">
      <c r="A3602" s="194">
        <v>41294.587372685186</v>
      </c>
      <c r="B3602" s="195">
        <v>2242</v>
      </c>
      <c r="C3602" s="194"/>
      <c r="D3602" s="194"/>
      <c r="E3602" s="198"/>
      <c r="G3602" s="202"/>
      <c r="J3602" s="195">
        <v>2</v>
      </c>
      <c r="K3602" s="204" t="s">
        <v>32</v>
      </c>
      <c r="L3602" s="199">
        <v>2</v>
      </c>
      <c r="M3602" s="200">
        <v>1.6</v>
      </c>
      <c r="N3602" s="201">
        <v>37</v>
      </c>
    </row>
    <row r="3603" spans="1:14">
      <c r="A3603" s="194">
        <v>41301.633206018516</v>
      </c>
      <c r="B3603" s="195">
        <v>2242</v>
      </c>
      <c r="C3603" s="194"/>
      <c r="D3603" s="194"/>
      <c r="E3603" s="198"/>
      <c r="G3603" s="202"/>
      <c r="J3603" s="195">
        <v>2</v>
      </c>
      <c r="K3603" s="204" t="s">
        <v>32</v>
      </c>
      <c r="L3603" s="199">
        <v>2</v>
      </c>
      <c r="M3603" s="200">
        <v>0.5</v>
      </c>
      <c r="N3603" s="201">
        <v>40</v>
      </c>
    </row>
    <row r="3604" spans="1:14">
      <c r="A3604" s="194">
        <v>41305.999849537038</v>
      </c>
      <c r="B3604" s="195">
        <v>2242</v>
      </c>
      <c r="C3604" s="194"/>
      <c r="D3604" s="194"/>
      <c r="E3604" s="198"/>
      <c r="G3604" s="202"/>
      <c r="J3604" s="195">
        <v>2</v>
      </c>
      <c r="K3604" s="204" t="s">
        <v>32</v>
      </c>
      <c r="L3604" s="199">
        <v>1</v>
      </c>
      <c r="M3604" s="200">
        <v>20.100000000000001</v>
      </c>
      <c r="N3604" s="201">
        <v>48</v>
      </c>
    </row>
    <row r="3605" spans="1:14">
      <c r="A3605" s="194">
        <v>41304.730810185189</v>
      </c>
      <c r="B3605" s="195">
        <v>2242</v>
      </c>
      <c r="C3605" s="194"/>
      <c r="D3605" s="194"/>
      <c r="E3605" s="198"/>
      <c r="G3605" s="202"/>
      <c r="J3605" s="195">
        <v>7</v>
      </c>
      <c r="K3605" s="204" t="s">
        <v>30</v>
      </c>
      <c r="L3605" s="199">
        <v>3</v>
      </c>
      <c r="M3605" s="200">
        <v>0.5</v>
      </c>
      <c r="N3605" s="201">
        <v>19</v>
      </c>
    </row>
    <row r="3606" spans="1:14">
      <c r="A3606" s="194">
        <v>41294.541539351849</v>
      </c>
      <c r="B3606" s="195">
        <v>2242</v>
      </c>
      <c r="C3606" s="194"/>
      <c r="D3606" s="194"/>
      <c r="E3606" s="198"/>
      <c r="G3606" s="202"/>
      <c r="J3606" s="195">
        <v>7</v>
      </c>
      <c r="K3606" s="204" t="s">
        <v>30</v>
      </c>
      <c r="L3606" s="199">
        <v>2</v>
      </c>
      <c r="M3606" s="200">
        <v>1.5</v>
      </c>
      <c r="N3606" s="201">
        <v>36</v>
      </c>
    </row>
    <row r="3607" spans="1:14">
      <c r="A3607" s="194">
        <v>41293.81354166667</v>
      </c>
      <c r="B3607" s="195">
        <v>2242</v>
      </c>
      <c r="C3607" s="194"/>
      <c r="D3607" s="194"/>
      <c r="E3607" s="198"/>
      <c r="G3607" s="202"/>
      <c r="J3607" s="195">
        <v>7</v>
      </c>
      <c r="K3607" s="204" t="s">
        <v>30</v>
      </c>
      <c r="L3607" s="199">
        <v>1</v>
      </c>
      <c r="M3607" s="200">
        <v>1.5</v>
      </c>
      <c r="N3607" s="201">
        <v>48</v>
      </c>
    </row>
    <row r="3608" spans="1:14">
      <c r="A3608" s="194">
        <v>41290.464722222219</v>
      </c>
      <c r="B3608" s="195">
        <v>2242</v>
      </c>
      <c r="C3608" s="194"/>
      <c r="D3608" s="194"/>
      <c r="E3608" s="198"/>
      <c r="G3608" s="202"/>
      <c r="J3608" s="195">
        <v>11</v>
      </c>
      <c r="K3608" s="204" t="s">
        <v>1</v>
      </c>
      <c r="L3608" s="199">
        <v>3</v>
      </c>
      <c r="M3608" s="200">
        <v>25.2</v>
      </c>
      <c r="N3608" s="201">
        <v>14</v>
      </c>
    </row>
    <row r="3609" spans="1:14">
      <c r="A3609" s="194">
        <v>41296.380509259259</v>
      </c>
      <c r="B3609" s="195">
        <v>2242</v>
      </c>
      <c r="C3609" s="194"/>
      <c r="D3609" s="194"/>
      <c r="E3609" s="198"/>
      <c r="G3609" s="202"/>
      <c r="J3609" s="195">
        <v>11</v>
      </c>
      <c r="K3609" s="204" t="s">
        <v>1</v>
      </c>
      <c r="L3609" s="199">
        <v>3</v>
      </c>
      <c r="M3609" s="200">
        <v>0.5</v>
      </c>
      <c r="N3609" s="201">
        <v>16</v>
      </c>
    </row>
    <row r="3610" spans="1:14">
      <c r="A3610" s="194">
        <v>41291.679745370369</v>
      </c>
      <c r="B3610" s="195">
        <v>2242</v>
      </c>
      <c r="C3610" s="194"/>
      <c r="D3610" s="194"/>
      <c r="E3610" s="198"/>
      <c r="G3610" s="202"/>
      <c r="J3610" s="195">
        <v>11</v>
      </c>
      <c r="K3610" s="204" t="s">
        <v>1</v>
      </c>
      <c r="L3610" s="199">
        <v>3</v>
      </c>
      <c r="M3610" s="200">
        <v>0.8</v>
      </c>
      <c r="N3610" s="201">
        <v>16</v>
      </c>
    </row>
    <row r="3611" spans="1:14">
      <c r="A3611" s="194">
        <v>41292.567210648151</v>
      </c>
      <c r="B3611" s="195">
        <v>2242</v>
      </c>
      <c r="C3611" s="194"/>
      <c r="D3611" s="194"/>
      <c r="E3611" s="198"/>
      <c r="G3611" s="202"/>
      <c r="J3611" s="195">
        <v>11</v>
      </c>
      <c r="K3611" s="204" t="s">
        <v>1</v>
      </c>
      <c r="L3611" s="199">
        <v>3</v>
      </c>
      <c r="M3611" s="200">
        <v>0.9</v>
      </c>
      <c r="N3611" s="201">
        <v>16</v>
      </c>
    </row>
    <row r="3612" spans="1:14">
      <c r="A3612" s="194">
        <v>41279.432129629633</v>
      </c>
      <c r="B3612" s="195">
        <v>2242</v>
      </c>
      <c r="C3612" s="194"/>
      <c r="D3612" s="194"/>
      <c r="E3612" s="198"/>
      <c r="G3612" s="202"/>
      <c r="J3612" s="195">
        <v>11</v>
      </c>
      <c r="K3612" s="204" t="s">
        <v>1</v>
      </c>
      <c r="L3612" s="199">
        <v>3</v>
      </c>
      <c r="M3612" s="200">
        <v>0.9</v>
      </c>
      <c r="N3612" s="201">
        <v>16</v>
      </c>
    </row>
    <row r="3613" spans="1:14">
      <c r="A3613" s="194">
        <v>41276.726574074077</v>
      </c>
      <c r="B3613" s="195">
        <v>2242</v>
      </c>
      <c r="C3613" s="194"/>
      <c r="D3613" s="194"/>
      <c r="E3613" s="198"/>
      <c r="G3613" s="202"/>
      <c r="J3613" s="195">
        <v>11</v>
      </c>
      <c r="K3613" s="204" t="s">
        <v>1</v>
      </c>
      <c r="L3613" s="199">
        <v>3</v>
      </c>
      <c r="M3613" s="200">
        <v>1.5</v>
      </c>
      <c r="N3613" s="201">
        <v>16</v>
      </c>
    </row>
    <row r="3614" spans="1:14">
      <c r="A3614" s="194">
        <v>41276.505115740743</v>
      </c>
      <c r="B3614" s="195">
        <v>2242</v>
      </c>
      <c r="C3614" s="194"/>
      <c r="D3614" s="194"/>
      <c r="E3614" s="198"/>
      <c r="G3614" s="202"/>
      <c r="J3614" s="195">
        <v>11</v>
      </c>
      <c r="K3614" s="204" t="s">
        <v>1</v>
      </c>
      <c r="L3614" s="199">
        <v>3</v>
      </c>
      <c r="M3614" s="200">
        <v>1.6</v>
      </c>
      <c r="N3614" s="201">
        <v>16</v>
      </c>
    </row>
    <row r="3615" spans="1:14">
      <c r="A3615" s="194">
        <v>41296.410740740743</v>
      </c>
      <c r="B3615" s="195">
        <v>2242</v>
      </c>
      <c r="C3615" s="194"/>
      <c r="D3615" s="194"/>
      <c r="E3615" s="198"/>
      <c r="G3615" s="202"/>
      <c r="J3615" s="195">
        <v>11</v>
      </c>
      <c r="K3615" s="204" t="s">
        <v>1</v>
      </c>
      <c r="L3615" s="199">
        <v>3</v>
      </c>
      <c r="M3615" s="200">
        <v>0.5</v>
      </c>
      <c r="N3615" s="201">
        <v>17</v>
      </c>
    </row>
    <row r="3616" spans="1:14">
      <c r="A3616" s="194">
        <v>41292.283634259256</v>
      </c>
      <c r="B3616" s="195">
        <v>2242</v>
      </c>
      <c r="C3616" s="194"/>
      <c r="D3616" s="194"/>
      <c r="E3616" s="198"/>
      <c r="G3616" s="202"/>
      <c r="J3616" s="195">
        <v>11</v>
      </c>
      <c r="K3616" s="204" t="s">
        <v>1</v>
      </c>
      <c r="L3616" s="199">
        <v>3</v>
      </c>
      <c r="M3616" s="200">
        <v>0.3</v>
      </c>
      <c r="N3616" s="201">
        <v>18</v>
      </c>
    </row>
    <row r="3617" spans="1:14">
      <c r="A3617" s="194">
        <v>41303.415393518517</v>
      </c>
      <c r="B3617" s="195">
        <v>2242</v>
      </c>
      <c r="C3617" s="194"/>
      <c r="D3617" s="194"/>
      <c r="E3617" s="198"/>
      <c r="G3617" s="202"/>
      <c r="J3617" s="195">
        <v>11</v>
      </c>
      <c r="K3617" s="204" t="s">
        <v>1</v>
      </c>
      <c r="L3617" s="199">
        <v>3</v>
      </c>
      <c r="M3617" s="200">
        <v>0.4</v>
      </c>
      <c r="N3617" s="201">
        <v>18</v>
      </c>
    </row>
    <row r="3618" spans="1:14">
      <c r="A3618" s="194">
        <v>41280.383159722223</v>
      </c>
      <c r="B3618" s="195">
        <v>2242</v>
      </c>
      <c r="C3618" s="194"/>
      <c r="D3618" s="194"/>
      <c r="E3618" s="198"/>
      <c r="G3618" s="202"/>
      <c r="J3618" s="195">
        <v>11</v>
      </c>
      <c r="K3618" s="204" t="s">
        <v>1</v>
      </c>
      <c r="L3618" s="199">
        <v>3</v>
      </c>
      <c r="M3618" s="200">
        <v>1.5</v>
      </c>
      <c r="N3618" s="201">
        <v>18</v>
      </c>
    </row>
    <row r="3619" spans="1:14">
      <c r="A3619" s="194">
        <v>41287.534525462965</v>
      </c>
      <c r="B3619" s="195">
        <v>2242</v>
      </c>
      <c r="C3619" s="194"/>
      <c r="D3619" s="194"/>
      <c r="E3619" s="198"/>
      <c r="G3619" s="202"/>
      <c r="J3619" s="195">
        <v>11</v>
      </c>
      <c r="K3619" s="204" t="s">
        <v>1</v>
      </c>
      <c r="L3619" s="199">
        <v>3</v>
      </c>
      <c r="M3619" s="200">
        <v>27.6</v>
      </c>
      <c r="N3619" s="201">
        <v>18</v>
      </c>
    </row>
    <row r="3620" spans="1:14">
      <c r="A3620" s="194">
        <v>41300.408564814818</v>
      </c>
      <c r="B3620" s="195">
        <v>2242</v>
      </c>
      <c r="C3620" s="194"/>
      <c r="D3620" s="194"/>
      <c r="E3620" s="198"/>
      <c r="G3620" s="202"/>
      <c r="J3620" s="195">
        <v>11</v>
      </c>
      <c r="K3620" s="204" t="s">
        <v>1</v>
      </c>
      <c r="L3620" s="199">
        <v>3</v>
      </c>
      <c r="M3620" s="200">
        <v>29.7</v>
      </c>
      <c r="N3620" s="201">
        <v>18</v>
      </c>
    </row>
    <row r="3621" spans="1:14">
      <c r="A3621" s="194">
        <v>41305.349282407406</v>
      </c>
      <c r="B3621" s="195">
        <v>2242</v>
      </c>
      <c r="C3621" s="194"/>
      <c r="D3621" s="194"/>
      <c r="E3621" s="198"/>
      <c r="G3621" s="202"/>
      <c r="J3621" s="195">
        <v>11</v>
      </c>
      <c r="K3621" s="204" t="s">
        <v>1</v>
      </c>
      <c r="L3621" s="199">
        <v>3</v>
      </c>
      <c r="M3621" s="200">
        <v>0.4</v>
      </c>
      <c r="N3621" s="201">
        <v>19</v>
      </c>
    </row>
    <row r="3622" spans="1:14">
      <c r="A3622" s="194">
        <v>41301.375949074078</v>
      </c>
      <c r="B3622" s="195">
        <v>2242</v>
      </c>
      <c r="C3622" s="194"/>
      <c r="D3622" s="194"/>
      <c r="E3622" s="198"/>
      <c r="G3622" s="202"/>
      <c r="J3622" s="195">
        <v>11</v>
      </c>
      <c r="K3622" s="204" t="s">
        <v>1</v>
      </c>
      <c r="L3622" s="199">
        <v>3</v>
      </c>
      <c r="M3622" s="200">
        <v>1</v>
      </c>
      <c r="N3622" s="201">
        <v>19</v>
      </c>
    </row>
    <row r="3623" spans="1:14">
      <c r="A3623" s="194">
        <v>41290.687037037038</v>
      </c>
      <c r="B3623" s="195">
        <v>2242</v>
      </c>
      <c r="C3623" s="194"/>
      <c r="D3623" s="194"/>
      <c r="E3623" s="198"/>
      <c r="G3623" s="202"/>
      <c r="J3623" s="195">
        <v>11</v>
      </c>
      <c r="K3623" s="204" t="s">
        <v>1</v>
      </c>
      <c r="L3623" s="199">
        <v>3</v>
      </c>
      <c r="M3623" s="200">
        <v>1.4</v>
      </c>
      <c r="N3623" s="201">
        <v>19</v>
      </c>
    </row>
    <row r="3624" spans="1:14">
      <c r="A3624" s="194">
        <v>41293.341319444444</v>
      </c>
      <c r="B3624" s="195">
        <v>2242</v>
      </c>
      <c r="C3624" s="194"/>
      <c r="D3624" s="194"/>
      <c r="E3624" s="198"/>
      <c r="G3624" s="202"/>
      <c r="J3624" s="195">
        <v>11</v>
      </c>
      <c r="K3624" s="204" t="s">
        <v>1</v>
      </c>
      <c r="L3624" s="199">
        <v>3</v>
      </c>
      <c r="M3624" s="200">
        <v>0.5</v>
      </c>
      <c r="N3624" s="201">
        <v>22</v>
      </c>
    </row>
    <row r="3625" spans="1:14">
      <c r="A3625" s="194">
        <v>41277.556956018518</v>
      </c>
      <c r="B3625" s="195">
        <v>2242</v>
      </c>
      <c r="C3625" s="194"/>
      <c r="D3625" s="194"/>
      <c r="E3625" s="198"/>
      <c r="G3625" s="202"/>
      <c r="J3625" s="195">
        <v>11</v>
      </c>
      <c r="K3625" s="204" t="s">
        <v>1</v>
      </c>
      <c r="L3625" s="199">
        <v>3</v>
      </c>
      <c r="M3625" s="200">
        <v>0.3</v>
      </c>
      <c r="N3625" s="201">
        <v>23</v>
      </c>
    </row>
    <row r="3626" spans="1:14">
      <c r="A3626" s="194">
        <v>41287.562337962961</v>
      </c>
      <c r="B3626" s="195">
        <v>2242</v>
      </c>
      <c r="C3626" s="194"/>
      <c r="D3626" s="194"/>
      <c r="E3626" s="198"/>
      <c r="G3626" s="202"/>
      <c r="J3626" s="195">
        <v>11</v>
      </c>
      <c r="K3626" s="204" t="s">
        <v>1</v>
      </c>
      <c r="L3626" s="199">
        <v>3</v>
      </c>
      <c r="M3626" s="200">
        <v>0.4</v>
      </c>
      <c r="N3626" s="201">
        <v>24</v>
      </c>
    </row>
    <row r="3627" spans="1:14">
      <c r="A3627" s="194">
        <v>41278.44866898148</v>
      </c>
      <c r="B3627" s="195">
        <v>2242</v>
      </c>
      <c r="C3627" s="194"/>
      <c r="D3627" s="194"/>
      <c r="E3627" s="198"/>
      <c r="G3627" s="202"/>
      <c r="J3627" s="195">
        <v>11</v>
      </c>
      <c r="K3627" s="204" t="s">
        <v>1</v>
      </c>
      <c r="L3627" s="199">
        <v>3</v>
      </c>
      <c r="M3627" s="200">
        <v>0.4</v>
      </c>
      <c r="N3627" s="201">
        <v>24</v>
      </c>
    </row>
    <row r="3628" spans="1:14">
      <c r="A3628" s="194">
        <v>41292.421875</v>
      </c>
      <c r="B3628" s="195">
        <v>2242</v>
      </c>
      <c r="C3628" s="194"/>
      <c r="D3628" s="194"/>
      <c r="E3628" s="198"/>
      <c r="G3628" s="202"/>
      <c r="J3628" s="195">
        <v>11</v>
      </c>
      <c r="K3628" s="204" t="s">
        <v>1</v>
      </c>
      <c r="L3628" s="199">
        <v>2</v>
      </c>
      <c r="M3628" s="200">
        <v>2.2000000000000002</v>
      </c>
      <c r="N3628" s="201">
        <v>29</v>
      </c>
    </row>
    <row r="3629" spans="1:14">
      <c r="A3629" s="194">
        <v>41299.555196759262</v>
      </c>
      <c r="B3629" s="195">
        <v>2242</v>
      </c>
      <c r="C3629" s="194"/>
      <c r="D3629" s="194"/>
      <c r="E3629" s="198"/>
      <c r="G3629" s="202"/>
      <c r="J3629" s="195">
        <v>11</v>
      </c>
      <c r="K3629" s="204" t="s">
        <v>1</v>
      </c>
      <c r="L3629" s="199">
        <v>1</v>
      </c>
      <c r="M3629" s="200">
        <v>1.1000000000000001</v>
      </c>
      <c r="N3629" s="201">
        <v>44</v>
      </c>
    </row>
    <row r="3630" spans="1:14">
      <c r="A3630" s="194">
        <v>41292.184166666666</v>
      </c>
      <c r="B3630" s="195">
        <v>2242</v>
      </c>
      <c r="C3630" s="194"/>
      <c r="D3630" s="194"/>
      <c r="E3630" s="196" t="s">
        <v>2144</v>
      </c>
      <c r="G3630" s="202"/>
      <c r="J3630" s="195">
        <v>14</v>
      </c>
      <c r="K3630" s="204" t="s">
        <v>2</v>
      </c>
      <c r="L3630" s="199">
        <v>3</v>
      </c>
      <c r="M3630" s="200">
        <v>25.1</v>
      </c>
      <c r="N3630" s="201">
        <v>35</v>
      </c>
    </row>
    <row r="3631" spans="1:14">
      <c r="A3631" s="194">
        <v>41291.649537037039</v>
      </c>
      <c r="B3631" s="195">
        <v>2242</v>
      </c>
      <c r="C3631" s="194"/>
      <c r="D3631" s="194"/>
      <c r="E3631" s="198"/>
      <c r="G3631" s="202"/>
      <c r="J3631" s="195">
        <v>15</v>
      </c>
      <c r="K3631" s="204" t="s">
        <v>4</v>
      </c>
      <c r="L3631" s="199">
        <v>3</v>
      </c>
      <c r="M3631" s="200">
        <v>0.6</v>
      </c>
      <c r="N3631" s="201">
        <v>16</v>
      </c>
    </row>
    <row r="3632" spans="1:14">
      <c r="A3632" s="194">
        <v>41279.55296296296</v>
      </c>
      <c r="B3632" s="195">
        <v>2242</v>
      </c>
      <c r="C3632" s="194"/>
      <c r="D3632" s="194"/>
      <c r="E3632" s="196" t="s">
        <v>1993</v>
      </c>
      <c r="G3632" s="202"/>
      <c r="J3632" s="195">
        <v>17</v>
      </c>
      <c r="K3632" s="204" t="s">
        <v>11</v>
      </c>
      <c r="L3632" s="199">
        <v>2</v>
      </c>
      <c r="M3632" s="200">
        <v>1.9</v>
      </c>
      <c r="N3632" s="201">
        <v>0</v>
      </c>
    </row>
    <row r="3633" spans="1:14">
      <c r="A3633" s="194">
        <v>41303.131365740737</v>
      </c>
      <c r="B3633" s="195">
        <v>2242</v>
      </c>
      <c r="C3633" s="194"/>
      <c r="D3633" s="194"/>
      <c r="E3633" s="198"/>
      <c r="G3633" s="202"/>
      <c r="J3633" s="195">
        <v>17</v>
      </c>
      <c r="K3633" s="204" t="s">
        <v>11</v>
      </c>
      <c r="L3633" s="199">
        <v>2</v>
      </c>
      <c r="M3633" s="200">
        <v>23</v>
      </c>
      <c r="N3633" s="201">
        <v>0</v>
      </c>
    </row>
    <row r="3634" spans="1:14">
      <c r="A3634" s="194">
        <v>41301.931122685186</v>
      </c>
      <c r="B3634" s="195">
        <v>2242</v>
      </c>
      <c r="C3634" s="194"/>
      <c r="D3634" s="194"/>
      <c r="E3634" s="198"/>
      <c r="G3634" s="202"/>
      <c r="J3634" s="195">
        <v>17</v>
      </c>
      <c r="K3634" s="204" t="s">
        <v>11</v>
      </c>
      <c r="L3634" s="199">
        <v>3</v>
      </c>
      <c r="M3634" s="200">
        <v>0.5</v>
      </c>
      <c r="N3634" s="201">
        <v>14</v>
      </c>
    </row>
    <row r="3635" spans="1:14">
      <c r="A3635" s="194">
        <v>41275.702592592592</v>
      </c>
      <c r="B3635" s="195">
        <v>2242</v>
      </c>
      <c r="C3635" s="194"/>
      <c r="D3635" s="194"/>
      <c r="E3635" s="198"/>
      <c r="G3635" s="202"/>
      <c r="J3635" s="195">
        <v>17</v>
      </c>
      <c r="K3635" s="204" t="s">
        <v>11</v>
      </c>
      <c r="L3635" s="199">
        <v>2</v>
      </c>
      <c r="M3635" s="200">
        <v>0.3</v>
      </c>
      <c r="N3635" s="201">
        <v>16</v>
      </c>
    </row>
    <row r="3636" spans="1:14">
      <c r="A3636" s="194">
        <v>41302.444062499999</v>
      </c>
      <c r="B3636" s="195">
        <v>2242</v>
      </c>
      <c r="C3636" s="194"/>
      <c r="D3636" s="194"/>
      <c r="E3636" s="198"/>
      <c r="G3636" s="202"/>
      <c r="J3636" s="195">
        <v>17</v>
      </c>
      <c r="K3636" s="204" t="s">
        <v>11</v>
      </c>
      <c r="L3636" s="199">
        <v>2</v>
      </c>
      <c r="M3636" s="200">
        <v>0.4</v>
      </c>
      <c r="N3636" s="201">
        <v>16</v>
      </c>
    </row>
    <row r="3637" spans="1:14">
      <c r="A3637" s="194">
        <v>41301.755115740743</v>
      </c>
      <c r="B3637" s="195">
        <v>2242</v>
      </c>
      <c r="C3637" s="194"/>
      <c r="D3637" s="194"/>
      <c r="E3637" s="198"/>
      <c r="G3637" s="202"/>
      <c r="J3637" s="195">
        <v>17</v>
      </c>
      <c r="K3637" s="204" t="s">
        <v>11</v>
      </c>
      <c r="L3637" s="199">
        <v>3</v>
      </c>
      <c r="M3637" s="200">
        <v>0.4</v>
      </c>
      <c r="N3637" s="201">
        <v>16</v>
      </c>
    </row>
    <row r="3638" spans="1:14">
      <c r="A3638" s="194">
        <v>41277.569918981484</v>
      </c>
      <c r="B3638" s="195">
        <v>2242</v>
      </c>
      <c r="C3638" s="194"/>
      <c r="D3638" s="194"/>
      <c r="E3638" s="198"/>
      <c r="G3638" s="202"/>
      <c r="J3638" s="195">
        <v>17</v>
      </c>
      <c r="K3638" s="204" t="s">
        <v>11</v>
      </c>
      <c r="L3638" s="199">
        <v>3</v>
      </c>
      <c r="M3638" s="200">
        <v>0.4</v>
      </c>
      <c r="N3638" s="201">
        <v>16</v>
      </c>
    </row>
    <row r="3639" spans="1:14">
      <c r="A3639" s="194">
        <v>41296.631828703707</v>
      </c>
      <c r="B3639" s="195">
        <v>2242</v>
      </c>
      <c r="C3639" s="194"/>
      <c r="D3639" s="194"/>
      <c r="E3639" s="198"/>
      <c r="G3639" s="202"/>
      <c r="J3639" s="195">
        <v>17</v>
      </c>
      <c r="K3639" s="204" t="s">
        <v>11</v>
      </c>
      <c r="L3639" s="199">
        <v>3</v>
      </c>
      <c r="M3639" s="200">
        <v>0.6</v>
      </c>
      <c r="N3639" s="201">
        <v>16</v>
      </c>
    </row>
    <row r="3640" spans="1:14">
      <c r="A3640" s="194">
        <v>41297.680798611109</v>
      </c>
      <c r="B3640" s="195">
        <v>2242</v>
      </c>
      <c r="C3640" s="194"/>
      <c r="D3640" s="194"/>
      <c r="E3640" s="198"/>
      <c r="G3640" s="202"/>
      <c r="J3640" s="195">
        <v>17</v>
      </c>
      <c r="K3640" s="204" t="s">
        <v>11</v>
      </c>
      <c r="L3640" s="199">
        <v>3</v>
      </c>
      <c r="M3640" s="200">
        <v>0.9</v>
      </c>
      <c r="N3640" s="201">
        <v>16</v>
      </c>
    </row>
    <row r="3641" spans="1:14">
      <c r="A3641" s="194">
        <v>41279.615439814814</v>
      </c>
      <c r="B3641" s="195">
        <v>2242</v>
      </c>
      <c r="C3641" s="194"/>
      <c r="D3641" s="194"/>
      <c r="E3641" s="198"/>
      <c r="G3641" s="202"/>
      <c r="J3641" s="195">
        <v>17</v>
      </c>
      <c r="K3641" s="204" t="s">
        <v>11</v>
      </c>
      <c r="L3641" s="199">
        <v>1</v>
      </c>
      <c r="M3641" s="200">
        <v>0.9</v>
      </c>
      <c r="N3641" s="201">
        <v>16</v>
      </c>
    </row>
    <row r="3642" spans="1:14">
      <c r="A3642" s="194">
        <v>41279.494618055556</v>
      </c>
      <c r="B3642" s="195">
        <v>2242</v>
      </c>
      <c r="C3642" s="194"/>
      <c r="D3642" s="194"/>
      <c r="E3642" s="198"/>
      <c r="G3642" s="202"/>
      <c r="J3642" s="195">
        <v>17</v>
      </c>
      <c r="K3642" s="204" t="s">
        <v>11</v>
      </c>
      <c r="L3642" s="199">
        <v>1</v>
      </c>
      <c r="M3642" s="200">
        <v>0.9</v>
      </c>
      <c r="N3642" s="201">
        <v>16</v>
      </c>
    </row>
    <row r="3643" spans="1:14">
      <c r="A3643" s="194">
        <v>41285.251458333332</v>
      </c>
      <c r="B3643" s="195">
        <v>2242</v>
      </c>
      <c r="C3643" s="194"/>
      <c r="D3643" s="194"/>
      <c r="E3643" s="198"/>
      <c r="G3643" s="202"/>
      <c r="J3643" s="195">
        <v>17</v>
      </c>
      <c r="K3643" s="204" t="s">
        <v>11</v>
      </c>
      <c r="L3643" s="199">
        <v>3</v>
      </c>
      <c r="M3643" s="200">
        <v>1.1000000000000001</v>
      </c>
      <c r="N3643" s="201">
        <v>16</v>
      </c>
    </row>
    <row r="3644" spans="1:14">
      <c r="A3644" s="194">
        <v>41303.632881944446</v>
      </c>
      <c r="B3644" s="195">
        <v>2242</v>
      </c>
      <c r="C3644" s="194"/>
      <c r="D3644" s="194"/>
      <c r="E3644" s="198"/>
      <c r="G3644" s="202"/>
      <c r="J3644" s="195">
        <v>17</v>
      </c>
      <c r="K3644" s="204" t="s">
        <v>11</v>
      </c>
      <c r="L3644" s="199">
        <v>1</v>
      </c>
      <c r="M3644" s="200">
        <v>1.3</v>
      </c>
      <c r="N3644" s="201">
        <v>16</v>
      </c>
    </row>
    <row r="3645" spans="1:14">
      <c r="A3645" s="194">
        <v>41294.493622685186</v>
      </c>
      <c r="B3645" s="195">
        <v>2242</v>
      </c>
      <c r="C3645" s="194"/>
      <c r="D3645" s="194"/>
      <c r="E3645" s="198"/>
      <c r="G3645" s="202"/>
      <c r="J3645" s="195">
        <v>17</v>
      </c>
      <c r="K3645" s="204" t="s">
        <v>11</v>
      </c>
      <c r="L3645" s="199">
        <v>2</v>
      </c>
      <c r="M3645" s="200">
        <v>1.4</v>
      </c>
      <c r="N3645" s="201">
        <v>16</v>
      </c>
    </row>
    <row r="3646" spans="1:14">
      <c r="A3646" s="194">
        <v>41292.293020833335</v>
      </c>
      <c r="B3646" s="195">
        <v>2242</v>
      </c>
      <c r="C3646" s="194"/>
      <c r="D3646" s="194"/>
      <c r="E3646" s="198"/>
      <c r="G3646" s="202"/>
      <c r="J3646" s="195">
        <v>17</v>
      </c>
      <c r="K3646" s="204" t="s">
        <v>11</v>
      </c>
      <c r="L3646" s="199">
        <v>3</v>
      </c>
      <c r="M3646" s="200">
        <v>1.4</v>
      </c>
      <c r="N3646" s="201">
        <v>16</v>
      </c>
    </row>
    <row r="3647" spans="1:14">
      <c r="A3647" s="194">
        <v>41279.44358796296</v>
      </c>
      <c r="B3647" s="195">
        <v>2242</v>
      </c>
      <c r="C3647" s="194"/>
      <c r="D3647" s="194"/>
      <c r="E3647" s="198"/>
      <c r="G3647" s="202"/>
      <c r="J3647" s="195">
        <v>17</v>
      </c>
      <c r="K3647" s="204" t="s">
        <v>11</v>
      </c>
      <c r="L3647" s="199">
        <v>3</v>
      </c>
      <c r="M3647" s="200">
        <v>1.4</v>
      </c>
      <c r="N3647" s="201">
        <v>16</v>
      </c>
    </row>
    <row r="3648" spans="1:14">
      <c r="A3648" s="194">
        <v>41300.890370370369</v>
      </c>
      <c r="B3648" s="195">
        <v>2242</v>
      </c>
      <c r="C3648" s="194"/>
      <c r="D3648" s="194"/>
      <c r="E3648" s="198"/>
      <c r="G3648" s="202"/>
      <c r="J3648" s="195">
        <v>17</v>
      </c>
      <c r="K3648" s="204" t="s">
        <v>11</v>
      </c>
      <c r="L3648" s="199">
        <v>2</v>
      </c>
      <c r="M3648" s="200">
        <v>1.8</v>
      </c>
      <c r="N3648" s="201">
        <v>16</v>
      </c>
    </row>
    <row r="3649" spans="1:14">
      <c r="A3649" s="194">
        <v>41289.590358796297</v>
      </c>
      <c r="B3649" s="195">
        <v>2242</v>
      </c>
      <c r="C3649" s="194"/>
      <c r="D3649" s="194"/>
      <c r="E3649" s="198"/>
      <c r="G3649" s="202"/>
      <c r="J3649" s="195">
        <v>17</v>
      </c>
      <c r="K3649" s="204" t="s">
        <v>11</v>
      </c>
      <c r="L3649" s="199">
        <v>2</v>
      </c>
      <c r="M3649" s="200">
        <v>2</v>
      </c>
      <c r="N3649" s="201">
        <v>16</v>
      </c>
    </row>
    <row r="3650" spans="1:14">
      <c r="A3650" s="194">
        <v>41287.436319444445</v>
      </c>
      <c r="B3650" s="195">
        <v>2242</v>
      </c>
      <c r="C3650" s="194"/>
      <c r="D3650" s="194"/>
      <c r="E3650" s="198"/>
      <c r="G3650" s="202"/>
      <c r="J3650" s="195">
        <v>17</v>
      </c>
      <c r="K3650" s="204" t="s">
        <v>11</v>
      </c>
      <c r="L3650" s="199">
        <v>1</v>
      </c>
      <c r="M3650" s="200">
        <v>2.4</v>
      </c>
      <c r="N3650" s="201">
        <v>16</v>
      </c>
    </row>
    <row r="3651" spans="1:14">
      <c r="A3651" s="194">
        <v>41305.536724537036</v>
      </c>
      <c r="B3651" s="195">
        <v>2242</v>
      </c>
      <c r="C3651" s="194"/>
      <c r="D3651" s="194"/>
      <c r="E3651" s="198"/>
      <c r="G3651" s="202"/>
      <c r="J3651" s="195">
        <v>17</v>
      </c>
      <c r="K3651" s="204" t="s">
        <v>11</v>
      </c>
      <c r="L3651" s="199">
        <v>2</v>
      </c>
      <c r="M3651" s="200">
        <v>2.7</v>
      </c>
      <c r="N3651" s="201">
        <v>16</v>
      </c>
    </row>
    <row r="3652" spans="1:14">
      <c r="A3652" s="194">
        <v>41277.957118055558</v>
      </c>
      <c r="B3652" s="195">
        <v>2242</v>
      </c>
      <c r="C3652" s="194"/>
      <c r="D3652" s="194"/>
      <c r="E3652" s="198"/>
      <c r="G3652" s="202"/>
      <c r="J3652" s="195">
        <v>17</v>
      </c>
      <c r="K3652" s="204" t="s">
        <v>11</v>
      </c>
      <c r="L3652" s="199">
        <v>3</v>
      </c>
      <c r="M3652" s="200">
        <v>13</v>
      </c>
      <c r="N3652" s="201">
        <v>16</v>
      </c>
    </row>
    <row r="3653" spans="1:14">
      <c r="A3653" s="194">
        <v>41295.915532407409</v>
      </c>
      <c r="B3653" s="195">
        <v>2242</v>
      </c>
      <c r="C3653" s="194"/>
      <c r="D3653" s="194"/>
      <c r="E3653" s="198"/>
      <c r="G3653" s="202"/>
      <c r="J3653" s="195">
        <v>17</v>
      </c>
      <c r="K3653" s="204" t="s">
        <v>11</v>
      </c>
      <c r="L3653" s="199">
        <v>1</v>
      </c>
      <c r="M3653" s="200">
        <v>16.100000000000001</v>
      </c>
      <c r="N3653" s="201">
        <v>16</v>
      </c>
    </row>
    <row r="3654" spans="1:14">
      <c r="A3654" s="194">
        <v>41287.612337962964</v>
      </c>
      <c r="B3654" s="195">
        <v>2242</v>
      </c>
      <c r="C3654" s="194"/>
      <c r="D3654" s="194"/>
      <c r="E3654" s="198"/>
      <c r="G3654" s="202"/>
      <c r="J3654" s="195">
        <v>17</v>
      </c>
      <c r="K3654" s="204" t="s">
        <v>11</v>
      </c>
      <c r="L3654" s="199">
        <v>1</v>
      </c>
      <c r="M3654" s="200">
        <v>0.3</v>
      </c>
      <c r="N3654" s="201">
        <v>17</v>
      </c>
    </row>
    <row r="3655" spans="1:14">
      <c r="A3655" s="194">
        <v>41303.53297453704</v>
      </c>
      <c r="B3655" s="195">
        <v>2242</v>
      </c>
      <c r="C3655" s="194"/>
      <c r="D3655" s="194"/>
      <c r="E3655" s="198"/>
      <c r="G3655" s="202"/>
      <c r="J3655" s="195">
        <v>17</v>
      </c>
      <c r="K3655" s="204" t="s">
        <v>11</v>
      </c>
      <c r="L3655" s="199">
        <v>1</v>
      </c>
      <c r="M3655" s="200">
        <v>0.9</v>
      </c>
      <c r="N3655" s="201">
        <v>17</v>
      </c>
    </row>
    <row r="3656" spans="1:14">
      <c r="A3656" s="194">
        <v>41294.572789351849</v>
      </c>
      <c r="B3656" s="195">
        <v>2242</v>
      </c>
      <c r="C3656" s="194"/>
      <c r="D3656" s="194"/>
      <c r="E3656" s="198"/>
      <c r="G3656" s="202"/>
      <c r="J3656" s="195">
        <v>17</v>
      </c>
      <c r="K3656" s="204" t="s">
        <v>11</v>
      </c>
      <c r="L3656" s="199">
        <v>1</v>
      </c>
      <c r="M3656" s="200">
        <v>1.8</v>
      </c>
      <c r="N3656" s="201">
        <v>17</v>
      </c>
    </row>
    <row r="3657" spans="1:14">
      <c r="A3657" s="194">
        <v>41304.607083333336</v>
      </c>
      <c r="B3657" s="195">
        <v>2242</v>
      </c>
      <c r="C3657" s="194"/>
      <c r="D3657" s="194"/>
      <c r="E3657" s="198"/>
      <c r="G3657" s="202"/>
      <c r="J3657" s="195">
        <v>17</v>
      </c>
      <c r="K3657" s="204" t="s">
        <v>11</v>
      </c>
      <c r="L3657" s="199">
        <v>2</v>
      </c>
      <c r="M3657" s="200">
        <v>1.9</v>
      </c>
      <c r="N3657" s="201">
        <v>17</v>
      </c>
    </row>
    <row r="3658" spans="1:14">
      <c r="A3658" s="194">
        <v>41304.498761574076</v>
      </c>
      <c r="B3658" s="195">
        <v>2242</v>
      </c>
      <c r="C3658" s="194"/>
      <c r="D3658" s="194"/>
      <c r="E3658" s="198"/>
      <c r="G3658" s="202"/>
      <c r="J3658" s="195">
        <v>17</v>
      </c>
      <c r="K3658" s="204" t="s">
        <v>11</v>
      </c>
      <c r="L3658" s="199">
        <v>1</v>
      </c>
      <c r="M3658" s="200">
        <v>2.2999999999999998</v>
      </c>
      <c r="N3658" s="201">
        <v>17</v>
      </c>
    </row>
    <row r="3659" spans="1:14">
      <c r="A3659" s="194">
        <v>41290.544085648151</v>
      </c>
      <c r="B3659" s="195">
        <v>2242</v>
      </c>
      <c r="C3659" s="194"/>
      <c r="D3659" s="194"/>
      <c r="E3659" s="198"/>
      <c r="G3659" s="202"/>
      <c r="J3659" s="195">
        <v>17</v>
      </c>
      <c r="K3659" s="204" t="s">
        <v>11</v>
      </c>
      <c r="L3659" s="199">
        <v>1</v>
      </c>
      <c r="M3659" s="200">
        <v>3</v>
      </c>
      <c r="N3659" s="201">
        <v>17</v>
      </c>
    </row>
    <row r="3660" spans="1:14">
      <c r="A3660" s="194">
        <v>41295.28056712963</v>
      </c>
      <c r="B3660" s="195">
        <v>2242</v>
      </c>
      <c r="C3660" s="194"/>
      <c r="D3660" s="194"/>
      <c r="E3660" s="198"/>
      <c r="G3660" s="202"/>
      <c r="J3660" s="195">
        <v>17</v>
      </c>
      <c r="K3660" s="204" t="s">
        <v>11</v>
      </c>
      <c r="L3660" s="199">
        <v>1</v>
      </c>
      <c r="M3660" s="200">
        <v>3.6</v>
      </c>
      <c r="N3660" s="201">
        <v>17</v>
      </c>
    </row>
    <row r="3661" spans="1:14">
      <c r="A3661" s="194">
        <v>41276.499594907407</v>
      </c>
      <c r="B3661" s="195">
        <v>2242</v>
      </c>
      <c r="C3661" s="194"/>
      <c r="D3661" s="194"/>
      <c r="E3661" s="198"/>
      <c r="G3661" s="202"/>
      <c r="J3661" s="195">
        <v>17</v>
      </c>
      <c r="K3661" s="204" t="s">
        <v>11</v>
      </c>
      <c r="L3661" s="199">
        <v>3</v>
      </c>
      <c r="M3661" s="200">
        <v>5</v>
      </c>
      <c r="N3661" s="201">
        <v>17</v>
      </c>
    </row>
    <row r="3662" spans="1:14">
      <c r="A3662" s="194">
        <v>41280.917245370372</v>
      </c>
      <c r="B3662" s="195">
        <v>2242</v>
      </c>
      <c r="C3662" s="194"/>
      <c r="D3662" s="194"/>
      <c r="E3662" s="198"/>
      <c r="G3662" s="202"/>
      <c r="J3662" s="195">
        <v>17</v>
      </c>
      <c r="K3662" s="204" t="s">
        <v>11</v>
      </c>
      <c r="L3662" s="199">
        <v>3</v>
      </c>
      <c r="M3662" s="200">
        <v>6.9</v>
      </c>
      <c r="N3662" s="201">
        <v>17</v>
      </c>
    </row>
    <row r="3663" spans="1:14">
      <c r="A3663" s="194">
        <v>41298.52008101852</v>
      </c>
      <c r="B3663" s="195">
        <v>2242</v>
      </c>
      <c r="C3663" s="194"/>
      <c r="D3663" s="194"/>
      <c r="E3663" s="198"/>
      <c r="G3663" s="202"/>
      <c r="J3663" s="195">
        <v>17</v>
      </c>
      <c r="K3663" s="204" t="s">
        <v>11</v>
      </c>
      <c r="L3663" s="199">
        <v>3</v>
      </c>
      <c r="M3663" s="200">
        <v>7.4</v>
      </c>
      <c r="N3663" s="201">
        <v>17</v>
      </c>
    </row>
    <row r="3664" spans="1:14">
      <c r="A3664" s="194">
        <v>41277.541377314818</v>
      </c>
      <c r="B3664" s="195">
        <v>2242</v>
      </c>
      <c r="C3664" s="194"/>
      <c r="D3664" s="194"/>
      <c r="E3664" s="198"/>
      <c r="G3664" s="202"/>
      <c r="J3664" s="195">
        <v>17</v>
      </c>
      <c r="K3664" s="204" t="s">
        <v>11</v>
      </c>
      <c r="L3664" s="199">
        <v>3</v>
      </c>
      <c r="M3664" s="200">
        <v>15</v>
      </c>
      <c r="N3664" s="201">
        <v>17</v>
      </c>
    </row>
    <row r="3665" spans="1:14">
      <c r="A3665" s="194">
        <v>41292.595902777779</v>
      </c>
      <c r="B3665" s="195">
        <v>2242</v>
      </c>
      <c r="C3665" s="194"/>
      <c r="D3665" s="194"/>
      <c r="E3665" s="198"/>
      <c r="G3665" s="202"/>
      <c r="J3665" s="195">
        <v>17</v>
      </c>
      <c r="K3665" s="204" t="s">
        <v>11</v>
      </c>
      <c r="L3665" s="199">
        <v>2</v>
      </c>
      <c r="M3665" s="200">
        <v>0.5</v>
      </c>
      <c r="N3665" s="201">
        <v>18</v>
      </c>
    </row>
    <row r="3666" spans="1:14">
      <c r="A3666" s="194">
        <v>41301.711365740739</v>
      </c>
      <c r="B3666" s="195">
        <v>2242</v>
      </c>
      <c r="C3666" s="194"/>
      <c r="D3666" s="194"/>
      <c r="E3666" s="198"/>
      <c r="G3666" s="202"/>
      <c r="J3666" s="195">
        <v>17</v>
      </c>
      <c r="K3666" s="204" t="s">
        <v>11</v>
      </c>
      <c r="L3666" s="199">
        <v>1</v>
      </c>
      <c r="M3666" s="200">
        <v>0.7</v>
      </c>
      <c r="N3666" s="201">
        <v>18</v>
      </c>
    </row>
    <row r="3667" spans="1:14">
      <c r="A3667" s="194">
        <v>41301.576956018522</v>
      </c>
      <c r="B3667" s="195">
        <v>2242</v>
      </c>
      <c r="C3667" s="194"/>
      <c r="D3667" s="194"/>
      <c r="E3667" s="198"/>
      <c r="G3667" s="202"/>
      <c r="J3667" s="195">
        <v>17</v>
      </c>
      <c r="K3667" s="204" t="s">
        <v>11</v>
      </c>
      <c r="L3667" s="199">
        <v>3</v>
      </c>
      <c r="M3667" s="200">
        <v>1.3</v>
      </c>
      <c r="N3667" s="201">
        <v>19</v>
      </c>
    </row>
    <row r="3668" spans="1:14">
      <c r="A3668" s="194">
        <v>41300.717569444445</v>
      </c>
      <c r="B3668" s="195">
        <v>2242</v>
      </c>
      <c r="C3668" s="194"/>
      <c r="D3668" s="194"/>
      <c r="E3668" s="198"/>
      <c r="G3668" s="202"/>
      <c r="J3668" s="195">
        <v>17</v>
      </c>
      <c r="K3668" s="204" t="s">
        <v>11</v>
      </c>
      <c r="L3668" s="199">
        <v>2</v>
      </c>
      <c r="M3668" s="200">
        <v>0.3</v>
      </c>
      <c r="N3668" s="201">
        <v>20</v>
      </c>
    </row>
    <row r="3669" spans="1:14">
      <c r="A3669" s="194">
        <v>41288.010983796295</v>
      </c>
      <c r="B3669" s="195">
        <v>2242</v>
      </c>
      <c r="C3669" s="194"/>
      <c r="D3669" s="194"/>
      <c r="E3669" s="198"/>
      <c r="G3669" s="202"/>
      <c r="J3669" s="195">
        <v>17</v>
      </c>
      <c r="K3669" s="204" t="s">
        <v>11</v>
      </c>
      <c r="L3669" s="199">
        <v>3</v>
      </c>
      <c r="M3669" s="200">
        <v>24.4</v>
      </c>
      <c r="N3669" s="201">
        <v>20</v>
      </c>
    </row>
    <row r="3670" spans="1:14">
      <c r="A3670" s="194">
        <v>41279.516504629632</v>
      </c>
      <c r="B3670" s="195">
        <v>2242</v>
      </c>
      <c r="C3670" s="194"/>
      <c r="D3670" s="194"/>
      <c r="E3670" s="196" t="s">
        <v>1906</v>
      </c>
      <c r="G3670" s="202"/>
      <c r="J3670" s="195">
        <v>17</v>
      </c>
      <c r="K3670" s="204" t="s">
        <v>11</v>
      </c>
      <c r="L3670" s="199">
        <v>3</v>
      </c>
      <c r="M3670" s="200">
        <v>1.5</v>
      </c>
      <c r="N3670" s="201">
        <v>21</v>
      </c>
    </row>
    <row r="3671" spans="1:14">
      <c r="A3671" s="194">
        <v>41278.541261574072</v>
      </c>
      <c r="B3671" s="195">
        <v>2242</v>
      </c>
      <c r="C3671" s="194"/>
      <c r="D3671" s="194"/>
      <c r="E3671" s="198"/>
      <c r="G3671" s="202"/>
      <c r="J3671" s="195">
        <v>17</v>
      </c>
      <c r="K3671" s="204" t="s">
        <v>11</v>
      </c>
      <c r="L3671" s="199">
        <v>2</v>
      </c>
      <c r="M3671" s="200">
        <v>1</v>
      </c>
      <c r="N3671" s="201">
        <v>22</v>
      </c>
    </row>
    <row r="3672" spans="1:14">
      <c r="A3672" s="194">
        <v>41296.77039351852</v>
      </c>
      <c r="B3672" s="195">
        <v>2242</v>
      </c>
      <c r="C3672" s="194"/>
      <c r="D3672" s="194"/>
      <c r="E3672" s="198"/>
      <c r="G3672" s="202"/>
      <c r="J3672" s="195">
        <v>17</v>
      </c>
      <c r="K3672" s="204" t="s">
        <v>11</v>
      </c>
      <c r="L3672" s="199">
        <v>2</v>
      </c>
      <c r="M3672" s="200">
        <v>2.2999999999999998</v>
      </c>
      <c r="N3672" s="201">
        <v>24</v>
      </c>
    </row>
    <row r="3673" spans="1:14">
      <c r="A3673" s="194">
        <v>41284.521840277775</v>
      </c>
      <c r="B3673" s="195">
        <v>2242</v>
      </c>
      <c r="C3673" s="194"/>
      <c r="D3673" s="194"/>
      <c r="E3673" s="198"/>
      <c r="G3673" s="202"/>
      <c r="J3673" s="195">
        <v>17</v>
      </c>
      <c r="K3673" s="204" t="s">
        <v>11</v>
      </c>
      <c r="L3673" s="199">
        <v>3</v>
      </c>
      <c r="M3673" s="200">
        <v>0.5</v>
      </c>
      <c r="N3673" s="201">
        <v>29</v>
      </c>
    </row>
    <row r="3674" spans="1:14">
      <c r="A3674" s="194">
        <v>41303.202430555553</v>
      </c>
      <c r="B3674" s="195">
        <v>2242</v>
      </c>
      <c r="C3674" s="194"/>
      <c r="D3674" s="194"/>
      <c r="E3674" s="198"/>
      <c r="G3674" s="202"/>
      <c r="J3674" s="195">
        <v>18</v>
      </c>
      <c r="K3674" s="204" t="s">
        <v>5</v>
      </c>
      <c r="L3674" s="199">
        <v>1</v>
      </c>
      <c r="M3674" s="200">
        <v>1.5</v>
      </c>
      <c r="N3674" s="201">
        <v>33</v>
      </c>
    </row>
    <row r="3675" spans="1:14">
      <c r="A3675" s="194">
        <v>41294.570694444446</v>
      </c>
      <c r="B3675" s="195">
        <v>2242</v>
      </c>
      <c r="C3675" s="194"/>
      <c r="D3675" s="194"/>
      <c r="E3675" s="196" t="s">
        <v>1606</v>
      </c>
      <c r="G3675" s="202"/>
      <c r="J3675" s="195">
        <v>24</v>
      </c>
      <c r="K3675" s="204" t="s">
        <v>25</v>
      </c>
      <c r="L3675" s="199">
        <v>2</v>
      </c>
      <c r="M3675" s="200">
        <v>0.4</v>
      </c>
      <c r="N3675" s="201">
        <v>32</v>
      </c>
    </row>
    <row r="3676" spans="1:14">
      <c r="A3676" s="194">
        <v>41286.637349537035</v>
      </c>
      <c r="B3676" s="195">
        <v>2242</v>
      </c>
      <c r="C3676" s="194"/>
      <c r="D3676" s="194"/>
      <c r="E3676" s="196" t="s">
        <v>2154</v>
      </c>
      <c r="G3676" s="202"/>
      <c r="J3676" s="195">
        <v>24</v>
      </c>
      <c r="K3676" s="204" t="s">
        <v>25</v>
      </c>
      <c r="L3676" s="199">
        <v>2</v>
      </c>
      <c r="M3676" s="200">
        <v>0.4</v>
      </c>
      <c r="N3676" s="201">
        <v>35</v>
      </c>
    </row>
    <row r="3677" spans="1:14">
      <c r="A3677" s="194">
        <v>41293.063506944447</v>
      </c>
      <c r="B3677" s="195">
        <v>2242</v>
      </c>
      <c r="C3677" s="194"/>
      <c r="D3677" s="194"/>
      <c r="E3677" s="196" t="s">
        <v>1823</v>
      </c>
      <c r="G3677" s="202"/>
      <c r="J3677" s="195">
        <v>24</v>
      </c>
      <c r="K3677" s="204" t="s">
        <v>25</v>
      </c>
      <c r="L3677" s="199">
        <v>1</v>
      </c>
      <c r="M3677" s="200">
        <v>0.6</v>
      </c>
      <c r="N3677" s="201">
        <v>41</v>
      </c>
    </row>
    <row r="3678" spans="1:14">
      <c r="A3678" s="194">
        <v>41275.026423611111</v>
      </c>
      <c r="B3678" s="195">
        <v>2242</v>
      </c>
      <c r="C3678" s="194"/>
      <c r="D3678" s="194"/>
      <c r="E3678" s="196" t="s">
        <v>1890</v>
      </c>
      <c r="G3678" s="202"/>
      <c r="J3678" s="195">
        <v>29</v>
      </c>
      <c r="K3678" s="204" t="s">
        <v>39</v>
      </c>
      <c r="L3678" s="199">
        <v>2</v>
      </c>
      <c r="M3678" s="200">
        <v>2.6</v>
      </c>
      <c r="N3678" s="201">
        <v>30</v>
      </c>
    </row>
    <row r="3679" spans="1:14">
      <c r="A3679" s="194">
        <v>41296.773506944446</v>
      </c>
      <c r="B3679" s="195">
        <v>2242</v>
      </c>
      <c r="C3679" s="194"/>
      <c r="D3679" s="194"/>
      <c r="E3679" s="196" t="s">
        <v>1780</v>
      </c>
      <c r="G3679" s="202"/>
      <c r="J3679" s="195">
        <v>29</v>
      </c>
      <c r="K3679" s="204" t="s">
        <v>39</v>
      </c>
      <c r="L3679" s="199">
        <v>1</v>
      </c>
      <c r="M3679" s="200">
        <v>1.3</v>
      </c>
      <c r="N3679" s="201">
        <v>33</v>
      </c>
    </row>
    <row r="3680" spans="1:14">
      <c r="A3680" s="194">
        <v>41296.283645833333</v>
      </c>
      <c r="B3680" s="195">
        <v>2242</v>
      </c>
      <c r="C3680" s="194"/>
      <c r="D3680" s="194"/>
      <c r="E3680" s="196" t="s">
        <v>1794</v>
      </c>
      <c r="G3680" s="202"/>
      <c r="J3680" s="195">
        <v>29</v>
      </c>
      <c r="K3680" s="204" t="s">
        <v>39</v>
      </c>
      <c r="L3680" s="199">
        <v>2</v>
      </c>
      <c r="M3680" s="200">
        <v>0.7</v>
      </c>
      <c r="N3680" s="201">
        <v>42</v>
      </c>
    </row>
    <row r="3681" spans="1:14">
      <c r="A3681" s="194">
        <v>41285.183171296296</v>
      </c>
      <c r="B3681" s="195">
        <v>2242</v>
      </c>
      <c r="C3681" s="194"/>
      <c r="D3681" s="194"/>
      <c r="E3681" s="196" t="s">
        <v>2053</v>
      </c>
      <c r="G3681" s="202"/>
      <c r="J3681" s="195">
        <v>29</v>
      </c>
      <c r="K3681" s="204" t="s">
        <v>39</v>
      </c>
      <c r="L3681" s="199">
        <v>2</v>
      </c>
      <c r="M3681" s="200">
        <v>22.7</v>
      </c>
      <c r="N3681" s="201">
        <v>42</v>
      </c>
    </row>
    <row r="3682" spans="1:14">
      <c r="A3682" s="194">
        <v>41290.797766203701</v>
      </c>
      <c r="B3682" s="195">
        <v>2242</v>
      </c>
      <c r="C3682" s="194"/>
      <c r="D3682" s="194"/>
      <c r="E3682" s="198"/>
      <c r="G3682" s="202"/>
      <c r="J3682" s="195">
        <v>43</v>
      </c>
      <c r="K3682" s="204" t="s">
        <v>1596</v>
      </c>
      <c r="L3682" s="199">
        <v>3</v>
      </c>
      <c r="M3682" s="200">
        <v>0.6</v>
      </c>
      <c r="N3682" s="201">
        <v>13</v>
      </c>
    </row>
    <row r="3683" spans="1:14">
      <c r="A3683" s="194">
        <v>41300.398854166669</v>
      </c>
      <c r="B3683" s="195">
        <v>2242</v>
      </c>
      <c r="C3683" s="194"/>
      <c r="D3683" s="194"/>
      <c r="E3683" s="198"/>
      <c r="G3683" s="202"/>
      <c r="J3683" s="195">
        <v>43</v>
      </c>
      <c r="K3683" s="204" t="s">
        <v>1596</v>
      </c>
      <c r="L3683" s="199">
        <v>3</v>
      </c>
      <c r="M3683" s="200">
        <v>0.8</v>
      </c>
      <c r="N3683" s="201">
        <v>14</v>
      </c>
    </row>
    <row r="3684" spans="1:14">
      <c r="A3684" s="194">
        <v>41294.718611111108</v>
      </c>
      <c r="B3684" s="195">
        <v>2242</v>
      </c>
      <c r="C3684" s="194"/>
      <c r="D3684" s="194"/>
      <c r="E3684" s="198"/>
      <c r="G3684" s="202"/>
      <c r="J3684" s="195">
        <v>43</v>
      </c>
      <c r="K3684" s="204" t="s">
        <v>1596</v>
      </c>
      <c r="L3684" s="199">
        <v>3</v>
      </c>
      <c r="M3684" s="200">
        <v>0.4</v>
      </c>
      <c r="N3684" s="201">
        <v>15</v>
      </c>
    </row>
    <row r="3685" spans="1:14">
      <c r="A3685" s="194">
        <v>41290.746412037035</v>
      </c>
      <c r="B3685" s="195">
        <v>2242</v>
      </c>
      <c r="C3685" s="194"/>
      <c r="D3685" s="194"/>
      <c r="E3685" s="198"/>
      <c r="G3685" s="202"/>
      <c r="J3685" s="195">
        <v>43</v>
      </c>
      <c r="K3685" s="204" t="s">
        <v>1596</v>
      </c>
      <c r="L3685" s="199">
        <v>3</v>
      </c>
      <c r="M3685" s="200">
        <v>0.6</v>
      </c>
      <c r="N3685" s="201">
        <v>15</v>
      </c>
    </row>
    <row r="3686" spans="1:14">
      <c r="A3686" s="194">
        <v>41280.511273148149</v>
      </c>
      <c r="B3686" s="195">
        <v>2242</v>
      </c>
      <c r="C3686" s="194"/>
      <c r="D3686" s="194"/>
      <c r="E3686" s="198"/>
      <c r="G3686" s="202"/>
      <c r="J3686" s="195">
        <v>43</v>
      </c>
      <c r="K3686" s="204" t="s">
        <v>1596</v>
      </c>
      <c r="L3686" s="199">
        <v>3</v>
      </c>
      <c r="M3686" s="200">
        <v>0.6</v>
      </c>
      <c r="N3686" s="201">
        <v>15</v>
      </c>
    </row>
    <row r="3687" spans="1:14">
      <c r="A3687" s="194">
        <v>41303.43854166667</v>
      </c>
      <c r="B3687" s="195">
        <v>2242</v>
      </c>
      <c r="C3687" s="194"/>
      <c r="D3687" s="194"/>
      <c r="E3687" s="198"/>
      <c r="G3687" s="202"/>
      <c r="J3687" s="195">
        <v>43</v>
      </c>
      <c r="K3687" s="204" t="s">
        <v>1596</v>
      </c>
      <c r="L3687" s="199">
        <v>3</v>
      </c>
      <c r="M3687" s="200">
        <v>0.9</v>
      </c>
      <c r="N3687" s="201">
        <v>15</v>
      </c>
    </row>
    <row r="3688" spans="1:14">
      <c r="A3688" s="194">
        <v>41284.783888888887</v>
      </c>
      <c r="B3688" s="195">
        <v>2242</v>
      </c>
      <c r="C3688" s="194"/>
      <c r="D3688" s="194"/>
      <c r="E3688" s="198"/>
      <c r="G3688" s="202"/>
      <c r="J3688" s="195">
        <v>43</v>
      </c>
      <c r="K3688" s="204" t="s">
        <v>1596</v>
      </c>
      <c r="L3688" s="199">
        <v>3</v>
      </c>
      <c r="M3688" s="200">
        <v>0.9</v>
      </c>
      <c r="N3688" s="201">
        <v>15</v>
      </c>
    </row>
    <row r="3689" spans="1:14">
      <c r="A3689" s="194">
        <v>41302.675613425927</v>
      </c>
      <c r="B3689" s="195">
        <v>2242</v>
      </c>
      <c r="C3689" s="194"/>
      <c r="D3689" s="194"/>
      <c r="E3689" s="198"/>
      <c r="G3689" s="202"/>
      <c r="J3689" s="195">
        <v>43</v>
      </c>
      <c r="K3689" s="204" t="s">
        <v>1596</v>
      </c>
      <c r="L3689" s="199">
        <v>3</v>
      </c>
      <c r="M3689" s="200">
        <v>2.6</v>
      </c>
      <c r="N3689" s="201">
        <v>15</v>
      </c>
    </row>
    <row r="3690" spans="1:14">
      <c r="A3690" s="194">
        <v>41276.841435185182</v>
      </c>
      <c r="B3690" s="195">
        <v>2242</v>
      </c>
      <c r="C3690" s="194"/>
      <c r="D3690" s="194"/>
      <c r="E3690" s="198"/>
      <c r="G3690" s="202"/>
      <c r="J3690" s="195">
        <v>43</v>
      </c>
      <c r="K3690" s="204" t="s">
        <v>1596</v>
      </c>
      <c r="L3690" s="199">
        <v>3</v>
      </c>
      <c r="M3690" s="200">
        <v>18.3</v>
      </c>
      <c r="N3690" s="201">
        <v>15</v>
      </c>
    </row>
    <row r="3691" spans="1:14">
      <c r="A3691" s="194">
        <v>41303.241562499999</v>
      </c>
      <c r="B3691" s="195">
        <v>2242</v>
      </c>
      <c r="C3691" s="194"/>
      <c r="D3691" s="194"/>
      <c r="E3691" s="198"/>
      <c r="G3691" s="202"/>
      <c r="J3691" s="195">
        <v>43</v>
      </c>
      <c r="K3691" s="204" t="s">
        <v>1596</v>
      </c>
      <c r="L3691" s="199">
        <v>3</v>
      </c>
      <c r="M3691" s="200">
        <v>20.9</v>
      </c>
      <c r="N3691" s="201">
        <v>15</v>
      </c>
    </row>
    <row r="3692" spans="1:14">
      <c r="A3692" s="194">
        <v>41302.524618055555</v>
      </c>
      <c r="B3692" s="195">
        <v>2242</v>
      </c>
      <c r="C3692" s="194"/>
      <c r="D3692" s="194"/>
      <c r="E3692" s="198"/>
      <c r="G3692" s="202"/>
      <c r="J3692" s="195">
        <v>43</v>
      </c>
      <c r="K3692" s="204" t="s">
        <v>1596</v>
      </c>
      <c r="L3692" s="199">
        <v>3</v>
      </c>
      <c r="M3692" s="200">
        <v>0.3</v>
      </c>
      <c r="N3692" s="201">
        <v>16</v>
      </c>
    </row>
    <row r="3693" spans="1:14">
      <c r="A3693" s="194">
        <v>41303.662048611113</v>
      </c>
      <c r="B3693" s="195">
        <v>2242</v>
      </c>
      <c r="C3693" s="194"/>
      <c r="D3693" s="194"/>
      <c r="E3693" s="198"/>
      <c r="G3693" s="202"/>
      <c r="J3693" s="195">
        <v>43</v>
      </c>
      <c r="K3693" s="204" t="s">
        <v>1596</v>
      </c>
      <c r="L3693" s="199">
        <v>3</v>
      </c>
      <c r="M3693" s="200">
        <v>0.4</v>
      </c>
      <c r="N3693" s="201">
        <v>16</v>
      </c>
    </row>
    <row r="3694" spans="1:14">
      <c r="A3694" s="194">
        <v>41278.700532407405</v>
      </c>
      <c r="B3694" s="195">
        <v>2242</v>
      </c>
      <c r="C3694" s="194"/>
      <c r="D3694" s="194"/>
      <c r="E3694" s="198"/>
      <c r="G3694" s="202"/>
      <c r="J3694" s="195">
        <v>43</v>
      </c>
      <c r="K3694" s="204" t="s">
        <v>1596</v>
      </c>
      <c r="L3694" s="199">
        <v>3</v>
      </c>
      <c r="M3694" s="200">
        <v>0.4</v>
      </c>
      <c r="N3694" s="201">
        <v>16</v>
      </c>
    </row>
    <row r="3695" spans="1:14">
      <c r="A3695" s="194">
        <v>41278.51903935185</v>
      </c>
      <c r="B3695" s="195">
        <v>2242</v>
      </c>
      <c r="C3695" s="194"/>
      <c r="D3695" s="194"/>
      <c r="E3695" s="198"/>
      <c r="G3695" s="202"/>
      <c r="J3695" s="195">
        <v>43</v>
      </c>
      <c r="K3695" s="204" t="s">
        <v>1596</v>
      </c>
      <c r="L3695" s="199">
        <v>3</v>
      </c>
      <c r="M3695" s="200">
        <v>0.5</v>
      </c>
      <c r="N3695" s="201">
        <v>16</v>
      </c>
    </row>
    <row r="3696" spans="1:14">
      <c r="A3696" s="194">
        <v>41289.595902777779</v>
      </c>
      <c r="B3696" s="195">
        <v>2242</v>
      </c>
      <c r="C3696" s="194"/>
      <c r="D3696" s="194"/>
      <c r="E3696" s="198"/>
      <c r="G3696" s="202"/>
      <c r="J3696" s="195">
        <v>43</v>
      </c>
      <c r="K3696" s="204" t="s">
        <v>1596</v>
      </c>
      <c r="L3696" s="199">
        <v>3</v>
      </c>
      <c r="M3696" s="200">
        <v>0.6</v>
      </c>
      <c r="N3696" s="201">
        <v>16</v>
      </c>
    </row>
    <row r="3697" spans="1:14">
      <c r="A3697" s="194">
        <v>41287.808888888889</v>
      </c>
      <c r="B3697" s="195">
        <v>2242</v>
      </c>
      <c r="C3697" s="194"/>
      <c r="D3697" s="194"/>
      <c r="E3697" s="198"/>
      <c r="G3697" s="202"/>
      <c r="J3697" s="195">
        <v>43</v>
      </c>
      <c r="K3697" s="204" t="s">
        <v>1596</v>
      </c>
      <c r="L3697" s="199">
        <v>3</v>
      </c>
      <c r="M3697" s="200">
        <v>0.7</v>
      </c>
      <c r="N3697" s="201">
        <v>16</v>
      </c>
    </row>
    <row r="3698" spans="1:14">
      <c r="A3698" s="194">
        <v>41289.723495370374</v>
      </c>
      <c r="B3698" s="195">
        <v>2242</v>
      </c>
      <c r="C3698" s="194"/>
      <c r="D3698" s="194"/>
      <c r="E3698" s="198"/>
      <c r="G3698" s="202"/>
      <c r="J3698" s="195">
        <v>43</v>
      </c>
      <c r="K3698" s="204" t="s">
        <v>1596</v>
      </c>
      <c r="L3698" s="199">
        <v>3</v>
      </c>
      <c r="M3698" s="200">
        <v>0.8</v>
      </c>
      <c r="N3698" s="201">
        <v>16</v>
      </c>
    </row>
    <row r="3699" spans="1:14">
      <c r="A3699" s="194">
        <v>41284.597766203704</v>
      </c>
      <c r="B3699" s="195">
        <v>2242</v>
      </c>
      <c r="C3699" s="194"/>
      <c r="D3699" s="194"/>
      <c r="E3699" s="198"/>
      <c r="G3699" s="202"/>
      <c r="J3699" s="195">
        <v>43</v>
      </c>
      <c r="K3699" s="204" t="s">
        <v>1596</v>
      </c>
      <c r="L3699" s="199">
        <v>3</v>
      </c>
      <c r="M3699" s="200">
        <v>0.8</v>
      </c>
      <c r="N3699" s="201">
        <v>16</v>
      </c>
    </row>
    <row r="3700" spans="1:14">
      <c r="A3700" s="194">
        <v>41295.448703703703</v>
      </c>
      <c r="B3700" s="195">
        <v>2242</v>
      </c>
      <c r="C3700" s="194"/>
      <c r="D3700" s="194"/>
      <c r="E3700" s="198"/>
      <c r="G3700" s="202"/>
      <c r="J3700" s="195">
        <v>43</v>
      </c>
      <c r="K3700" s="204" t="s">
        <v>1596</v>
      </c>
      <c r="L3700" s="199">
        <v>3</v>
      </c>
      <c r="M3700" s="200">
        <v>0.9</v>
      </c>
      <c r="N3700" s="201">
        <v>16</v>
      </c>
    </row>
    <row r="3701" spans="1:14">
      <c r="A3701" s="194">
        <v>41275.474560185183</v>
      </c>
      <c r="B3701" s="195">
        <v>2242</v>
      </c>
      <c r="C3701" s="194"/>
      <c r="D3701" s="194"/>
      <c r="E3701" s="198"/>
      <c r="G3701" s="202"/>
      <c r="J3701" s="195">
        <v>43</v>
      </c>
      <c r="K3701" s="204" t="s">
        <v>1596</v>
      </c>
      <c r="L3701" s="199">
        <v>3</v>
      </c>
      <c r="M3701" s="200">
        <v>1</v>
      </c>
      <c r="N3701" s="201">
        <v>16</v>
      </c>
    </row>
    <row r="3702" spans="1:14">
      <c r="A3702" s="194">
        <v>41295.605173611111</v>
      </c>
      <c r="B3702" s="195">
        <v>2242</v>
      </c>
      <c r="C3702" s="194"/>
      <c r="D3702" s="194"/>
      <c r="E3702" s="198"/>
      <c r="G3702" s="202"/>
      <c r="J3702" s="195">
        <v>43</v>
      </c>
      <c r="K3702" s="204" t="s">
        <v>1596</v>
      </c>
      <c r="L3702" s="199">
        <v>3</v>
      </c>
      <c r="M3702" s="200">
        <v>1.2</v>
      </c>
      <c r="N3702" s="201">
        <v>16</v>
      </c>
    </row>
    <row r="3703" spans="1:14">
      <c r="A3703" s="194">
        <v>41304.671446759261</v>
      </c>
      <c r="B3703" s="195">
        <v>2242</v>
      </c>
      <c r="C3703" s="194"/>
      <c r="D3703" s="194"/>
      <c r="E3703" s="198"/>
      <c r="G3703" s="202"/>
      <c r="J3703" s="195">
        <v>43</v>
      </c>
      <c r="K3703" s="204" t="s">
        <v>1596</v>
      </c>
      <c r="L3703" s="199">
        <v>3</v>
      </c>
      <c r="M3703" s="200">
        <v>1.3</v>
      </c>
      <c r="N3703" s="201">
        <v>16</v>
      </c>
    </row>
    <row r="3704" spans="1:14">
      <c r="A3704" s="194">
        <v>41305.528379629628</v>
      </c>
      <c r="B3704" s="195">
        <v>2242</v>
      </c>
      <c r="C3704" s="194"/>
      <c r="D3704" s="194"/>
      <c r="E3704" s="198"/>
      <c r="G3704" s="202"/>
      <c r="J3704" s="195">
        <v>43</v>
      </c>
      <c r="K3704" s="204" t="s">
        <v>1596</v>
      </c>
      <c r="L3704" s="199">
        <v>3</v>
      </c>
      <c r="M3704" s="200">
        <v>1.4</v>
      </c>
      <c r="N3704" s="201">
        <v>16</v>
      </c>
    </row>
    <row r="3705" spans="1:14">
      <c r="A3705" s="194">
        <v>41287.465462962966</v>
      </c>
      <c r="B3705" s="195">
        <v>2242</v>
      </c>
      <c r="C3705" s="194"/>
      <c r="D3705" s="194"/>
      <c r="E3705" s="198"/>
      <c r="G3705" s="202"/>
      <c r="J3705" s="195">
        <v>43</v>
      </c>
      <c r="K3705" s="204" t="s">
        <v>1596</v>
      </c>
      <c r="L3705" s="199">
        <v>3</v>
      </c>
      <c r="M3705" s="200">
        <v>1.4</v>
      </c>
      <c r="N3705" s="201">
        <v>16</v>
      </c>
    </row>
    <row r="3706" spans="1:14">
      <c r="A3706" s="194">
        <v>41278.940324074072</v>
      </c>
      <c r="B3706" s="195">
        <v>2242</v>
      </c>
      <c r="C3706" s="194"/>
      <c r="D3706" s="194"/>
      <c r="E3706" s="198"/>
      <c r="G3706" s="202"/>
      <c r="J3706" s="195">
        <v>43</v>
      </c>
      <c r="K3706" s="204" t="s">
        <v>1596</v>
      </c>
      <c r="L3706" s="199">
        <v>3</v>
      </c>
      <c r="M3706" s="200">
        <v>1.4</v>
      </c>
      <c r="N3706" s="201">
        <v>16</v>
      </c>
    </row>
    <row r="3707" spans="1:14">
      <c r="A3707" s="194">
        <v>41296.884814814817</v>
      </c>
      <c r="B3707" s="195">
        <v>2242</v>
      </c>
      <c r="C3707" s="194"/>
      <c r="D3707" s="194"/>
      <c r="E3707" s="198"/>
      <c r="G3707" s="202"/>
      <c r="J3707" s="195">
        <v>43</v>
      </c>
      <c r="K3707" s="204" t="s">
        <v>1596</v>
      </c>
      <c r="L3707" s="199">
        <v>3</v>
      </c>
      <c r="M3707" s="200">
        <v>1.6</v>
      </c>
      <c r="N3707" s="201">
        <v>16</v>
      </c>
    </row>
    <row r="3708" spans="1:14">
      <c r="A3708" s="194">
        <v>41296.416307870371</v>
      </c>
      <c r="B3708" s="195">
        <v>2242</v>
      </c>
      <c r="C3708" s="194"/>
      <c r="D3708" s="194"/>
      <c r="E3708" s="198"/>
      <c r="G3708" s="202"/>
      <c r="J3708" s="195">
        <v>43</v>
      </c>
      <c r="K3708" s="204" t="s">
        <v>1596</v>
      </c>
      <c r="L3708" s="199">
        <v>3</v>
      </c>
      <c r="M3708" s="200">
        <v>1.6</v>
      </c>
      <c r="N3708" s="201">
        <v>16</v>
      </c>
    </row>
    <row r="3709" spans="1:14">
      <c r="A3709" s="194">
        <v>41275.926423611112</v>
      </c>
      <c r="B3709" s="195">
        <v>2242</v>
      </c>
      <c r="C3709" s="194"/>
      <c r="D3709" s="194"/>
      <c r="E3709" s="198"/>
      <c r="G3709" s="202"/>
      <c r="J3709" s="195">
        <v>43</v>
      </c>
      <c r="K3709" s="204" t="s">
        <v>1596</v>
      </c>
      <c r="L3709" s="199">
        <v>3</v>
      </c>
      <c r="M3709" s="200">
        <v>1.6</v>
      </c>
      <c r="N3709" s="201">
        <v>16</v>
      </c>
    </row>
    <row r="3710" spans="1:14">
      <c r="A3710" s="194">
        <v>41295.385729166665</v>
      </c>
      <c r="B3710" s="195">
        <v>2242</v>
      </c>
      <c r="C3710" s="194"/>
      <c r="D3710" s="194"/>
      <c r="E3710" s="198"/>
      <c r="G3710" s="202"/>
      <c r="J3710" s="195">
        <v>43</v>
      </c>
      <c r="K3710" s="204" t="s">
        <v>1596</v>
      </c>
      <c r="L3710" s="199">
        <v>3</v>
      </c>
      <c r="M3710" s="200">
        <v>1.9</v>
      </c>
      <c r="N3710" s="201">
        <v>16</v>
      </c>
    </row>
    <row r="3711" spans="1:14">
      <c r="A3711" s="194">
        <v>41289.484803240739</v>
      </c>
      <c r="B3711" s="195">
        <v>2242</v>
      </c>
      <c r="C3711" s="194"/>
      <c r="D3711" s="194"/>
      <c r="E3711" s="198"/>
      <c r="G3711" s="202"/>
      <c r="J3711" s="195">
        <v>43</v>
      </c>
      <c r="K3711" s="204" t="s">
        <v>1596</v>
      </c>
      <c r="L3711" s="199">
        <v>3</v>
      </c>
      <c r="M3711" s="200">
        <v>2.2000000000000002</v>
      </c>
      <c r="N3711" s="201">
        <v>16</v>
      </c>
    </row>
    <row r="3712" spans="1:14">
      <c r="A3712" s="194">
        <v>41304.399699074071</v>
      </c>
      <c r="B3712" s="195">
        <v>2242</v>
      </c>
      <c r="C3712" s="194"/>
      <c r="D3712" s="194"/>
      <c r="E3712" s="198"/>
      <c r="G3712" s="202"/>
      <c r="J3712" s="195">
        <v>43</v>
      </c>
      <c r="K3712" s="204" t="s">
        <v>1596</v>
      </c>
      <c r="L3712" s="199">
        <v>3</v>
      </c>
      <c r="M3712" s="200">
        <v>2.4</v>
      </c>
      <c r="N3712" s="201">
        <v>16</v>
      </c>
    </row>
    <row r="3713" spans="1:14">
      <c r="A3713" s="194">
        <v>41286.521724537037</v>
      </c>
      <c r="B3713" s="195">
        <v>2242</v>
      </c>
      <c r="C3713" s="194"/>
      <c r="D3713" s="194"/>
      <c r="E3713" s="198"/>
      <c r="G3713" s="202"/>
      <c r="J3713" s="195">
        <v>43</v>
      </c>
      <c r="K3713" s="204" t="s">
        <v>1596</v>
      </c>
      <c r="L3713" s="199">
        <v>3</v>
      </c>
      <c r="M3713" s="200">
        <v>2.4</v>
      </c>
      <c r="N3713" s="201">
        <v>16</v>
      </c>
    </row>
    <row r="3714" spans="1:14">
      <c r="A3714" s="194">
        <v>41302.369097222225</v>
      </c>
      <c r="B3714" s="195">
        <v>2242</v>
      </c>
      <c r="C3714" s="194"/>
      <c r="D3714" s="194"/>
      <c r="E3714" s="198"/>
      <c r="G3714" s="202"/>
      <c r="J3714" s="195">
        <v>43</v>
      </c>
      <c r="K3714" s="204" t="s">
        <v>1596</v>
      </c>
      <c r="L3714" s="199">
        <v>3</v>
      </c>
      <c r="M3714" s="200">
        <v>3.7</v>
      </c>
      <c r="N3714" s="201">
        <v>16</v>
      </c>
    </row>
    <row r="3715" spans="1:14">
      <c r="A3715" s="194">
        <v>41279.956087962964</v>
      </c>
      <c r="B3715" s="195">
        <v>2242</v>
      </c>
      <c r="C3715" s="194"/>
      <c r="D3715" s="194"/>
      <c r="E3715" s="198"/>
      <c r="G3715" s="202"/>
      <c r="J3715" s="195">
        <v>43</v>
      </c>
      <c r="K3715" s="204" t="s">
        <v>1596</v>
      </c>
      <c r="L3715" s="199">
        <v>3</v>
      </c>
      <c r="M3715" s="200">
        <v>3.9</v>
      </c>
      <c r="N3715" s="201">
        <v>16</v>
      </c>
    </row>
    <row r="3716" spans="1:14">
      <c r="A3716" s="194">
        <v>41304.484895833331</v>
      </c>
      <c r="B3716" s="195">
        <v>2242</v>
      </c>
      <c r="C3716" s="194"/>
      <c r="D3716" s="194"/>
      <c r="E3716" s="198"/>
      <c r="G3716" s="202"/>
      <c r="J3716" s="195">
        <v>43</v>
      </c>
      <c r="K3716" s="204" t="s">
        <v>1596</v>
      </c>
      <c r="L3716" s="199">
        <v>3</v>
      </c>
      <c r="M3716" s="200">
        <v>4</v>
      </c>
      <c r="N3716" s="201">
        <v>16</v>
      </c>
    </row>
    <row r="3717" spans="1:14">
      <c r="A3717" s="194">
        <v>41278.245925925927</v>
      </c>
      <c r="B3717" s="195">
        <v>2242</v>
      </c>
      <c r="C3717" s="194"/>
      <c r="D3717" s="194"/>
      <c r="E3717" s="198"/>
      <c r="G3717" s="202"/>
      <c r="J3717" s="195">
        <v>43</v>
      </c>
      <c r="K3717" s="204" t="s">
        <v>1596</v>
      </c>
      <c r="L3717" s="199">
        <v>3</v>
      </c>
      <c r="M3717" s="200">
        <v>5.5</v>
      </c>
      <c r="N3717" s="201">
        <v>16</v>
      </c>
    </row>
    <row r="3718" spans="1:14">
      <c r="A3718" s="194">
        <v>41290.807118055556</v>
      </c>
      <c r="B3718" s="195">
        <v>2242</v>
      </c>
      <c r="C3718" s="194"/>
      <c r="D3718" s="194"/>
      <c r="E3718" s="198"/>
      <c r="G3718" s="202"/>
      <c r="J3718" s="195">
        <v>43</v>
      </c>
      <c r="K3718" s="204" t="s">
        <v>1596</v>
      </c>
      <c r="L3718" s="199">
        <v>3</v>
      </c>
      <c r="M3718" s="200">
        <v>9.4</v>
      </c>
      <c r="N3718" s="201">
        <v>16</v>
      </c>
    </row>
    <row r="3719" spans="1:14">
      <c r="A3719" s="194">
        <v>41286.365671296298</v>
      </c>
      <c r="B3719" s="195">
        <v>2242</v>
      </c>
      <c r="C3719" s="194"/>
      <c r="D3719" s="194"/>
      <c r="E3719" s="198"/>
      <c r="G3719" s="202"/>
      <c r="J3719" s="195">
        <v>43</v>
      </c>
      <c r="K3719" s="204" t="s">
        <v>1596</v>
      </c>
      <c r="L3719" s="199">
        <v>3</v>
      </c>
      <c r="M3719" s="200">
        <v>29.8</v>
      </c>
      <c r="N3719" s="201">
        <v>16</v>
      </c>
    </row>
    <row r="3720" spans="1:14">
      <c r="A3720" s="194">
        <v>41292.494062500002</v>
      </c>
      <c r="B3720" s="195">
        <v>2242</v>
      </c>
      <c r="C3720" s="194"/>
      <c r="D3720" s="194"/>
      <c r="E3720" s="198"/>
      <c r="G3720" s="202"/>
      <c r="J3720" s="195">
        <v>43</v>
      </c>
      <c r="K3720" s="204" t="s">
        <v>1596</v>
      </c>
      <c r="L3720" s="199">
        <v>3</v>
      </c>
      <c r="M3720" s="200">
        <v>0.3</v>
      </c>
      <c r="N3720" s="201">
        <v>17</v>
      </c>
    </row>
    <row r="3721" spans="1:14">
      <c r="A3721" s="194">
        <v>41294.536319444444</v>
      </c>
      <c r="B3721" s="195">
        <v>2242</v>
      </c>
      <c r="C3721" s="194"/>
      <c r="D3721" s="194"/>
      <c r="E3721" s="198"/>
      <c r="G3721" s="202"/>
      <c r="J3721" s="195">
        <v>43</v>
      </c>
      <c r="K3721" s="204" t="s">
        <v>1596</v>
      </c>
      <c r="L3721" s="199">
        <v>3</v>
      </c>
      <c r="M3721" s="200">
        <v>0.4</v>
      </c>
      <c r="N3721" s="201">
        <v>17</v>
      </c>
    </row>
    <row r="3722" spans="1:14">
      <c r="A3722" s="194">
        <v>41285.611620370371</v>
      </c>
      <c r="B3722" s="195">
        <v>2242</v>
      </c>
      <c r="C3722" s="194"/>
      <c r="D3722" s="194"/>
      <c r="E3722" s="198"/>
      <c r="G3722" s="202"/>
      <c r="J3722" s="195">
        <v>43</v>
      </c>
      <c r="K3722" s="204" t="s">
        <v>1596</v>
      </c>
      <c r="L3722" s="199">
        <v>3</v>
      </c>
      <c r="M3722" s="200">
        <v>0.6</v>
      </c>
      <c r="N3722" s="201">
        <v>17</v>
      </c>
    </row>
    <row r="3723" spans="1:14">
      <c r="A3723" s="194">
        <v>41289.370069444441</v>
      </c>
      <c r="B3723" s="195">
        <v>2242</v>
      </c>
      <c r="C3723" s="194"/>
      <c r="D3723" s="194"/>
      <c r="E3723" s="198"/>
      <c r="G3723" s="202"/>
      <c r="J3723" s="195">
        <v>43</v>
      </c>
      <c r="K3723" s="204" t="s">
        <v>1596</v>
      </c>
      <c r="L3723" s="199">
        <v>3</v>
      </c>
      <c r="M3723" s="200">
        <v>0.7</v>
      </c>
      <c r="N3723" s="201">
        <v>17</v>
      </c>
    </row>
    <row r="3724" spans="1:14">
      <c r="A3724" s="194">
        <v>41297.649548611109</v>
      </c>
      <c r="B3724" s="195">
        <v>2242</v>
      </c>
      <c r="C3724" s="194"/>
      <c r="D3724" s="194"/>
      <c r="E3724" s="198"/>
      <c r="G3724" s="202"/>
      <c r="J3724" s="195">
        <v>43</v>
      </c>
      <c r="K3724" s="204" t="s">
        <v>1596</v>
      </c>
      <c r="L3724" s="199">
        <v>3</v>
      </c>
      <c r="M3724" s="200">
        <v>0.9</v>
      </c>
      <c r="N3724" s="201">
        <v>17</v>
      </c>
    </row>
    <row r="3725" spans="1:14">
      <c r="A3725" s="194">
        <v>41284.518148148149</v>
      </c>
      <c r="B3725" s="195">
        <v>2242</v>
      </c>
      <c r="C3725" s="194"/>
      <c r="D3725" s="194"/>
      <c r="E3725" s="198"/>
      <c r="G3725" s="202"/>
      <c r="J3725" s="195">
        <v>43</v>
      </c>
      <c r="K3725" s="204" t="s">
        <v>1596</v>
      </c>
      <c r="L3725" s="199">
        <v>3</v>
      </c>
      <c r="M3725" s="200">
        <v>1</v>
      </c>
      <c r="N3725" s="201">
        <v>17</v>
      </c>
    </row>
    <row r="3726" spans="1:14">
      <c r="A3726" s="194">
        <v>41295.453333333331</v>
      </c>
      <c r="B3726" s="195">
        <v>2242</v>
      </c>
      <c r="C3726" s="194"/>
      <c r="D3726" s="194"/>
      <c r="E3726" s="198"/>
      <c r="G3726" s="202"/>
      <c r="J3726" s="195">
        <v>43</v>
      </c>
      <c r="K3726" s="204" t="s">
        <v>1596</v>
      </c>
      <c r="L3726" s="199">
        <v>3</v>
      </c>
      <c r="M3726" s="200">
        <v>1.1000000000000001</v>
      </c>
      <c r="N3726" s="201">
        <v>17</v>
      </c>
    </row>
    <row r="3727" spans="1:14">
      <c r="A3727" s="194">
        <v>41305.87835648148</v>
      </c>
      <c r="B3727" s="195">
        <v>2242</v>
      </c>
      <c r="C3727" s="194"/>
      <c r="D3727" s="194"/>
      <c r="E3727" s="198"/>
      <c r="G3727" s="202"/>
      <c r="J3727" s="195">
        <v>43</v>
      </c>
      <c r="K3727" s="204" t="s">
        <v>1596</v>
      </c>
      <c r="L3727" s="199">
        <v>3</v>
      </c>
      <c r="M3727" s="200">
        <v>1.2</v>
      </c>
      <c r="N3727" s="201">
        <v>17</v>
      </c>
    </row>
    <row r="3728" spans="1:14">
      <c r="A3728" s="194">
        <v>41284.412592592591</v>
      </c>
      <c r="B3728" s="195">
        <v>2242</v>
      </c>
      <c r="C3728" s="194"/>
      <c r="D3728" s="194"/>
      <c r="E3728" s="198"/>
      <c r="G3728" s="202"/>
      <c r="J3728" s="195">
        <v>43</v>
      </c>
      <c r="K3728" s="204" t="s">
        <v>1596</v>
      </c>
      <c r="L3728" s="199">
        <v>3</v>
      </c>
      <c r="M3728" s="200">
        <v>1.2</v>
      </c>
      <c r="N3728" s="201">
        <v>17</v>
      </c>
    </row>
    <row r="3729" spans="1:14">
      <c r="A3729" s="194">
        <v>41294.589456018519</v>
      </c>
      <c r="B3729" s="195">
        <v>2242</v>
      </c>
      <c r="C3729" s="194"/>
      <c r="D3729" s="194"/>
      <c r="E3729" s="198"/>
      <c r="G3729" s="202"/>
      <c r="J3729" s="195">
        <v>43</v>
      </c>
      <c r="K3729" s="204" t="s">
        <v>1596</v>
      </c>
      <c r="L3729" s="199">
        <v>3</v>
      </c>
      <c r="M3729" s="200">
        <v>1.6</v>
      </c>
      <c r="N3729" s="201">
        <v>17</v>
      </c>
    </row>
    <row r="3730" spans="1:14">
      <c r="A3730" s="194">
        <v>41293.328368055554</v>
      </c>
      <c r="B3730" s="195">
        <v>2242</v>
      </c>
      <c r="C3730" s="194"/>
      <c r="D3730" s="194"/>
      <c r="E3730" s="198"/>
      <c r="G3730" s="202"/>
      <c r="J3730" s="195">
        <v>43</v>
      </c>
      <c r="K3730" s="204" t="s">
        <v>1596</v>
      </c>
      <c r="L3730" s="199">
        <v>3</v>
      </c>
      <c r="M3730" s="200">
        <v>2</v>
      </c>
      <c r="N3730" s="201">
        <v>17</v>
      </c>
    </row>
    <row r="3731" spans="1:14">
      <c r="A3731" s="194">
        <v>41278.376354166663</v>
      </c>
      <c r="B3731" s="195">
        <v>2242</v>
      </c>
      <c r="C3731" s="194"/>
      <c r="D3731" s="194"/>
      <c r="E3731" s="198"/>
      <c r="G3731" s="202"/>
      <c r="J3731" s="195">
        <v>43</v>
      </c>
      <c r="K3731" s="204" t="s">
        <v>1596</v>
      </c>
      <c r="L3731" s="199">
        <v>3</v>
      </c>
      <c r="M3731" s="200">
        <v>5</v>
      </c>
      <c r="N3731" s="201">
        <v>17</v>
      </c>
    </row>
    <row r="3732" spans="1:14">
      <c r="A3732" s="194">
        <v>41276.945023148146</v>
      </c>
      <c r="B3732" s="195">
        <v>2242</v>
      </c>
      <c r="C3732" s="194"/>
      <c r="D3732" s="194"/>
      <c r="E3732" s="198"/>
      <c r="G3732" s="202"/>
      <c r="J3732" s="195">
        <v>43</v>
      </c>
      <c r="K3732" s="204" t="s">
        <v>1596</v>
      </c>
      <c r="L3732" s="199">
        <v>3</v>
      </c>
      <c r="M3732" s="200">
        <v>8.1999999999999993</v>
      </c>
      <c r="N3732" s="201">
        <v>17</v>
      </c>
    </row>
    <row r="3733" spans="1:14">
      <c r="A3733" s="194">
        <v>41302.219259259262</v>
      </c>
      <c r="B3733" s="195">
        <v>2242</v>
      </c>
      <c r="C3733" s="194"/>
      <c r="D3733" s="194"/>
      <c r="E3733" s="198"/>
      <c r="G3733" s="202"/>
      <c r="J3733" s="195">
        <v>43</v>
      </c>
      <c r="K3733" s="204" t="s">
        <v>1596</v>
      </c>
      <c r="L3733" s="199">
        <v>3</v>
      </c>
      <c r="M3733" s="200">
        <v>15.3</v>
      </c>
      <c r="N3733" s="201">
        <v>17</v>
      </c>
    </row>
    <row r="3734" spans="1:14">
      <c r="A3734" s="194">
        <v>41298.911979166667</v>
      </c>
      <c r="B3734" s="195">
        <v>2242</v>
      </c>
      <c r="C3734" s="194"/>
      <c r="D3734" s="194"/>
      <c r="E3734" s="198"/>
      <c r="G3734" s="202"/>
      <c r="J3734" s="195">
        <v>43</v>
      </c>
      <c r="K3734" s="204" t="s">
        <v>1596</v>
      </c>
      <c r="L3734" s="199">
        <v>3</v>
      </c>
      <c r="M3734" s="200">
        <v>28.3</v>
      </c>
      <c r="N3734" s="201">
        <v>17</v>
      </c>
    </row>
    <row r="3735" spans="1:14">
      <c r="A3735" s="194">
        <v>41296.443148148152</v>
      </c>
      <c r="B3735" s="195">
        <v>2242</v>
      </c>
      <c r="C3735" s="194"/>
      <c r="D3735" s="194"/>
      <c r="E3735" s="198"/>
      <c r="G3735" s="202"/>
      <c r="J3735" s="195">
        <v>43</v>
      </c>
      <c r="K3735" s="204" t="s">
        <v>1596</v>
      </c>
      <c r="L3735" s="199">
        <v>3</v>
      </c>
      <c r="M3735" s="200">
        <v>0.9</v>
      </c>
      <c r="N3735" s="201">
        <v>18</v>
      </c>
    </row>
    <row r="3736" spans="1:14">
      <c r="A3736" s="194">
        <v>41293.348738425928</v>
      </c>
      <c r="B3736" s="195">
        <v>2242</v>
      </c>
      <c r="C3736" s="194"/>
      <c r="D3736" s="194"/>
      <c r="E3736" s="198"/>
      <c r="G3736" s="202"/>
      <c r="J3736" s="195">
        <v>43</v>
      </c>
      <c r="K3736" s="204" t="s">
        <v>1596</v>
      </c>
      <c r="L3736" s="199">
        <v>3</v>
      </c>
      <c r="M3736" s="200">
        <v>1</v>
      </c>
      <c r="N3736" s="201">
        <v>18</v>
      </c>
    </row>
    <row r="3737" spans="1:14">
      <c r="A3737" s="194">
        <v>41294.482164351852</v>
      </c>
      <c r="B3737" s="195">
        <v>2242</v>
      </c>
      <c r="C3737" s="194"/>
      <c r="D3737" s="194"/>
      <c r="E3737" s="198"/>
      <c r="G3737" s="202"/>
      <c r="J3737" s="195">
        <v>43</v>
      </c>
      <c r="K3737" s="204" t="s">
        <v>1596</v>
      </c>
      <c r="L3737" s="199">
        <v>3</v>
      </c>
      <c r="M3737" s="200">
        <v>1.6</v>
      </c>
      <c r="N3737" s="201">
        <v>18</v>
      </c>
    </row>
    <row r="3738" spans="1:14">
      <c r="A3738" s="194">
        <v>41300.934814814813</v>
      </c>
      <c r="B3738" s="195">
        <v>2242</v>
      </c>
      <c r="C3738" s="194"/>
      <c r="D3738" s="194"/>
      <c r="E3738" s="198"/>
      <c r="G3738" s="202"/>
      <c r="J3738" s="195">
        <v>43</v>
      </c>
      <c r="K3738" s="204" t="s">
        <v>1596</v>
      </c>
      <c r="L3738" s="199">
        <v>3</v>
      </c>
      <c r="M3738" s="200">
        <v>1.7</v>
      </c>
      <c r="N3738" s="201">
        <v>18</v>
      </c>
    </row>
    <row r="3739" spans="1:14">
      <c r="A3739" s="194">
        <v>41295.477395833332</v>
      </c>
      <c r="B3739" s="195">
        <v>2242</v>
      </c>
      <c r="C3739" s="194"/>
      <c r="D3739" s="194"/>
      <c r="E3739" s="198"/>
      <c r="G3739" s="202"/>
      <c r="J3739" s="195">
        <v>43</v>
      </c>
      <c r="K3739" s="204" t="s">
        <v>1596</v>
      </c>
      <c r="L3739" s="199">
        <v>3</v>
      </c>
      <c r="M3739" s="200">
        <v>0.3</v>
      </c>
      <c r="N3739" s="201">
        <v>19</v>
      </c>
    </row>
    <row r="3740" spans="1:14">
      <c r="A3740" s="194">
        <v>41279.800509259258</v>
      </c>
      <c r="B3740" s="195">
        <v>2242</v>
      </c>
      <c r="C3740" s="194"/>
      <c r="D3740" s="194"/>
      <c r="E3740" s="198"/>
      <c r="G3740" s="202"/>
      <c r="J3740" s="195">
        <v>43</v>
      </c>
      <c r="K3740" s="204" t="s">
        <v>1596</v>
      </c>
      <c r="L3740" s="199">
        <v>3</v>
      </c>
      <c r="M3740" s="200">
        <v>0.3</v>
      </c>
      <c r="N3740" s="201">
        <v>19</v>
      </c>
    </row>
    <row r="3741" spans="1:14">
      <c r="A3741" s="194">
        <v>41278.578287037039</v>
      </c>
      <c r="B3741" s="195">
        <v>2242</v>
      </c>
      <c r="C3741" s="194"/>
      <c r="D3741" s="194"/>
      <c r="E3741" s="198"/>
      <c r="G3741" s="202"/>
      <c r="J3741" s="195">
        <v>43</v>
      </c>
      <c r="K3741" s="204" t="s">
        <v>1596</v>
      </c>
      <c r="L3741" s="199">
        <v>3</v>
      </c>
      <c r="M3741" s="200">
        <v>0.3</v>
      </c>
      <c r="N3741" s="201">
        <v>19</v>
      </c>
    </row>
    <row r="3742" spans="1:14">
      <c r="A3742" s="194">
        <v>41303.642256944448</v>
      </c>
      <c r="B3742" s="195">
        <v>2242</v>
      </c>
      <c r="C3742" s="194"/>
      <c r="D3742" s="194"/>
      <c r="E3742" s="198"/>
      <c r="G3742" s="202"/>
      <c r="J3742" s="195">
        <v>43</v>
      </c>
      <c r="K3742" s="204" t="s">
        <v>1596</v>
      </c>
      <c r="L3742" s="199">
        <v>3</v>
      </c>
      <c r="M3742" s="200">
        <v>0.7</v>
      </c>
      <c r="N3742" s="201">
        <v>19</v>
      </c>
    </row>
    <row r="3743" spans="1:14">
      <c r="A3743" s="194">
        <v>41294.495706018519</v>
      </c>
      <c r="B3743" s="195">
        <v>2242</v>
      </c>
      <c r="C3743" s="194"/>
      <c r="D3743" s="194"/>
      <c r="E3743" s="198"/>
      <c r="G3743" s="202"/>
      <c r="J3743" s="195">
        <v>43</v>
      </c>
      <c r="K3743" s="204" t="s">
        <v>1596</v>
      </c>
      <c r="L3743" s="199">
        <v>3</v>
      </c>
      <c r="M3743" s="200">
        <v>1</v>
      </c>
      <c r="N3743" s="201">
        <v>19</v>
      </c>
    </row>
    <row r="3744" spans="1:14">
      <c r="A3744" s="194">
        <v>41288.554270833331</v>
      </c>
      <c r="B3744" s="195">
        <v>2242</v>
      </c>
      <c r="C3744" s="194"/>
      <c r="D3744" s="194"/>
      <c r="E3744" s="198"/>
      <c r="G3744" s="202"/>
      <c r="J3744" s="195">
        <v>43</v>
      </c>
      <c r="K3744" s="204" t="s">
        <v>1596</v>
      </c>
      <c r="L3744" s="199">
        <v>3</v>
      </c>
      <c r="M3744" s="200">
        <v>2.2000000000000002</v>
      </c>
      <c r="N3744" s="201">
        <v>19</v>
      </c>
    </row>
    <row r="3745" spans="1:14">
      <c r="A3745" s="194">
        <v>41297.490405092591</v>
      </c>
      <c r="B3745" s="195">
        <v>2242</v>
      </c>
      <c r="C3745" s="194"/>
      <c r="D3745" s="194"/>
      <c r="E3745" s="198"/>
      <c r="G3745" s="202"/>
      <c r="J3745" s="195">
        <v>43</v>
      </c>
      <c r="K3745" s="204" t="s">
        <v>1596</v>
      </c>
      <c r="L3745" s="199">
        <v>3</v>
      </c>
      <c r="M3745" s="200">
        <v>2.2999999999999998</v>
      </c>
      <c r="N3745" s="201">
        <v>19</v>
      </c>
    </row>
    <row r="3746" spans="1:14">
      <c r="A3746" s="194">
        <v>41304.444143518522</v>
      </c>
      <c r="B3746" s="195">
        <v>2242</v>
      </c>
      <c r="C3746" s="194"/>
      <c r="D3746" s="194"/>
      <c r="E3746" s="198"/>
      <c r="G3746" s="202"/>
      <c r="J3746" s="195">
        <v>43</v>
      </c>
      <c r="K3746" s="204" t="s">
        <v>1596</v>
      </c>
      <c r="L3746" s="199">
        <v>3</v>
      </c>
      <c r="M3746" s="200">
        <v>2.6</v>
      </c>
      <c r="N3746" s="201">
        <v>19</v>
      </c>
    </row>
    <row r="3747" spans="1:14">
      <c r="A3747" s="194">
        <v>41291.394097222219</v>
      </c>
      <c r="B3747" s="195">
        <v>2242</v>
      </c>
      <c r="C3747" s="194"/>
      <c r="D3747" s="194"/>
      <c r="E3747" s="198"/>
      <c r="G3747" s="202"/>
      <c r="J3747" s="195">
        <v>43</v>
      </c>
      <c r="K3747" s="204" t="s">
        <v>1596</v>
      </c>
      <c r="L3747" s="199">
        <v>3</v>
      </c>
      <c r="M3747" s="200">
        <v>2.9</v>
      </c>
      <c r="N3747" s="201">
        <v>19</v>
      </c>
    </row>
    <row r="3748" spans="1:14">
      <c r="A3748" s="194">
        <v>41279.371006944442</v>
      </c>
      <c r="B3748" s="195">
        <v>2242</v>
      </c>
      <c r="C3748" s="194"/>
      <c r="D3748" s="194"/>
      <c r="E3748" s="198"/>
      <c r="G3748" s="202"/>
      <c r="J3748" s="195">
        <v>43</v>
      </c>
      <c r="K3748" s="204" t="s">
        <v>1596</v>
      </c>
      <c r="L3748" s="199">
        <v>3</v>
      </c>
      <c r="M3748" s="200">
        <v>11.6</v>
      </c>
      <c r="N3748" s="201">
        <v>19</v>
      </c>
    </row>
    <row r="3749" spans="1:14">
      <c r="A3749" s="194">
        <v>41276.471770833334</v>
      </c>
      <c r="B3749" s="195">
        <v>2242</v>
      </c>
      <c r="C3749" s="194"/>
      <c r="D3749" s="194"/>
      <c r="E3749" s="198"/>
      <c r="G3749" s="202"/>
      <c r="J3749" s="195">
        <v>43</v>
      </c>
      <c r="K3749" s="204" t="s">
        <v>1596</v>
      </c>
      <c r="L3749" s="199">
        <v>3</v>
      </c>
      <c r="M3749" s="200">
        <v>1.1000000000000001</v>
      </c>
      <c r="N3749" s="201">
        <v>20</v>
      </c>
    </row>
    <row r="3750" spans="1:14">
      <c r="A3750" s="194">
        <v>41299.433912037035</v>
      </c>
      <c r="B3750" s="195">
        <v>2242</v>
      </c>
      <c r="C3750" s="194"/>
      <c r="D3750" s="194"/>
      <c r="E3750" s="198"/>
      <c r="G3750" s="202"/>
      <c r="J3750" s="195">
        <v>43</v>
      </c>
      <c r="K3750" s="204" t="s">
        <v>1596</v>
      </c>
      <c r="L3750" s="199">
        <v>3</v>
      </c>
      <c r="M3750" s="200">
        <v>0.4</v>
      </c>
      <c r="N3750" s="201">
        <v>21</v>
      </c>
    </row>
    <row r="3751" spans="1:14">
      <c r="A3751" s="194">
        <v>41297.318020833336</v>
      </c>
      <c r="B3751" s="195">
        <v>2242</v>
      </c>
      <c r="C3751" s="194"/>
      <c r="D3751" s="194"/>
      <c r="E3751" s="198"/>
      <c r="G3751" s="202"/>
      <c r="J3751" s="195">
        <v>43</v>
      </c>
      <c r="K3751" s="204" t="s">
        <v>1596</v>
      </c>
      <c r="L3751" s="199">
        <v>3</v>
      </c>
      <c r="M3751" s="200">
        <v>0.9</v>
      </c>
      <c r="N3751" s="201">
        <v>21</v>
      </c>
    </row>
    <row r="3752" spans="1:14">
      <c r="A3752" s="194">
        <v>41292.614432870374</v>
      </c>
      <c r="B3752" s="195">
        <v>2242</v>
      </c>
      <c r="C3752" s="194"/>
      <c r="D3752" s="194"/>
      <c r="E3752" s="198"/>
      <c r="G3752" s="202"/>
      <c r="J3752" s="195">
        <v>43</v>
      </c>
      <c r="K3752" s="204" t="s">
        <v>1596</v>
      </c>
      <c r="L3752" s="199">
        <v>3</v>
      </c>
      <c r="M3752" s="200">
        <v>0.9</v>
      </c>
      <c r="N3752" s="201">
        <v>24</v>
      </c>
    </row>
    <row r="3753" spans="1:14">
      <c r="A3753" s="194">
        <v>41280.415439814817</v>
      </c>
      <c r="B3753" s="195">
        <v>2242</v>
      </c>
      <c r="C3753" s="194"/>
      <c r="D3753" s="194"/>
      <c r="E3753" s="198"/>
      <c r="G3753" s="202"/>
      <c r="J3753" s="195">
        <v>43</v>
      </c>
      <c r="K3753" s="204" t="s">
        <v>1596</v>
      </c>
      <c r="L3753" s="199">
        <v>1</v>
      </c>
      <c r="M3753" s="200">
        <v>0.6</v>
      </c>
      <c r="N3753" s="201">
        <v>39</v>
      </c>
    </row>
    <row r="3754" spans="1:14">
      <c r="A3754" s="194">
        <v>41287.822766203702</v>
      </c>
      <c r="B3754" s="195">
        <v>2242</v>
      </c>
      <c r="C3754" s="194"/>
      <c r="D3754" s="194"/>
      <c r="E3754" s="198"/>
      <c r="G3754" s="202"/>
      <c r="J3754" s="195">
        <v>43</v>
      </c>
      <c r="K3754" s="204" t="s">
        <v>1596</v>
      </c>
      <c r="L3754" s="199">
        <v>1</v>
      </c>
      <c r="M3754" s="200">
        <v>0.4</v>
      </c>
      <c r="N3754" s="201">
        <v>40</v>
      </c>
    </row>
    <row r="3755" spans="1:14">
      <c r="A3755" s="194">
        <v>41286.887592592589</v>
      </c>
      <c r="B3755" s="195">
        <v>2242</v>
      </c>
      <c r="C3755" s="194"/>
      <c r="D3755" s="194"/>
      <c r="E3755" s="198"/>
      <c r="G3755" s="202"/>
      <c r="J3755" s="195">
        <v>43</v>
      </c>
      <c r="K3755" s="204" t="s">
        <v>1596</v>
      </c>
      <c r="L3755" s="199">
        <v>1</v>
      </c>
      <c r="M3755" s="200">
        <v>1.5</v>
      </c>
      <c r="N3755" s="201">
        <v>46</v>
      </c>
    </row>
    <row r="3756" spans="1:14">
      <c r="A3756" s="194">
        <v>41291.919062499997</v>
      </c>
      <c r="B3756" s="195">
        <v>2242</v>
      </c>
      <c r="C3756" s="194"/>
      <c r="D3756" s="194"/>
      <c r="E3756" s="198"/>
      <c r="G3756" s="202"/>
      <c r="J3756" s="195">
        <v>4400</v>
      </c>
      <c r="K3756" s="204" t="s">
        <v>37</v>
      </c>
      <c r="L3756" s="199">
        <v>2</v>
      </c>
      <c r="M3756" s="200">
        <v>0.7</v>
      </c>
      <c r="N3756" s="201">
        <v>47</v>
      </c>
    </row>
    <row r="3757" spans="1:14">
      <c r="A3757" s="194">
        <v>41296.595000000001</v>
      </c>
      <c r="B3757" s="195">
        <v>2242</v>
      </c>
      <c r="C3757" s="194"/>
      <c r="D3757" s="194"/>
      <c r="E3757" s="198"/>
      <c r="G3757" s="202"/>
      <c r="J3757" s="195">
        <v>4400</v>
      </c>
      <c r="K3757" s="204" t="s">
        <v>37</v>
      </c>
      <c r="L3757" s="199">
        <v>1</v>
      </c>
      <c r="M3757" s="200">
        <v>0.5</v>
      </c>
      <c r="N3757" s="201">
        <v>62</v>
      </c>
    </row>
    <row r="3758" spans="1:14">
      <c r="A3758" s="194">
        <v>41284.084351851852</v>
      </c>
      <c r="B3758" s="195">
        <v>2253</v>
      </c>
      <c r="C3758" s="194"/>
      <c r="D3758" s="194"/>
      <c r="E3758" s="196" t="s">
        <v>782</v>
      </c>
      <c r="F3758" s="195">
        <v>800</v>
      </c>
      <c r="G3758" s="197" t="s">
        <v>470</v>
      </c>
      <c r="H3758" s="197" t="s">
        <v>471</v>
      </c>
      <c r="J3758" s="195">
        <v>1</v>
      </c>
      <c r="K3758" s="204" t="s">
        <v>224</v>
      </c>
      <c r="L3758" s="199">
        <v>1</v>
      </c>
      <c r="M3758" s="200">
        <v>3.1</v>
      </c>
      <c r="N3758" s="201">
        <v>17</v>
      </c>
    </row>
    <row r="3759" spans="1:14">
      <c r="A3759" s="194">
        <v>41305.069826388892</v>
      </c>
      <c r="B3759" s="195">
        <v>2253</v>
      </c>
      <c r="C3759" s="194"/>
      <c r="D3759" s="194"/>
      <c r="E3759" s="196" t="s">
        <v>1514</v>
      </c>
      <c r="F3759" s="195">
        <v>800</v>
      </c>
      <c r="G3759" s="197" t="s">
        <v>470</v>
      </c>
      <c r="H3759" s="197" t="s">
        <v>471</v>
      </c>
      <c r="J3759" s="195">
        <v>1</v>
      </c>
      <c r="K3759" s="204" t="s">
        <v>224</v>
      </c>
      <c r="L3759" s="199">
        <v>2</v>
      </c>
      <c r="M3759" s="200">
        <v>21.6</v>
      </c>
      <c r="N3759" s="201">
        <v>17</v>
      </c>
    </row>
    <row r="3760" spans="1:14">
      <c r="A3760" s="194">
        <v>41301.40834490741</v>
      </c>
      <c r="B3760" s="195">
        <v>2253</v>
      </c>
      <c r="C3760" s="194"/>
      <c r="D3760" s="194"/>
      <c r="E3760" s="196" t="s">
        <v>1424</v>
      </c>
      <c r="F3760" s="195">
        <v>800</v>
      </c>
      <c r="G3760" s="197" t="s">
        <v>470</v>
      </c>
      <c r="H3760" s="197" t="s">
        <v>471</v>
      </c>
      <c r="J3760" s="195">
        <v>1</v>
      </c>
      <c r="K3760" s="204" t="s">
        <v>224</v>
      </c>
      <c r="L3760" s="199">
        <v>2</v>
      </c>
      <c r="M3760" s="200">
        <v>20.3</v>
      </c>
      <c r="N3760" s="201">
        <v>22</v>
      </c>
    </row>
    <row r="3761" spans="1:14">
      <c r="A3761" s="194">
        <v>41297.292928240742</v>
      </c>
      <c r="B3761" s="195">
        <v>2253</v>
      </c>
      <c r="C3761" s="194"/>
      <c r="D3761" s="194"/>
      <c r="E3761" s="196" t="s">
        <v>1349</v>
      </c>
      <c r="F3761" s="195">
        <v>800</v>
      </c>
      <c r="G3761" s="197" t="s">
        <v>470</v>
      </c>
      <c r="H3761" s="197" t="s">
        <v>471</v>
      </c>
      <c r="J3761" s="195">
        <v>1</v>
      </c>
      <c r="K3761" s="204" t="s">
        <v>224</v>
      </c>
      <c r="L3761" s="199">
        <v>2</v>
      </c>
      <c r="M3761" s="200">
        <v>24.4</v>
      </c>
      <c r="N3761" s="201">
        <v>26</v>
      </c>
    </row>
    <row r="3762" spans="1:14">
      <c r="A3762" s="194">
        <v>41284.489687499998</v>
      </c>
      <c r="B3762" s="195">
        <v>2253</v>
      </c>
      <c r="C3762" s="194"/>
      <c r="D3762" s="194"/>
      <c r="E3762" s="196" t="s">
        <v>868</v>
      </c>
      <c r="F3762" s="195">
        <v>800</v>
      </c>
      <c r="G3762" s="197" t="s">
        <v>470</v>
      </c>
      <c r="H3762" s="197" t="s">
        <v>471</v>
      </c>
      <c r="J3762" s="195">
        <v>1</v>
      </c>
      <c r="K3762" s="204" t="s">
        <v>224</v>
      </c>
      <c r="L3762" s="199">
        <v>2</v>
      </c>
      <c r="M3762" s="200">
        <v>0.4</v>
      </c>
      <c r="N3762" s="201">
        <v>29</v>
      </c>
    </row>
    <row r="3763" spans="1:14">
      <c r="A3763" s="194">
        <v>41283.76053240741</v>
      </c>
      <c r="B3763" s="195">
        <v>2253</v>
      </c>
      <c r="C3763" s="194"/>
      <c r="D3763" s="194"/>
      <c r="E3763" s="198"/>
      <c r="G3763" s="202"/>
      <c r="J3763" s="195">
        <v>2</v>
      </c>
      <c r="K3763" s="204" t="s">
        <v>32</v>
      </c>
      <c r="L3763" s="199">
        <v>2</v>
      </c>
      <c r="M3763" s="200">
        <v>0.7</v>
      </c>
      <c r="N3763" s="201">
        <v>44</v>
      </c>
    </row>
    <row r="3764" spans="1:14">
      <c r="A3764" s="194">
        <v>41289.69804398148</v>
      </c>
      <c r="B3764" s="195">
        <v>2253</v>
      </c>
      <c r="C3764" s="194"/>
      <c r="D3764" s="194"/>
      <c r="E3764" s="196" t="s">
        <v>1915</v>
      </c>
      <c r="G3764" s="202"/>
      <c r="J3764" s="195">
        <v>12</v>
      </c>
      <c r="K3764" s="204" t="s">
        <v>7</v>
      </c>
      <c r="L3764" s="199">
        <v>2</v>
      </c>
      <c r="M3764" s="200">
        <v>1.3</v>
      </c>
      <c r="N3764" s="201">
        <v>16</v>
      </c>
    </row>
    <row r="3765" spans="1:14">
      <c r="A3765" s="194">
        <v>41288.250972222224</v>
      </c>
      <c r="B3765" s="195">
        <v>2253</v>
      </c>
      <c r="C3765" s="194"/>
      <c r="D3765" s="194"/>
      <c r="E3765" s="198"/>
      <c r="G3765" s="202"/>
      <c r="J3765" s="195">
        <v>17</v>
      </c>
      <c r="K3765" s="204" t="s">
        <v>11</v>
      </c>
      <c r="L3765" s="199">
        <v>2</v>
      </c>
      <c r="M3765" s="200">
        <v>0.4</v>
      </c>
      <c r="N3765" s="201">
        <v>16</v>
      </c>
    </row>
    <row r="3766" spans="1:14">
      <c r="A3766" s="194">
        <v>41283.465636574074</v>
      </c>
      <c r="B3766" s="195">
        <v>2253</v>
      </c>
      <c r="C3766" s="194"/>
      <c r="D3766" s="194"/>
      <c r="E3766" s="198"/>
      <c r="G3766" s="202"/>
      <c r="J3766" s="195">
        <v>17</v>
      </c>
      <c r="K3766" s="204" t="s">
        <v>11</v>
      </c>
      <c r="L3766" s="199">
        <v>2</v>
      </c>
      <c r="M3766" s="200">
        <v>21.8</v>
      </c>
      <c r="N3766" s="201">
        <v>16</v>
      </c>
    </row>
    <row r="3767" spans="1:14">
      <c r="A3767" s="194">
        <v>41294.348425925928</v>
      </c>
      <c r="B3767" s="195">
        <v>2253</v>
      </c>
      <c r="C3767" s="194"/>
      <c r="D3767" s="194"/>
      <c r="E3767" s="198"/>
      <c r="G3767" s="202"/>
      <c r="J3767" s="195">
        <v>17</v>
      </c>
      <c r="K3767" s="204" t="s">
        <v>11</v>
      </c>
      <c r="L3767" s="199">
        <v>2</v>
      </c>
      <c r="M3767" s="200">
        <v>19.2</v>
      </c>
      <c r="N3767" s="201">
        <v>17</v>
      </c>
    </row>
    <row r="3768" spans="1:14">
      <c r="A3768" s="194">
        <v>41286.225266203706</v>
      </c>
      <c r="B3768" s="195">
        <v>2253</v>
      </c>
      <c r="C3768" s="194"/>
      <c r="D3768" s="194"/>
      <c r="E3768" s="198"/>
      <c r="G3768" s="202"/>
      <c r="J3768" s="195">
        <v>18</v>
      </c>
      <c r="K3768" s="204" t="s">
        <v>5</v>
      </c>
      <c r="L3768" s="199">
        <v>2</v>
      </c>
      <c r="M3768" s="200">
        <v>29.5</v>
      </c>
      <c r="N3768" s="201">
        <v>35</v>
      </c>
    </row>
    <row r="3769" spans="1:14">
      <c r="A3769" s="194">
        <v>41303.391956018517</v>
      </c>
      <c r="B3769" s="195">
        <v>2253</v>
      </c>
      <c r="C3769" s="194"/>
      <c r="D3769" s="194"/>
      <c r="E3769" s="196" t="s">
        <v>1967</v>
      </c>
      <c r="G3769" s="202"/>
      <c r="J3769" s="195">
        <v>24</v>
      </c>
      <c r="K3769" s="204" t="s">
        <v>25</v>
      </c>
      <c r="L3769" s="199">
        <v>2</v>
      </c>
      <c r="M3769" s="200">
        <v>28.9</v>
      </c>
      <c r="N3769" s="201">
        <v>16</v>
      </c>
    </row>
    <row r="3770" spans="1:14">
      <c r="A3770" s="194">
        <v>41288.325636574074</v>
      </c>
      <c r="B3770" s="195">
        <v>2253</v>
      </c>
      <c r="C3770" s="194"/>
      <c r="D3770" s="194"/>
      <c r="E3770" s="196" t="s">
        <v>1756</v>
      </c>
      <c r="G3770" s="202"/>
      <c r="J3770" s="195">
        <v>24</v>
      </c>
      <c r="K3770" s="204" t="s">
        <v>25</v>
      </c>
      <c r="L3770" s="199">
        <v>2</v>
      </c>
      <c r="M3770" s="200">
        <v>0.8</v>
      </c>
      <c r="N3770" s="201">
        <v>23</v>
      </c>
    </row>
    <row r="3771" spans="1:14">
      <c r="A3771" s="194">
        <v>41288.217453703706</v>
      </c>
      <c r="B3771" s="195">
        <v>2253</v>
      </c>
      <c r="C3771" s="194"/>
      <c r="D3771" s="194"/>
      <c r="E3771" s="196" t="s">
        <v>1944</v>
      </c>
      <c r="G3771" s="202"/>
      <c r="J3771" s="195">
        <v>24</v>
      </c>
      <c r="K3771" s="204" t="s">
        <v>25</v>
      </c>
      <c r="L3771" s="199">
        <v>1</v>
      </c>
      <c r="M3771" s="200">
        <v>28.9</v>
      </c>
      <c r="N3771" s="201">
        <v>29</v>
      </c>
    </row>
    <row r="3772" spans="1:14">
      <c r="A3772" s="194">
        <v>41294.72929398148</v>
      </c>
      <c r="B3772" s="195">
        <v>2253</v>
      </c>
      <c r="C3772" s="194"/>
      <c r="D3772" s="194"/>
      <c r="E3772" s="198"/>
      <c r="G3772" s="202"/>
      <c r="J3772" s="195">
        <v>43</v>
      </c>
      <c r="K3772" s="204" t="s">
        <v>1596</v>
      </c>
      <c r="L3772" s="199">
        <v>1</v>
      </c>
      <c r="M3772" s="200">
        <v>0.5</v>
      </c>
      <c r="N3772" s="201">
        <v>17</v>
      </c>
    </row>
    <row r="3773" spans="1:14">
      <c r="A3773" s="194">
        <v>41288.672025462962</v>
      </c>
      <c r="B3773" s="195">
        <v>2253</v>
      </c>
      <c r="C3773" s="194"/>
      <c r="D3773" s="194"/>
      <c r="E3773" s="198"/>
      <c r="G3773" s="202"/>
      <c r="J3773" s="195">
        <v>43</v>
      </c>
      <c r="K3773" s="204" t="s">
        <v>1596</v>
      </c>
      <c r="L3773" s="199">
        <v>1</v>
      </c>
      <c r="M3773" s="200">
        <v>3.1</v>
      </c>
      <c r="N3773" s="201">
        <v>21</v>
      </c>
    </row>
    <row r="3774" spans="1:14">
      <c r="A3774" s="194">
        <v>41302.499583333331</v>
      </c>
      <c r="B3774" s="195">
        <v>2263</v>
      </c>
      <c r="C3774" s="194"/>
      <c r="D3774" s="194"/>
      <c r="E3774" s="196" t="s">
        <v>383</v>
      </c>
      <c r="F3774" s="195">
        <v>456</v>
      </c>
      <c r="G3774" s="197" t="s">
        <v>141</v>
      </c>
      <c r="H3774" s="197" t="s">
        <v>223</v>
      </c>
      <c r="I3774" s="196" t="s">
        <v>226</v>
      </c>
      <c r="J3774" s="195">
        <v>1</v>
      </c>
      <c r="K3774" s="204" t="s">
        <v>224</v>
      </c>
      <c r="L3774" s="199">
        <v>2</v>
      </c>
      <c r="M3774" s="200">
        <v>25.5</v>
      </c>
      <c r="N3774" s="201">
        <v>27</v>
      </c>
    </row>
    <row r="3775" spans="1:14">
      <c r="A3775" s="194">
        <v>41295.506655092591</v>
      </c>
      <c r="B3775" s="195">
        <v>2263</v>
      </c>
      <c r="C3775" s="194"/>
      <c r="D3775" s="194"/>
      <c r="E3775" s="196" t="s">
        <v>327</v>
      </c>
      <c r="F3775" s="195">
        <v>456</v>
      </c>
      <c r="G3775" s="197" t="s">
        <v>141</v>
      </c>
      <c r="H3775" s="197" t="s">
        <v>223</v>
      </c>
      <c r="I3775" s="196" t="s">
        <v>226</v>
      </c>
      <c r="J3775" s="195">
        <v>1</v>
      </c>
      <c r="K3775" s="204" t="s">
        <v>224</v>
      </c>
      <c r="L3775" s="199">
        <v>3</v>
      </c>
      <c r="M3775" s="200">
        <v>0.3</v>
      </c>
      <c r="N3775" s="201">
        <v>29</v>
      </c>
    </row>
    <row r="3776" spans="1:14">
      <c r="A3776" s="194">
        <v>41302.521157407406</v>
      </c>
      <c r="B3776" s="195">
        <v>2263</v>
      </c>
      <c r="C3776" s="194"/>
      <c r="D3776" s="194"/>
      <c r="E3776" s="196" t="s">
        <v>461</v>
      </c>
      <c r="F3776" s="195">
        <v>466</v>
      </c>
      <c r="G3776" s="197" t="s">
        <v>142</v>
      </c>
      <c r="H3776" s="197" t="s">
        <v>223</v>
      </c>
      <c r="I3776" s="196" t="s">
        <v>402</v>
      </c>
      <c r="J3776" s="195">
        <v>1</v>
      </c>
      <c r="K3776" s="204" t="s">
        <v>224</v>
      </c>
      <c r="L3776" s="199">
        <v>3</v>
      </c>
      <c r="M3776" s="200">
        <v>0.3</v>
      </c>
      <c r="N3776" s="201">
        <v>34</v>
      </c>
    </row>
    <row r="3777" spans="1:14">
      <c r="A3777" s="194">
        <v>41299.445150462961</v>
      </c>
      <c r="B3777" s="195">
        <v>2263</v>
      </c>
      <c r="C3777" s="194"/>
      <c r="D3777" s="194"/>
      <c r="E3777" s="196" t="s">
        <v>460</v>
      </c>
      <c r="F3777" s="195">
        <v>466</v>
      </c>
      <c r="G3777" s="197" t="s">
        <v>142</v>
      </c>
      <c r="H3777" s="197" t="s">
        <v>223</v>
      </c>
      <c r="I3777" s="196" t="s">
        <v>402</v>
      </c>
      <c r="J3777" s="195">
        <v>1</v>
      </c>
      <c r="K3777" s="204" t="s">
        <v>224</v>
      </c>
      <c r="L3777" s="199">
        <v>3</v>
      </c>
      <c r="M3777" s="200">
        <v>0.4</v>
      </c>
      <c r="N3777" s="201">
        <v>39</v>
      </c>
    </row>
    <row r="3778" spans="1:14">
      <c r="A3778" s="194">
        <v>41303.456574074073</v>
      </c>
      <c r="B3778" s="195">
        <v>2263</v>
      </c>
      <c r="C3778" s="194"/>
      <c r="D3778" s="194"/>
      <c r="E3778" s="196" t="s">
        <v>463</v>
      </c>
      <c r="F3778" s="195">
        <v>466</v>
      </c>
      <c r="G3778" s="197" t="s">
        <v>142</v>
      </c>
      <c r="H3778" s="197" t="s">
        <v>223</v>
      </c>
      <c r="I3778" s="196" t="s">
        <v>402</v>
      </c>
      <c r="J3778" s="195">
        <v>1</v>
      </c>
      <c r="K3778" s="204" t="s">
        <v>224</v>
      </c>
      <c r="L3778" s="199">
        <v>2</v>
      </c>
      <c r="M3778" s="200">
        <v>0.3</v>
      </c>
      <c r="N3778" s="201">
        <v>41</v>
      </c>
    </row>
    <row r="3779" spans="1:14">
      <c r="A3779" s="194">
        <v>41292.33079861111</v>
      </c>
      <c r="B3779" s="195">
        <v>2263</v>
      </c>
      <c r="C3779" s="194"/>
      <c r="D3779" s="194"/>
      <c r="E3779" s="196" t="s">
        <v>1181</v>
      </c>
      <c r="F3779" s="195">
        <v>800</v>
      </c>
      <c r="G3779" s="197" t="s">
        <v>470</v>
      </c>
      <c r="H3779" s="197" t="s">
        <v>471</v>
      </c>
      <c r="J3779" s="195">
        <v>1</v>
      </c>
      <c r="K3779" s="204" t="s">
        <v>224</v>
      </c>
      <c r="L3779" s="199">
        <v>3</v>
      </c>
      <c r="M3779" s="200">
        <v>1.7</v>
      </c>
      <c r="N3779" s="201">
        <v>16</v>
      </c>
    </row>
    <row r="3780" spans="1:14">
      <c r="A3780" s="194">
        <v>41279.565150462964</v>
      </c>
      <c r="B3780" s="195">
        <v>2263</v>
      </c>
      <c r="C3780" s="194"/>
      <c r="D3780" s="194"/>
      <c r="E3780" s="196" t="s">
        <v>665</v>
      </c>
      <c r="F3780" s="195">
        <v>800</v>
      </c>
      <c r="G3780" s="197" t="s">
        <v>470</v>
      </c>
      <c r="H3780" s="197" t="s">
        <v>471</v>
      </c>
      <c r="J3780" s="195">
        <v>1</v>
      </c>
      <c r="K3780" s="204" t="s">
        <v>224</v>
      </c>
      <c r="L3780" s="199">
        <v>3</v>
      </c>
      <c r="M3780" s="200">
        <v>13.6</v>
      </c>
      <c r="N3780" s="201">
        <v>20</v>
      </c>
    </row>
    <row r="3781" spans="1:14">
      <c r="A3781" s="194">
        <v>41292.43414351852</v>
      </c>
      <c r="B3781" s="195">
        <v>2263</v>
      </c>
      <c r="C3781" s="194"/>
      <c r="D3781" s="194"/>
      <c r="E3781" s="196" t="s">
        <v>1182</v>
      </c>
      <c r="F3781" s="195">
        <v>800</v>
      </c>
      <c r="G3781" s="197" t="s">
        <v>470</v>
      </c>
      <c r="H3781" s="197" t="s">
        <v>471</v>
      </c>
      <c r="J3781" s="195">
        <v>1</v>
      </c>
      <c r="K3781" s="204" t="s">
        <v>224</v>
      </c>
      <c r="L3781" s="199">
        <v>2</v>
      </c>
      <c r="M3781" s="200">
        <v>41.8</v>
      </c>
      <c r="N3781" s="201">
        <v>21</v>
      </c>
    </row>
    <row r="3782" spans="1:14">
      <c r="A3782" s="194">
        <v>41286.648252314815</v>
      </c>
      <c r="B3782" s="195">
        <v>2263</v>
      </c>
      <c r="C3782" s="194"/>
      <c r="D3782" s="194"/>
      <c r="E3782" s="196" t="s">
        <v>923</v>
      </c>
      <c r="F3782" s="195">
        <v>800</v>
      </c>
      <c r="G3782" s="197" t="s">
        <v>470</v>
      </c>
      <c r="H3782" s="197" t="s">
        <v>471</v>
      </c>
      <c r="J3782" s="195">
        <v>1</v>
      </c>
      <c r="K3782" s="204" t="s">
        <v>224</v>
      </c>
      <c r="L3782" s="199">
        <v>3</v>
      </c>
      <c r="M3782" s="200">
        <v>1</v>
      </c>
      <c r="N3782" s="201">
        <v>28</v>
      </c>
    </row>
    <row r="3783" spans="1:14">
      <c r="A3783" s="194">
        <v>41300.590995370374</v>
      </c>
      <c r="B3783" s="195">
        <v>2263</v>
      </c>
      <c r="C3783" s="194"/>
      <c r="D3783" s="194"/>
      <c r="E3783" s="196" t="s">
        <v>1440</v>
      </c>
      <c r="F3783" s="195">
        <v>800</v>
      </c>
      <c r="G3783" s="197" t="s">
        <v>470</v>
      </c>
      <c r="H3783" s="197" t="s">
        <v>471</v>
      </c>
      <c r="J3783" s="195">
        <v>1</v>
      </c>
      <c r="K3783" s="204" t="s">
        <v>224</v>
      </c>
      <c r="L3783" s="199">
        <v>3</v>
      </c>
      <c r="M3783" s="200">
        <v>1.8</v>
      </c>
      <c r="N3783" s="201">
        <v>28</v>
      </c>
    </row>
    <row r="3784" spans="1:14">
      <c r="A3784" s="194">
        <v>41291.483124999999</v>
      </c>
      <c r="B3784" s="195">
        <v>2263</v>
      </c>
      <c r="C3784" s="194"/>
      <c r="D3784" s="194"/>
      <c r="E3784" s="196" t="s">
        <v>1131</v>
      </c>
      <c r="F3784" s="195">
        <v>800</v>
      </c>
      <c r="G3784" s="197" t="s">
        <v>470</v>
      </c>
      <c r="H3784" s="197" t="s">
        <v>471</v>
      </c>
      <c r="J3784" s="195">
        <v>1</v>
      </c>
      <c r="K3784" s="204" t="s">
        <v>224</v>
      </c>
      <c r="L3784" s="199">
        <v>2</v>
      </c>
      <c r="M3784" s="200">
        <v>39.299999999999997</v>
      </c>
      <c r="N3784" s="201">
        <v>29</v>
      </c>
    </row>
    <row r="3785" spans="1:14">
      <c r="A3785" s="194">
        <v>41285.49827546296</v>
      </c>
      <c r="B3785" s="195">
        <v>2263</v>
      </c>
      <c r="C3785" s="194"/>
      <c r="D3785" s="194"/>
      <c r="E3785" s="196" t="s">
        <v>940</v>
      </c>
      <c r="F3785" s="195">
        <v>800</v>
      </c>
      <c r="G3785" s="197" t="s">
        <v>470</v>
      </c>
      <c r="H3785" s="197" t="s">
        <v>471</v>
      </c>
      <c r="J3785" s="195">
        <v>1</v>
      </c>
      <c r="K3785" s="204" t="s">
        <v>224</v>
      </c>
      <c r="L3785" s="199">
        <v>2</v>
      </c>
      <c r="M3785" s="200">
        <v>0.8</v>
      </c>
      <c r="N3785" s="201">
        <v>32</v>
      </c>
    </row>
    <row r="3786" spans="1:14">
      <c r="A3786" s="194">
        <v>41279.880624999998</v>
      </c>
      <c r="B3786" s="195">
        <v>2263</v>
      </c>
      <c r="C3786" s="194"/>
      <c r="D3786" s="194"/>
      <c r="E3786" s="196" t="s">
        <v>667</v>
      </c>
      <c r="F3786" s="195">
        <v>800</v>
      </c>
      <c r="G3786" s="197" t="s">
        <v>470</v>
      </c>
      <c r="H3786" s="197" t="s">
        <v>471</v>
      </c>
      <c r="J3786" s="195">
        <v>1</v>
      </c>
      <c r="K3786" s="204" t="s">
        <v>224</v>
      </c>
      <c r="L3786" s="199">
        <v>3</v>
      </c>
      <c r="M3786" s="200">
        <v>0.7</v>
      </c>
      <c r="N3786" s="201">
        <v>33</v>
      </c>
    </row>
    <row r="3787" spans="1:14">
      <c r="A3787" s="194">
        <v>41295.683819444443</v>
      </c>
      <c r="B3787" s="195">
        <v>2263</v>
      </c>
      <c r="C3787" s="194"/>
      <c r="D3787" s="194"/>
      <c r="E3787" s="196" t="s">
        <v>1127</v>
      </c>
      <c r="F3787" s="195">
        <v>800</v>
      </c>
      <c r="G3787" s="197" t="s">
        <v>470</v>
      </c>
      <c r="H3787" s="197" t="s">
        <v>471</v>
      </c>
      <c r="J3787" s="195">
        <v>1</v>
      </c>
      <c r="K3787" s="204" t="s">
        <v>224</v>
      </c>
      <c r="L3787" s="199">
        <v>2</v>
      </c>
      <c r="M3787" s="200">
        <v>1.4</v>
      </c>
      <c r="N3787" s="201">
        <v>33</v>
      </c>
    </row>
    <row r="3788" spans="1:14">
      <c r="A3788" s="194">
        <v>41277.566990740743</v>
      </c>
      <c r="B3788" s="195">
        <v>2263</v>
      </c>
      <c r="C3788" s="194"/>
      <c r="D3788" s="194"/>
      <c r="E3788" s="196" t="s">
        <v>642</v>
      </c>
      <c r="F3788" s="195">
        <v>800</v>
      </c>
      <c r="G3788" s="197" t="s">
        <v>470</v>
      </c>
      <c r="H3788" s="197" t="s">
        <v>471</v>
      </c>
      <c r="J3788" s="195">
        <v>1</v>
      </c>
      <c r="K3788" s="204" t="s">
        <v>224</v>
      </c>
      <c r="L3788" s="199">
        <v>2</v>
      </c>
      <c r="M3788" s="200">
        <v>0.4</v>
      </c>
      <c r="N3788" s="201">
        <v>34</v>
      </c>
    </row>
    <row r="3789" spans="1:14">
      <c r="A3789" s="194">
        <v>41302.262106481481</v>
      </c>
      <c r="B3789" s="195">
        <v>2263</v>
      </c>
      <c r="C3789" s="194"/>
      <c r="D3789" s="194"/>
      <c r="E3789" s="196" t="s">
        <v>1356</v>
      </c>
      <c r="F3789" s="195">
        <v>800</v>
      </c>
      <c r="G3789" s="197" t="s">
        <v>470</v>
      </c>
      <c r="H3789" s="197" t="s">
        <v>471</v>
      </c>
      <c r="J3789" s="195">
        <v>1</v>
      </c>
      <c r="K3789" s="204" t="s">
        <v>224</v>
      </c>
      <c r="L3789" s="199">
        <v>2</v>
      </c>
      <c r="M3789" s="200">
        <v>0.6</v>
      </c>
      <c r="N3789" s="201">
        <v>35</v>
      </c>
    </row>
    <row r="3790" spans="1:14">
      <c r="A3790" s="194">
        <v>41291.426435185182</v>
      </c>
      <c r="B3790" s="195">
        <v>2263</v>
      </c>
      <c r="C3790" s="194"/>
      <c r="D3790" s="194"/>
      <c r="E3790" s="196" t="s">
        <v>1130</v>
      </c>
      <c r="F3790" s="195">
        <v>800</v>
      </c>
      <c r="G3790" s="197" t="s">
        <v>470</v>
      </c>
      <c r="H3790" s="197" t="s">
        <v>471</v>
      </c>
      <c r="J3790" s="195">
        <v>1</v>
      </c>
      <c r="K3790" s="204" t="s">
        <v>224</v>
      </c>
      <c r="L3790" s="199">
        <v>2</v>
      </c>
      <c r="M3790" s="200">
        <v>1.1000000000000001</v>
      </c>
      <c r="N3790" s="201">
        <v>38</v>
      </c>
    </row>
    <row r="3791" spans="1:14">
      <c r="A3791" s="194">
        <v>41293.581620370373</v>
      </c>
      <c r="B3791" s="195">
        <v>2263</v>
      </c>
      <c r="C3791" s="194"/>
      <c r="D3791" s="194"/>
      <c r="E3791" s="196" t="s">
        <v>1216</v>
      </c>
      <c r="F3791" s="195">
        <v>800</v>
      </c>
      <c r="G3791" s="197" t="s">
        <v>470</v>
      </c>
      <c r="H3791" s="197" t="s">
        <v>471</v>
      </c>
      <c r="J3791" s="195">
        <v>1</v>
      </c>
      <c r="K3791" s="204" t="s">
        <v>224</v>
      </c>
      <c r="L3791" s="199">
        <v>3</v>
      </c>
      <c r="M3791" s="200">
        <v>0.4</v>
      </c>
      <c r="N3791" s="201">
        <v>39</v>
      </c>
    </row>
    <row r="3792" spans="1:14">
      <c r="A3792" s="194">
        <v>41291.528506944444</v>
      </c>
      <c r="B3792" s="195">
        <v>2263</v>
      </c>
      <c r="C3792" s="194"/>
      <c r="D3792" s="194"/>
      <c r="E3792" s="196" t="s">
        <v>1132</v>
      </c>
      <c r="F3792" s="195">
        <v>800</v>
      </c>
      <c r="G3792" s="197" t="s">
        <v>470</v>
      </c>
      <c r="H3792" s="197" t="s">
        <v>471</v>
      </c>
      <c r="J3792" s="195">
        <v>1</v>
      </c>
      <c r="K3792" s="204" t="s">
        <v>224</v>
      </c>
      <c r="L3792" s="199">
        <v>1</v>
      </c>
      <c r="M3792" s="200">
        <v>0.8</v>
      </c>
      <c r="N3792" s="201">
        <v>41</v>
      </c>
    </row>
    <row r="3793" spans="1:14">
      <c r="A3793" s="194">
        <v>41296.270405092589</v>
      </c>
      <c r="B3793" s="195">
        <v>2263</v>
      </c>
      <c r="C3793" s="194"/>
      <c r="D3793" s="194"/>
      <c r="E3793" s="196" t="s">
        <v>1102</v>
      </c>
      <c r="F3793" s="195">
        <v>800</v>
      </c>
      <c r="G3793" s="197" t="s">
        <v>470</v>
      </c>
      <c r="H3793" s="197" t="s">
        <v>471</v>
      </c>
      <c r="J3793" s="195">
        <v>1</v>
      </c>
      <c r="K3793" s="204" t="s">
        <v>224</v>
      </c>
      <c r="L3793" s="199">
        <v>2</v>
      </c>
      <c r="M3793" s="200">
        <v>1.1000000000000001</v>
      </c>
      <c r="N3793" s="201">
        <v>42</v>
      </c>
    </row>
    <row r="3794" spans="1:14">
      <c r="A3794" s="194">
        <v>41282.770196759258</v>
      </c>
      <c r="B3794" s="195">
        <v>2263</v>
      </c>
      <c r="C3794" s="194"/>
      <c r="D3794" s="194"/>
      <c r="E3794" s="196" t="s">
        <v>747</v>
      </c>
      <c r="F3794" s="195">
        <v>800</v>
      </c>
      <c r="G3794" s="197" t="s">
        <v>470</v>
      </c>
      <c r="H3794" s="197" t="s">
        <v>471</v>
      </c>
      <c r="J3794" s="195">
        <v>1</v>
      </c>
      <c r="K3794" s="204" t="s">
        <v>224</v>
      </c>
      <c r="L3794" s="199">
        <v>3</v>
      </c>
      <c r="M3794" s="200">
        <v>1.2</v>
      </c>
      <c r="N3794" s="201">
        <v>43</v>
      </c>
    </row>
    <row r="3795" spans="1:14">
      <c r="A3795" s="194">
        <v>41301.443055555559</v>
      </c>
      <c r="B3795" s="195">
        <v>2263</v>
      </c>
      <c r="C3795" s="194"/>
      <c r="D3795" s="194"/>
      <c r="E3795" s="196" t="s">
        <v>1425</v>
      </c>
      <c r="F3795" s="195">
        <v>800</v>
      </c>
      <c r="G3795" s="197" t="s">
        <v>470</v>
      </c>
      <c r="H3795" s="197" t="s">
        <v>471</v>
      </c>
      <c r="J3795" s="195">
        <v>1</v>
      </c>
      <c r="K3795" s="204" t="s">
        <v>224</v>
      </c>
      <c r="L3795" s="199">
        <v>2</v>
      </c>
      <c r="M3795" s="200">
        <v>1.1000000000000001</v>
      </c>
      <c r="N3795" s="201">
        <v>44</v>
      </c>
    </row>
    <row r="3796" spans="1:14">
      <c r="A3796" s="194">
        <v>41302.529502314814</v>
      </c>
      <c r="B3796" s="195">
        <v>2263</v>
      </c>
      <c r="C3796" s="194"/>
      <c r="D3796" s="194"/>
      <c r="E3796" s="196" t="s">
        <v>1477</v>
      </c>
      <c r="F3796" s="195">
        <v>800</v>
      </c>
      <c r="G3796" s="197" t="s">
        <v>470</v>
      </c>
      <c r="H3796" s="197" t="s">
        <v>471</v>
      </c>
      <c r="J3796" s="195">
        <v>1</v>
      </c>
      <c r="K3796" s="204" t="s">
        <v>224</v>
      </c>
      <c r="L3796" s="199">
        <v>2</v>
      </c>
      <c r="M3796" s="200">
        <v>1.8</v>
      </c>
      <c r="N3796" s="201">
        <v>44</v>
      </c>
    </row>
    <row r="3797" spans="1:14">
      <c r="A3797" s="194">
        <v>41287.62537037037</v>
      </c>
      <c r="B3797" s="195">
        <v>2263</v>
      </c>
      <c r="C3797" s="194"/>
      <c r="D3797" s="194"/>
      <c r="E3797" s="196" t="s">
        <v>877</v>
      </c>
      <c r="F3797" s="195">
        <v>800</v>
      </c>
      <c r="G3797" s="197" t="s">
        <v>470</v>
      </c>
      <c r="H3797" s="197" t="s">
        <v>471</v>
      </c>
      <c r="J3797" s="195">
        <v>1</v>
      </c>
      <c r="K3797" s="204" t="s">
        <v>224</v>
      </c>
      <c r="L3797" s="199">
        <v>1</v>
      </c>
      <c r="M3797" s="200">
        <v>2.2000000000000002</v>
      </c>
      <c r="N3797" s="201">
        <v>49</v>
      </c>
    </row>
    <row r="3798" spans="1:14">
      <c r="A3798" s="194">
        <v>41285.348576388889</v>
      </c>
      <c r="B3798" s="195">
        <v>2263</v>
      </c>
      <c r="C3798" s="194"/>
      <c r="D3798" s="194"/>
      <c r="E3798" s="198"/>
      <c r="G3798" s="202"/>
      <c r="J3798" s="195">
        <v>2</v>
      </c>
      <c r="K3798" s="204" t="s">
        <v>32</v>
      </c>
      <c r="L3798" s="199">
        <v>1</v>
      </c>
      <c r="M3798" s="200">
        <v>0.6</v>
      </c>
      <c r="N3798" s="201">
        <v>17</v>
      </c>
    </row>
    <row r="3799" spans="1:14">
      <c r="A3799" s="194">
        <v>41296.34851851852</v>
      </c>
      <c r="B3799" s="195">
        <v>2263</v>
      </c>
      <c r="C3799" s="194"/>
      <c r="D3799" s="194"/>
      <c r="E3799" s="198"/>
      <c r="G3799" s="202"/>
      <c r="J3799" s="195">
        <v>2</v>
      </c>
      <c r="K3799" s="204" t="s">
        <v>32</v>
      </c>
      <c r="L3799" s="199">
        <v>2</v>
      </c>
      <c r="M3799" s="200">
        <v>0.4</v>
      </c>
      <c r="N3799" s="201">
        <v>19</v>
      </c>
    </row>
    <row r="3800" spans="1:14">
      <c r="A3800" s="194">
        <v>41286.726400462961</v>
      </c>
      <c r="B3800" s="195">
        <v>2263</v>
      </c>
      <c r="C3800" s="194"/>
      <c r="D3800" s="194"/>
      <c r="E3800" s="198"/>
      <c r="G3800" s="202"/>
      <c r="J3800" s="195">
        <v>2</v>
      </c>
      <c r="K3800" s="204" t="s">
        <v>32</v>
      </c>
      <c r="L3800" s="199">
        <v>1</v>
      </c>
      <c r="M3800" s="200">
        <v>0.4</v>
      </c>
      <c r="N3800" s="201">
        <v>21</v>
      </c>
    </row>
    <row r="3801" spans="1:14">
      <c r="A3801" s="194">
        <v>41300.506620370368</v>
      </c>
      <c r="B3801" s="195">
        <v>2263</v>
      </c>
      <c r="C3801" s="194"/>
      <c r="D3801" s="194"/>
      <c r="E3801" s="198"/>
      <c r="G3801" s="202"/>
      <c r="J3801" s="195">
        <v>2</v>
      </c>
      <c r="K3801" s="204" t="s">
        <v>32</v>
      </c>
      <c r="L3801" s="199">
        <v>2</v>
      </c>
      <c r="M3801" s="200">
        <v>0.8</v>
      </c>
      <c r="N3801" s="201">
        <v>23</v>
      </c>
    </row>
    <row r="3802" spans="1:14">
      <c r="A3802" s="194">
        <v>41293.696238425924</v>
      </c>
      <c r="B3802" s="195">
        <v>2263</v>
      </c>
      <c r="C3802" s="194"/>
      <c r="D3802" s="194"/>
      <c r="E3802" s="198"/>
      <c r="G3802" s="202"/>
      <c r="J3802" s="195">
        <v>2</v>
      </c>
      <c r="K3802" s="204" t="s">
        <v>32</v>
      </c>
      <c r="L3802" s="199">
        <v>2</v>
      </c>
      <c r="M3802" s="200">
        <v>1.3</v>
      </c>
      <c r="N3802" s="201">
        <v>23</v>
      </c>
    </row>
    <row r="3803" spans="1:14">
      <c r="A3803" s="194">
        <v>41286.662835648145</v>
      </c>
      <c r="B3803" s="195">
        <v>2263</v>
      </c>
      <c r="C3803" s="194"/>
      <c r="D3803" s="194"/>
      <c r="E3803" s="198"/>
      <c r="G3803" s="202"/>
      <c r="J3803" s="195">
        <v>2</v>
      </c>
      <c r="K3803" s="204" t="s">
        <v>32</v>
      </c>
      <c r="L3803" s="199">
        <v>2</v>
      </c>
      <c r="M3803" s="200">
        <v>0.4</v>
      </c>
      <c r="N3803" s="201">
        <v>26</v>
      </c>
    </row>
    <row r="3804" spans="1:14">
      <c r="A3804" s="194">
        <v>41285.390231481484</v>
      </c>
      <c r="B3804" s="195">
        <v>2263</v>
      </c>
      <c r="C3804" s="194"/>
      <c r="D3804" s="194"/>
      <c r="E3804" s="198"/>
      <c r="G3804" s="202"/>
      <c r="J3804" s="195">
        <v>2</v>
      </c>
      <c r="K3804" s="204" t="s">
        <v>32</v>
      </c>
      <c r="L3804" s="199">
        <v>1</v>
      </c>
      <c r="M3804" s="200">
        <v>1.7</v>
      </c>
      <c r="N3804" s="201">
        <v>29</v>
      </c>
    </row>
    <row r="3805" spans="1:14">
      <c r="A3805" s="194">
        <v>41286.754548611112</v>
      </c>
      <c r="B3805" s="195">
        <v>2263</v>
      </c>
      <c r="C3805" s="194"/>
      <c r="D3805" s="194"/>
      <c r="E3805" s="198"/>
      <c r="G3805" s="202"/>
      <c r="J3805" s="195">
        <v>2</v>
      </c>
      <c r="K3805" s="204" t="s">
        <v>32</v>
      </c>
      <c r="L3805" s="199">
        <v>2</v>
      </c>
      <c r="M3805" s="200">
        <v>0.8</v>
      </c>
      <c r="N3805" s="201">
        <v>32</v>
      </c>
    </row>
    <row r="3806" spans="1:14">
      <c r="A3806" s="194">
        <v>41304.263090277775</v>
      </c>
      <c r="B3806" s="195">
        <v>2263</v>
      </c>
      <c r="C3806" s="194"/>
      <c r="D3806" s="194"/>
      <c r="E3806" s="198"/>
      <c r="G3806" s="202"/>
      <c r="J3806" s="195">
        <v>2</v>
      </c>
      <c r="K3806" s="204" t="s">
        <v>32</v>
      </c>
      <c r="L3806" s="199">
        <v>3</v>
      </c>
      <c r="M3806" s="200">
        <v>0.5</v>
      </c>
      <c r="N3806" s="201">
        <v>40</v>
      </c>
    </row>
    <row r="3807" spans="1:14">
      <c r="A3807" s="194">
        <v>41276.845185185186</v>
      </c>
      <c r="B3807" s="195">
        <v>2263</v>
      </c>
      <c r="C3807" s="194"/>
      <c r="D3807" s="194"/>
      <c r="E3807" s="198"/>
      <c r="G3807" s="202"/>
      <c r="J3807" s="195">
        <v>2</v>
      </c>
      <c r="K3807" s="204" t="s">
        <v>32</v>
      </c>
      <c r="L3807" s="199">
        <v>2</v>
      </c>
      <c r="M3807" s="200">
        <v>0.7</v>
      </c>
      <c r="N3807" s="201">
        <v>49</v>
      </c>
    </row>
    <row r="3808" spans="1:14">
      <c r="A3808" s="194">
        <v>41302.579479166663</v>
      </c>
      <c r="B3808" s="195">
        <v>2263</v>
      </c>
      <c r="C3808" s="194"/>
      <c r="D3808" s="194"/>
      <c r="E3808" s="198"/>
      <c r="G3808" s="202"/>
      <c r="J3808" s="195">
        <v>2</v>
      </c>
      <c r="K3808" s="204" t="s">
        <v>32</v>
      </c>
      <c r="L3808" s="199">
        <v>2</v>
      </c>
      <c r="M3808" s="200">
        <v>0.3</v>
      </c>
      <c r="N3808" s="201">
        <v>50</v>
      </c>
    </row>
    <row r="3809" spans="1:14">
      <c r="A3809" s="194">
        <v>41301.570127314815</v>
      </c>
      <c r="B3809" s="195">
        <v>2263</v>
      </c>
      <c r="C3809" s="194"/>
      <c r="D3809" s="194"/>
      <c r="E3809" s="198"/>
      <c r="G3809" s="202"/>
      <c r="J3809" s="195">
        <v>2</v>
      </c>
      <c r="K3809" s="204" t="s">
        <v>32</v>
      </c>
      <c r="L3809" s="199">
        <v>3</v>
      </c>
      <c r="M3809" s="200">
        <v>0.8</v>
      </c>
      <c r="N3809" s="201">
        <v>55</v>
      </c>
    </row>
    <row r="3810" spans="1:14">
      <c r="A3810" s="194">
        <v>41294.975312499999</v>
      </c>
      <c r="B3810" s="195">
        <v>2263</v>
      </c>
      <c r="C3810" s="194"/>
      <c r="D3810" s="194"/>
      <c r="E3810" s="198"/>
      <c r="G3810" s="202"/>
      <c r="J3810" s="195">
        <v>2</v>
      </c>
      <c r="K3810" s="204" t="s">
        <v>32</v>
      </c>
      <c r="L3810" s="199">
        <v>2</v>
      </c>
      <c r="M3810" s="200">
        <v>0.3</v>
      </c>
      <c r="N3810" s="201">
        <v>65</v>
      </c>
    </row>
    <row r="3811" spans="1:14">
      <c r="A3811" s="194">
        <v>41305.498726851853</v>
      </c>
      <c r="B3811" s="195">
        <v>2263</v>
      </c>
      <c r="C3811" s="194"/>
      <c r="D3811" s="194"/>
      <c r="E3811" s="198"/>
      <c r="G3811" s="202"/>
      <c r="J3811" s="195">
        <v>3</v>
      </c>
      <c r="K3811" s="204" t="s">
        <v>1595</v>
      </c>
      <c r="L3811" s="199">
        <v>1</v>
      </c>
      <c r="M3811" s="200">
        <v>40.799999999999997</v>
      </c>
      <c r="N3811" s="201">
        <v>25</v>
      </c>
    </row>
    <row r="3812" spans="1:14">
      <c r="A3812" s="194">
        <v>41298.839120370372</v>
      </c>
      <c r="B3812" s="195">
        <v>2263</v>
      </c>
      <c r="C3812" s="194"/>
      <c r="D3812" s="194"/>
      <c r="E3812" s="198"/>
      <c r="G3812" s="202"/>
      <c r="J3812" s="195">
        <v>3</v>
      </c>
      <c r="K3812" s="204" t="s">
        <v>1595</v>
      </c>
      <c r="L3812" s="199">
        <v>3</v>
      </c>
      <c r="M3812" s="200">
        <v>14.2</v>
      </c>
      <c r="N3812" s="201">
        <v>33</v>
      </c>
    </row>
    <row r="3813" spans="1:14">
      <c r="A3813" s="194">
        <v>41279.598796296297</v>
      </c>
      <c r="B3813" s="195">
        <v>2263</v>
      </c>
      <c r="C3813" s="194"/>
      <c r="D3813" s="194"/>
      <c r="E3813" s="198"/>
      <c r="G3813" s="202"/>
      <c r="J3813" s="195">
        <v>11</v>
      </c>
      <c r="K3813" s="204" t="s">
        <v>1</v>
      </c>
      <c r="L3813" s="199">
        <v>2</v>
      </c>
      <c r="M3813" s="200">
        <v>40.799999999999997</v>
      </c>
      <c r="N3813" s="201">
        <v>15</v>
      </c>
    </row>
    <row r="3814" spans="1:14">
      <c r="A3814" s="194">
        <v>41299.417037037034</v>
      </c>
      <c r="B3814" s="195">
        <v>2263</v>
      </c>
      <c r="C3814" s="194"/>
      <c r="D3814" s="194"/>
      <c r="E3814" s="198"/>
      <c r="G3814" s="202"/>
      <c r="J3814" s="195">
        <v>11</v>
      </c>
      <c r="K3814" s="204" t="s">
        <v>1</v>
      </c>
      <c r="L3814" s="199">
        <v>3</v>
      </c>
      <c r="M3814" s="200">
        <v>0.3</v>
      </c>
      <c r="N3814" s="201">
        <v>16</v>
      </c>
    </row>
    <row r="3815" spans="1:14">
      <c r="A3815" s="194">
        <v>41305.255243055559</v>
      </c>
      <c r="B3815" s="195">
        <v>2263</v>
      </c>
      <c r="C3815" s="194"/>
      <c r="D3815" s="194"/>
      <c r="E3815" s="198"/>
      <c r="G3815" s="202"/>
      <c r="J3815" s="195">
        <v>11</v>
      </c>
      <c r="K3815" s="204" t="s">
        <v>1</v>
      </c>
      <c r="L3815" s="199">
        <v>1</v>
      </c>
      <c r="M3815" s="200">
        <v>44.8</v>
      </c>
      <c r="N3815" s="201">
        <v>16</v>
      </c>
    </row>
    <row r="3816" spans="1:14">
      <c r="A3816" s="194">
        <v>41299.346435185187</v>
      </c>
      <c r="B3816" s="195">
        <v>2263</v>
      </c>
      <c r="C3816" s="194"/>
      <c r="D3816" s="194"/>
      <c r="E3816" s="198"/>
      <c r="G3816" s="202"/>
      <c r="J3816" s="195">
        <v>11</v>
      </c>
      <c r="K3816" s="204" t="s">
        <v>1</v>
      </c>
      <c r="L3816" s="199">
        <v>1</v>
      </c>
      <c r="M3816" s="200">
        <v>0.5</v>
      </c>
      <c r="N3816" s="201">
        <v>18</v>
      </c>
    </row>
    <row r="3817" spans="1:14">
      <c r="A3817" s="194">
        <v>41277.341215277775</v>
      </c>
      <c r="B3817" s="195">
        <v>2263</v>
      </c>
      <c r="C3817" s="194"/>
      <c r="D3817" s="194"/>
      <c r="E3817" s="198"/>
      <c r="G3817" s="202"/>
      <c r="J3817" s="195">
        <v>11</v>
      </c>
      <c r="K3817" s="204" t="s">
        <v>1</v>
      </c>
      <c r="L3817" s="199">
        <v>2</v>
      </c>
      <c r="M3817" s="200">
        <v>0.5</v>
      </c>
      <c r="N3817" s="201">
        <v>18</v>
      </c>
    </row>
    <row r="3818" spans="1:14">
      <c r="A3818" s="194">
        <v>41291.342291666668</v>
      </c>
      <c r="B3818" s="195">
        <v>2263</v>
      </c>
      <c r="C3818" s="194"/>
      <c r="D3818" s="194"/>
      <c r="E3818" s="198"/>
      <c r="G3818" s="202"/>
      <c r="J3818" s="195">
        <v>11</v>
      </c>
      <c r="K3818" s="204" t="s">
        <v>1</v>
      </c>
      <c r="L3818" s="199">
        <v>2</v>
      </c>
      <c r="M3818" s="200">
        <v>0.3</v>
      </c>
      <c r="N3818" s="201">
        <v>20</v>
      </c>
    </row>
    <row r="3819" spans="1:14">
      <c r="A3819" s="194">
        <v>41284.344409722224</v>
      </c>
      <c r="B3819" s="195">
        <v>2263</v>
      </c>
      <c r="C3819" s="194"/>
      <c r="D3819" s="194"/>
      <c r="E3819" s="198"/>
      <c r="G3819" s="202"/>
      <c r="J3819" s="195">
        <v>11</v>
      </c>
      <c r="K3819" s="204" t="s">
        <v>1</v>
      </c>
      <c r="L3819" s="199">
        <v>1</v>
      </c>
      <c r="M3819" s="200">
        <v>2.9</v>
      </c>
      <c r="N3819" s="201">
        <v>20</v>
      </c>
    </row>
    <row r="3820" spans="1:14">
      <c r="A3820" s="194">
        <v>41304.337060185186</v>
      </c>
      <c r="B3820" s="195">
        <v>2263</v>
      </c>
      <c r="C3820" s="194"/>
      <c r="D3820" s="194"/>
      <c r="E3820" s="198"/>
      <c r="G3820" s="202"/>
      <c r="J3820" s="195">
        <v>11</v>
      </c>
      <c r="K3820" s="204" t="s">
        <v>1</v>
      </c>
      <c r="L3820" s="199">
        <v>3</v>
      </c>
      <c r="M3820" s="200">
        <v>1</v>
      </c>
      <c r="N3820" s="201">
        <v>21</v>
      </c>
    </row>
    <row r="3821" spans="1:14">
      <c r="A3821" s="194">
        <v>41303.618460648147</v>
      </c>
      <c r="B3821" s="195">
        <v>2263</v>
      </c>
      <c r="C3821" s="194"/>
      <c r="D3821" s="194"/>
      <c r="E3821" s="198"/>
      <c r="G3821" s="202"/>
      <c r="J3821" s="195">
        <v>11</v>
      </c>
      <c r="K3821" s="204" t="s">
        <v>1</v>
      </c>
      <c r="L3821" s="199">
        <v>3</v>
      </c>
      <c r="M3821" s="200">
        <v>31.8</v>
      </c>
      <c r="N3821" s="201">
        <v>22</v>
      </c>
    </row>
    <row r="3822" spans="1:14">
      <c r="A3822" s="194">
        <v>41305.350578703707</v>
      </c>
      <c r="B3822" s="195">
        <v>2263</v>
      </c>
      <c r="C3822" s="194"/>
      <c r="D3822" s="194"/>
      <c r="E3822" s="198"/>
      <c r="G3822" s="202"/>
      <c r="J3822" s="195">
        <v>11</v>
      </c>
      <c r="K3822" s="204" t="s">
        <v>1</v>
      </c>
      <c r="L3822" s="199">
        <v>1</v>
      </c>
      <c r="M3822" s="200">
        <v>1.6</v>
      </c>
      <c r="N3822" s="201">
        <v>23</v>
      </c>
    </row>
    <row r="3823" spans="1:14">
      <c r="A3823" s="194">
        <v>41284.339189814818</v>
      </c>
      <c r="B3823" s="195">
        <v>2263</v>
      </c>
      <c r="C3823" s="194"/>
      <c r="D3823" s="194"/>
      <c r="E3823" s="198"/>
      <c r="G3823" s="202"/>
      <c r="J3823" s="195">
        <v>11</v>
      </c>
      <c r="K3823" s="204" t="s">
        <v>1</v>
      </c>
      <c r="L3823" s="199">
        <v>2</v>
      </c>
      <c r="M3823" s="200">
        <v>2</v>
      </c>
      <c r="N3823" s="201">
        <v>26</v>
      </c>
    </row>
    <row r="3824" spans="1:14">
      <c r="A3824" s="194">
        <v>41275.550717592596</v>
      </c>
      <c r="B3824" s="195">
        <v>2263</v>
      </c>
      <c r="C3824" s="194"/>
      <c r="D3824" s="194"/>
      <c r="E3824" s="198"/>
      <c r="G3824" s="202"/>
      <c r="J3824" s="195">
        <v>11</v>
      </c>
      <c r="K3824" s="204" t="s">
        <v>1</v>
      </c>
      <c r="L3824" s="199">
        <v>1</v>
      </c>
      <c r="M3824" s="200">
        <v>11.8</v>
      </c>
      <c r="N3824" s="201">
        <v>26</v>
      </c>
    </row>
    <row r="3825" spans="1:14">
      <c r="A3825" s="194">
        <v>41302.340208333335</v>
      </c>
      <c r="B3825" s="195">
        <v>2263</v>
      </c>
      <c r="C3825" s="194"/>
      <c r="D3825" s="194"/>
      <c r="E3825" s="198"/>
      <c r="G3825" s="202"/>
      <c r="J3825" s="195">
        <v>11</v>
      </c>
      <c r="K3825" s="204" t="s">
        <v>1</v>
      </c>
      <c r="L3825" s="199">
        <v>2</v>
      </c>
      <c r="M3825" s="200">
        <v>0.7</v>
      </c>
      <c r="N3825" s="201">
        <v>27</v>
      </c>
    </row>
    <row r="3826" spans="1:14">
      <c r="A3826" s="194">
        <v>41291.823576388888</v>
      </c>
      <c r="B3826" s="195">
        <v>2263</v>
      </c>
      <c r="C3826" s="194"/>
      <c r="D3826" s="194"/>
      <c r="E3826" s="196" t="s">
        <v>1769</v>
      </c>
      <c r="G3826" s="202"/>
      <c r="J3826" s="195">
        <v>11</v>
      </c>
      <c r="K3826" s="204" t="s">
        <v>1</v>
      </c>
      <c r="L3826" s="199">
        <v>3</v>
      </c>
      <c r="M3826" s="200">
        <v>19.399999999999999</v>
      </c>
      <c r="N3826" s="201">
        <v>29</v>
      </c>
    </row>
    <row r="3827" spans="1:14">
      <c r="A3827" s="194">
        <v>41291.583981481483</v>
      </c>
      <c r="B3827" s="195">
        <v>2263</v>
      </c>
      <c r="C3827" s="194"/>
      <c r="D3827" s="194"/>
      <c r="E3827" s="198"/>
      <c r="G3827" s="202"/>
      <c r="J3827" s="195">
        <v>11</v>
      </c>
      <c r="K3827" s="204" t="s">
        <v>1</v>
      </c>
      <c r="L3827" s="199">
        <v>1</v>
      </c>
      <c r="M3827" s="200">
        <v>24.9</v>
      </c>
      <c r="N3827" s="201">
        <v>31</v>
      </c>
    </row>
    <row r="3828" spans="1:14">
      <c r="A3828" s="194">
        <v>41298.467013888891</v>
      </c>
      <c r="B3828" s="195">
        <v>2263</v>
      </c>
      <c r="C3828" s="194"/>
      <c r="D3828" s="194"/>
      <c r="E3828" s="198"/>
      <c r="G3828" s="202"/>
      <c r="J3828" s="195">
        <v>11</v>
      </c>
      <c r="K3828" s="204" t="s">
        <v>1</v>
      </c>
      <c r="L3828" s="199">
        <v>1</v>
      </c>
      <c r="M3828" s="200">
        <v>1</v>
      </c>
      <c r="N3828" s="201">
        <v>34</v>
      </c>
    </row>
    <row r="3829" spans="1:14">
      <c r="A3829" s="194">
        <v>41304.538900462961</v>
      </c>
      <c r="B3829" s="195">
        <v>2263</v>
      </c>
      <c r="C3829" s="194"/>
      <c r="D3829" s="194"/>
      <c r="E3829" s="198"/>
      <c r="G3829" s="202"/>
      <c r="J3829" s="195">
        <v>11</v>
      </c>
      <c r="K3829" s="204" t="s">
        <v>1</v>
      </c>
      <c r="L3829" s="199">
        <v>1</v>
      </c>
      <c r="M3829" s="200">
        <v>1.4</v>
      </c>
      <c r="N3829" s="201">
        <v>34</v>
      </c>
    </row>
    <row r="3830" spans="1:14">
      <c r="A3830" s="194">
        <v>41277.225370370368</v>
      </c>
      <c r="B3830" s="195">
        <v>2263</v>
      </c>
      <c r="C3830" s="194"/>
      <c r="D3830" s="194"/>
      <c r="E3830" s="198"/>
      <c r="G3830" s="202"/>
      <c r="J3830" s="195">
        <v>11</v>
      </c>
      <c r="K3830" s="204" t="s">
        <v>1</v>
      </c>
      <c r="L3830" s="199">
        <v>2</v>
      </c>
      <c r="M3830" s="200">
        <v>0.6</v>
      </c>
      <c r="N3830" s="201">
        <v>35</v>
      </c>
    </row>
    <row r="3831" spans="1:14">
      <c r="A3831" s="194">
        <v>41295.723402777781</v>
      </c>
      <c r="B3831" s="195">
        <v>2263</v>
      </c>
      <c r="C3831" s="194"/>
      <c r="D3831" s="194"/>
      <c r="E3831" s="198"/>
      <c r="G3831" s="202"/>
      <c r="J3831" s="195">
        <v>11</v>
      </c>
      <c r="K3831" s="204" t="s">
        <v>1</v>
      </c>
      <c r="L3831" s="199">
        <v>1</v>
      </c>
      <c r="M3831" s="200">
        <v>1</v>
      </c>
      <c r="N3831" s="201">
        <v>36</v>
      </c>
    </row>
    <row r="3832" spans="1:14">
      <c r="A3832" s="194">
        <v>41304.913865740738</v>
      </c>
      <c r="B3832" s="195">
        <v>2263</v>
      </c>
      <c r="C3832" s="194"/>
      <c r="D3832" s="194"/>
      <c r="E3832" s="198"/>
      <c r="G3832" s="202"/>
      <c r="J3832" s="195">
        <v>11</v>
      </c>
      <c r="K3832" s="204" t="s">
        <v>1</v>
      </c>
      <c r="L3832" s="199">
        <v>3</v>
      </c>
      <c r="M3832" s="200">
        <v>0.3</v>
      </c>
      <c r="N3832" s="201">
        <v>37</v>
      </c>
    </row>
    <row r="3833" spans="1:14">
      <c r="A3833" s="194">
        <v>41283.854502314818</v>
      </c>
      <c r="B3833" s="195">
        <v>2263</v>
      </c>
      <c r="C3833" s="194"/>
      <c r="D3833" s="194"/>
      <c r="E3833" s="198"/>
      <c r="G3833" s="202"/>
      <c r="J3833" s="195">
        <v>11</v>
      </c>
      <c r="K3833" s="204" t="s">
        <v>1</v>
      </c>
      <c r="L3833" s="199">
        <v>2</v>
      </c>
      <c r="M3833" s="200">
        <v>0.6</v>
      </c>
      <c r="N3833" s="201">
        <v>37</v>
      </c>
    </row>
    <row r="3834" spans="1:14">
      <c r="A3834" s="194">
        <v>41298.644143518519</v>
      </c>
      <c r="B3834" s="195">
        <v>2263</v>
      </c>
      <c r="C3834" s="194"/>
      <c r="D3834" s="194"/>
      <c r="E3834" s="198"/>
      <c r="G3834" s="202"/>
      <c r="J3834" s="195">
        <v>11</v>
      </c>
      <c r="K3834" s="204" t="s">
        <v>1</v>
      </c>
      <c r="L3834" s="199">
        <v>2</v>
      </c>
      <c r="M3834" s="200">
        <v>0.4</v>
      </c>
      <c r="N3834" s="201">
        <v>38</v>
      </c>
    </row>
    <row r="3835" spans="1:14">
      <c r="A3835" s="194">
        <v>41278.764050925929</v>
      </c>
      <c r="B3835" s="195">
        <v>2263</v>
      </c>
      <c r="C3835" s="194"/>
      <c r="D3835" s="194"/>
      <c r="E3835" s="198"/>
      <c r="G3835" s="202"/>
      <c r="J3835" s="195">
        <v>11</v>
      </c>
      <c r="K3835" s="204" t="s">
        <v>1</v>
      </c>
      <c r="L3835" s="199">
        <v>1</v>
      </c>
      <c r="M3835" s="200">
        <v>0.4</v>
      </c>
      <c r="N3835" s="201">
        <v>38</v>
      </c>
    </row>
    <row r="3836" spans="1:14">
      <c r="A3836" s="194">
        <v>41304.280798611115</v>
      </c>
      <c r="B3836" s="195">
        <v>2263</v>
      </c>
      <c r="C3836" s="194"/>
      <c r="D3836" s="194"/>
      <c r="E3836" s="198"/>
      <c r="G3836" s="202"/>
      <c r="J3836" s="195">
        <v>11</v>
      </c>
      <c r="K3836" s="204" t="s">
        <v>1</v>
      </c>
      <c r="L3836" s="199">
        <v>3</v>
      </c>
      <c r="M3836" s="200">
        <v>0.6</v>
      </c>
      <c r="N3836" s="201">
        <v>38</v>
      </c>
    </row>
    <row r="3837" spans="1:14">
      <c r="A3837" s="194">
        <v>41296.66815972222</v>
      </c>
      <c r="B3837" s="195">
        <v>2263</v>
      </c>
      <c r="C3837" s="194"/>
      <c r="D3837" s="194"/>
      <c r="E3837" s="198"/>
      <c r="G3837" s="202"/>
      <c r="J3837" s="195">
        <v>11</v>
      </c>
      <c r="K3837" s="204" t="s">
        <v>1</v>
      </c>
      <c r="L3837" s="199">
        <v>1</v>
      </c>
      <c r="M3837" s="200">
        <v>1.2</v>
      </c>
      <c r="N3837" s="201">
        <v>38</v>
      </c>
    </row>
    <row r="3838" spans="1:14">
      <c r="A3838" s="194">
        <v>41302.28396990741</v>
      </c>
      <c r="B3838" s="195">
        <v>2263</v>
      </c>
      <c r="C3838" s="194"/>
      <c r="D3838" s="194"/>
      <c r="E3838" s="198"/>
      <c r="G3838" s="202"/>
      <c r="J3838" s="195">
        <v>11</v>
      </c>
      <c r="K3838" s="204" t="s">
        <v>1</v>
      </c>
      <c r="L3838" s="199">
        <v>2</v>
      </c>
      <c r="M3838" s="200">
        <v>0.6</v>
      </c>
      <c r="N3838" s="201">
        <v>41</v>
      </c>
    </row>
    <row r="3839" spans="1:14">
      <c r="A3839" s="194">
        <v>41303.273449074077</v>
      </c>
      <c r="B3839" s="195">
        <v>2263</v>
      </c>
      <c r="C3839" s="194"/>
      <c r="D3839" s="194"/>
      <c r="E3839" s="198"/>
      <c r="G3839" s="202"/>
      <c r="J3839" s="195">
        <v>11</v>
      </c>
      <c r="K3839" s="204" t="s">
        <v>1</v>
      </c>
      <c r="L3839" s="199">
        <v>2</v>
      </c>
      <c r="M3839" s="200">
        <v>0.3</v>
      </c>
      <c r="N3839" s="201">
        <v>42</v>
      </c>
    </row>
    <row r="3840" spans="1:14">
      <c r="A3840" s="194">
        <v>41294.872199074074</v>
      </c>
      <c r="B3840" s="195">
        <v>2263</v>
      </c>
      <c r="C3840" s="194"/>
      <c r="D3840" s="194"/>
      <c r="E3840" s="198"/>
      <c r="G3840" s="202"/>
      <c r="J3840" s="195">
        <v>11</v>
      </c>
      <c r="K3840" s="204" t="s">
        <v>1</v>
      </c>
      <c r="L3840" s="199">
        <v>3</v>
      </c>
      <c r="M3840" s="200">
        <v>0.4</v>
      </c>
      <c r="N3840" s="201">
        <v>43</v>
      </c>
    </row>
    <row r="3841" spans="1:14">
      <c r="A3841" s="194">
        <v>41288.699386574073</v>
      </c>
      <c r="B3841" s="195">
        <v>2263</v>
      </c>
      <c r="C3841" s="194"/>
      <c r="D3841" s="194"/>
      <c r="E3841" s="198"/>
      <c r="G3841" s="202"/>
      <c r="J3841" s="195">
        <v>11</v>
      </c>
      <c r="K3841" s="204" t="s">
        <v>1</v>
      </c>
      <c r="L3841" s="199">
        <v>2</v>
      </c>
      <c r="M3841" s="200">
        <v>1.6</v>
      </c>
      <c r="N3841" s="201">
        <v>43</v>
      </c>
    </row>
    <row r="3842" spans="1:14">
      <c r="A3842" s="194">
        <v>41290.558692129627</v>
      </c>
      <c r="B3842" s="195">
        <v>2263</v>
      </c>
      <c r="C3842" s="194"/>
      <c r="D3842" s="194"/>
      <c r="E3842" s="198"/>
      <c r="G3842" s="202"/>
      <c r="J3842" s="195">
        <v>11</v>
      </c>
      <c r="K3842" s="204" t="s">
        <v>1</v>
      </c>
      <c r="L3842" s="199">
        <v>2</v>
      </c>
      <c r="M3842" s="200">
        <v>1.2</v>
      </c>
      <c r="N3842" s="201">
        <v>45</v>
      </c>
    </row>
    <row r="3843" spans="1:14">
      <c r="A3843" s="194">
        <v>41279.891041666669</v>
      </c>
      <c r="B3843" s="195">
        <v>2263</v>
      </c>
      <c r="C3843" s="194"/>
      <c r="D3843" s="194"/>
      <c r="E3843" s="198"/>
      <c r="G3843" s="202"/>
      <c r="J3843" s="195">
        <v>11</v>
      </c>
      <c r="K3843" s="204" t="s">
        <v>1</v>
      </c>
      <c r="L3843" s="199">
        <v>1</v>
      </c>
      <c r="M3843" s="200">
        <v>0.5</v>
      </c>
      <c r="N3843" s="201">
        <v>48</v>
      </c>
    </row>
    <row r="3844" spans="1:14">
      <c r="A3844" s="194">
        <v>41302.431620370371</v>
      </c>
      <c r="B3844" s="195">
        <v>2263</v>
      </c>
      <c r="C3844" s="194"/>
      <c r="D3844" s="194"/>
      <c r="E3844" s="198"/>
      <c r="G3844" s="202"/>
      <c r="J3844" s="195">
        <v>11</v>
      </c>
      <c r="K3844" s="204" t="s">
        <v>1</v>
      </c>
      <c r="L3844" s="199">
        <v>1</v>
      </c>
      <c r="M3844" s="200">
        <v>0.9</v>
      </c>
      <c r="N3844" s="201">
        <v>50</v>
      </c>
    </row>
    <row r="3845" spans="1:14">
      <c r="A3845" s="194">
        <v>41287.942337962966</v>
      </c>
      <c r="B3845" s="195">
        <v>2263</v>
      </c>
      <c r="C3845" s="194"/>
      <c r="D3845" s="194"/>
      <c r="E3845" s="198"/>
      <c r="G3845" s="202"/>
      <c r="J3845" s="195">
        <v>12</v>
      </c>
      <c r="K3845" s="204" t="s">
        <v>7</v>
      </c>
      <c r="L3845" s="199">
        <v>3</v>
      </c>
      <c r="M3845" s="200">
        <v>13.2</v>
      </c>
      <c r="N3845" s="201">
        <v>17</v>
      </c>
    </row>
    <row r="3846" spans="1:14">
      <c r="A3846" s="194">
        <v>41288.290312500001</v>
      </c>
      <c r="B3846" s="195">
        <v>2263</v>
      </c>
      <c r="C3846" s="194"/>
      <c r="D3846" s="194"/>
      <c r="E3846" s="198"/>
      <c r="G3846" s="202"/>
      <c r="J3846" s="195">
        <v>12</v>
      </c>
      <c r="K3846" s="204" t="s">
        <v>7</v>
      </c>
      <c r="L3846" s="199">
        <v>2</v>
      </c>
      <c r="M3846" s="200">
        <v>2.5</v>
      </c>
      <c r="N3846" s="201">
        <v>25</v>
      </c>
    </row>
    <row r="3847" spans="1:14">
      <c r="A3847" s="194">
        <v>41285.345451388886</v>
      </c>
      <c r="B3847" s="195">
        <v>2263</v>
      </c>
      <c r="C3847" s="194"/>
      <c r="D3847" s="194"/>
      <c r="E3847" s="198"/>
      <c r="G3847" s="202"/>
      <c r="J3847" s="195">
        <v>13</v>
      </c>
      <c r="K3847" s="204" t="s">
        <v>3</v>
      </c>
      <c r="L3847" s="199">
        <v>1</v>
      </c>
      <c r="M3847" s="200">
        <v>1</v>
      </c>
      <c r="N3847" s="201">
        <v>21</v>
      </c>
    </row>
    <row r="3848" spans="1:14">
      <c r="A3848" s="194">
        <v>41295.366273148145</v>
      </c>
      <c r="B3848" s="195">
        <v>2263</v>
      </c>
      <c r="C3848" s="194"/>
      <c r="D3848" s="194"/>
      <c r="E3848" s="198"/>
      <c r="G3848" s="202"/>
      <c r="J3848" s="195">
        <v>13</v>
      </c>
      <c r="K3848" s="204" t="s">
        <v>3</v>
      </c>
      <c r="L3848" s="199">
        <v>2</v>
      </c>
      <c r="M3848" s="200">
        <v>1.2</v>
      </c>
      <c r="N3848" s="201">
        <v>32</v>
      </c>
    </row>
    <row r="3849" spans="1:14">
      <c r="A3849" s="194">
        <v>41291.468101851853</v>
      </c>
      <c r="B3849" s="195">
        <v>2263</v>
      </c>
      <c r="C3849" s="194"/>
      <c r="D3849" s="194"/>
      <c r="E3849" s="198"/>
      <c r="G3849" s="202"/>
      <c r="J3849" s="195">
        <v>13</v>
      </c>
      <c r="K3849" s="204" t="s">
        <v>3</v>
      </c>
      <c r="L3849" s="199">
        <v>1</v>
      </c>
      <c r="M3849" s="200">
        <v>2</v>
      </c>
      <c r="N3849" s="201">
        <v>41</v>
      </c>
    </row>
    <row r="3850" spans="1:14">
      <c r="A3850" s="194">
        <v>41292.355787037035</v>
      </c>
      <c r="B3850" s="195">
        <v>2263</v>
      </c>
      <c r="C3850" s="194"/>
      <c r="D3850" s="194"/>
      <c r="E3850" s="198"/>
      <c r="G3850" s="202"/>
      <c r="J3850" s="195">
        <v>15</v>
      </c>
      <c r="K3850" s="204" t="s">
        <v>4</v>
      </c>
      <c r="L3850" s="199">
        <v>2</v>
      </c>
      <c r="M3850" s="200">
        <v>0.4</v>
      </c>
      <c r="N3850" s="201">
        <v>21</v>
      </c>
    </row>
    <row r="3851" spans="1:14">
      <c r="A3851" s="194">
        <v>41294.486828703702</v>
      </c>
      <c r="B3851" s="195">
        <v>2263</v>
      </c>
      <c r="C3851" s="194"/>
      <c r="D3851" s="194"/>
      <c r="E3851" s="198"/>
      <c r="G3851" s="202"/>
      <c r="J3851" s="195">
        <v>15</v>
      </c>
      <c r="K3851" s="204" t="s">
        <v>4</v>
      </c>
      <c r="L3851" s="199">
        <v>2</v>
      </c>
      <c r="M3851" s="200">
        <v>0.3</v>
      </c>
      <c r="N3851" s="201">
        <v>35</v>
      </c>
    </row>
    <row r="3852" spans="1:14">
      <c r="A3852" s="194">
        <v>41284.587025462963</v>
      </c>
      <c r="B3852" s="195">
        <v>2263</v>
      </c>
      <c r="C3852" s="194"/>
      <c r="D3852" s="194"/>
      <c r="E3852" s="198"/>
      <c r="G3852" s="202"/>
      <c r="J3852" s="195">
        <v>17</v>
      </c>
      <c r="K3852" s="204" t="s">
        <v>11</v>
      </c>
      <c r="L3852" s="199">
        <v>3</v>
      </c>
      <c r="M3852" s="200">
        <v>15</v>
      </c>
      <c r="N3852" s="201">
        <v>0</v>
      </c>
    </row>
    <row r="3853" spans="1:14">
      <c r="A3853" s="194">
        <v>41301.567002314812</v>
      </c>
      <c r="B3853" s="195">
        <v>2263</v>
      </c>
      <c r="C3853" s="194"/>
      <c r="D3853" s="194"/>
      <c r="E3853" s="198"/>
      <c r="G3853" s="202"/>
      <c r="J3853" s="195">
        <v>17</v>
      </c>
      <c r="K3853" s="204" t="s">
        <v>11</v>
      </c>
      <c r="L3853" s="199">
        <v>3</v>
      </c>
      <c r="M3853" s="200">
        <v>0.7</v>
      </c>
      <c r="N3853" s="201">
        <v>16</v>
      </c>
    </row>
    <row r="3854" spans="1:14">
      <c r="A3854" s="194">
        <v>41299.487870370373</v>
      </c>
      <c r="B3854" s="195">
        <v>2263</v>
      </c>
      <c r="C3854" s="194"/>
      <c r="D3854" s="194"/>
      <c r="E3854" s="198"/>
      <c r="G3854" s="202"/>
      <c r="J3854" s="195">
        <v>17</v>
      </c>
      <c r="K3854" s="204" t="s">
        <v>11</v>
      </c>
      <c r="L3854" s="199">
        <v>1</v>
      </c>
      <c r="M3854" s="200">
        <v>0.8</v>
      </c>
      <c r="N3854" s="201">
        <v>16</v>
      </c>
    </row>
    <row r="3855" spans="1:14">
      <c r="A3855" s="194">
        <v>41299.354768518519</v>
      </c>
      <c r="B3855" s="195">
        <v>2263</v>
      </c>
      <c r="C3855" s="194"/>
      <c r="D3855" s="194"/>
      <c r="E3855" s="198"/>
      <c r="G3855" s="202"/>
      <c r="J3855" s="195">
        <v>17</v>
      </c>
      <c r="K3855" s="204" t="s">
        <v>11</v>
      </c>
      <c r="L3855" s="199">
        <v>3</v>
      </c>
      <c r="M3855" s="200">
        <v>0.8</v>
      </c>
      <c r="N3855" s="201">
        <v>16</v>
      </c>
    </row>
    <row r="3856" spans="1:14">
      <c r="A3856" s="194">
        <v>41298.238900462966</v>
      </c>
      <c r="B3856" s="195">
        <v>2263</v>
      </c>
      <c r="C3856" s="194"/>
      <c r="D3856" s="194"/>
      <c r="E3856" s="198"/>
      <c r="G3856" s="202"/>
      <c r="J3856" s="195">
        <v>17</v>
      </c>
      <c r="K3856" s="204" t="s">
        <v>11</v>
      </c>
      <c r="L3856" s="199">
        <v>2</v>
      </c>
      <c r="M3856" s="200">
        <v>0.8</v>
      </c>
      <c r="N3856" s="201">
        <v>16</v>
      </c>
    </row>
    <row r="3857" spans="1:14">
      <c r="A3857" s="194">
        <v>41278.395462962966</v>
      </c>
      <c r="B3857" s="195">
        <v>2263</v>
      </c>
      <c r="C3857" s="194"/>
      <c r="D3857" s="194"/>
      <c r="E3857" s="198"/>
      <c r="G3857" s="202"/>
      <c r="J3857" s="195">
        <v>17</v>
      </c>
      <c r="K3857" s="204" t="s">
        <v>11</v>
      </c>
      <c r="L3857" s="199">
        <v>1</v>
      </c>
      <c r="M3857" s="200">
        <v>1.1000000000000001</v>
      </c>
      <c r="N3857" s="201">
        <v>16</v>
      </c>
    </row>
    <row r="3858" spans="1:14">
      <c r="A3858" s="194">
        <v>41280.538946759261</v>
      </c>
      <c r="B3858" s="195">
        <v>2263</v>
      </c>
      <c r="C3858" s="194"/>
      <c r="D3858" s="194"/>
      <c r="E3858" s="198"/>
      <c r="G3858" s="202"/>
      <c r="J3858" s="195">
        <v>17</v>
      </c>
      <c r="K3858" s="204" t="s">
        <v>11</v>
      </c>
      <c r="L3858" s="199">
        <v>1</v>
      </c>
      <c r="M3858" s="200">
        <v>1.4</v>
      </c>
      <c r="N3858" s="201">
        <v>16</v>
      </c>
    </row>
    <row r="3859" spans="1:14">
      <c r="A3859" s="194">
        <v>41293.461851851855</v>
      </c>
      <c r="B3859" s="195">
        <v>2263</v>
      </c>
      <c r="C3859" s="194"/>
      <c r="D3859" s="194"/>
      <c r="E3859" s="198"/>
      <c r="G3859" s="202"/>
      <c r="J3859" s="195">
        <v>17</v>
      </c>
      <c r="K3859" s="204" t="s">
        <v>11</v>
      </c>
      <c r="L3859" s="199">
        <v>2</v>
      </c>
      <c r="M3859" s="200">
        <v>2.5</v>
      </c>
      <c r="N3859" s="201">
        <v>16</v>
      </c>
    </row>
    <row r="3860" spans="1:14">
      <c r="A3860" s="194">
        <v>41296.454548611109</v>
      </c>
      <c r="B3860" s="195">
        <v>2263</v>
      </c>
      <c r="C3860" s="194"/>
      <c r="D3860" s="194"/>
      <c r="E3860" s="198"/>
      <c r="G3860" s="202"/>
      <c r="J3860" s="195">
        <v>17</v>
      </c>
      <c r="K3860" s="204" t="s">
        <v>11</v>
      </c>
      <c r="L3860" s="199">
        <v>1</v>
      </c>
      <c r="M3860" s="200">
        <v>2.9</v>
      </c>
      <c r="N3860" s="201">
        <v>16</v>
      </c>
    </row>
    <row r="3861" spans="1:14">
      <c r="A3861" s="194">
        <v>41281.46607638889</v>
      </c>
      <c r="B3861" s="195">
        <v>2263</v>
      </c>
      <c r="C3861" s="194"/>
      <c r="D3861" s="194"/>
      <c r="E3861" s="198"/>
      <c r="G3861" s="202"/>
      <c r="J3861" s="195">
        <v>17</v>
      </c>
      <c r="K3861" s="204" t="s">
        <v>11</v>
      </c>
      <c r="L3861" s="199">
        <v>1</v>
      </c>
      <c r="M3861" s="200">
        <v>3.7</v>
      </c>
      <c r="N3861" s="201">
        <v>16</v>
      </c>
    </row>
    <row r="3862" spans="1:14">
      <c r="A3862" s="194">
        <v>41282.264189814814</v>
      </c>
      <c r="B3862" s="195">
        <v>2263</v>
      </c>
      <c r="C3862" s="194"/>
      <c r="D3862" s="194"/>
      <c r="E3862" s="198"/>
      <c r="G3862" s="202"/>
      <c r="J3862" s="195">
        <v>17</v>
      </c>
      <c r="K3862" s="204" t="s">
        <v>11</v>
      </c>
      <c r="L3862" s="199">
        <v>1</v>
      </c>
      <c r="M3862" s="200">
        <v>3.9</v>
      </c>
      <c r="N3862" s="201">
        <v>16</v>
      </c>
    </row>
    <row r="3863" spans="1:14">
      <c r="A3863" s="194">
        <v>41287.633831018517</v>
      </c>
      <c r="B3863" s="195">
        <v>2263</v>
      </c>
      <c r="C3863" s="194"/>
      <c r="D3863" s="194"/>
      <c r="E3863" s="198"/>
      <c r="G3863" s="202"/>
      <c r="J3863" s="195">
        <v>17</v>
      </c>
      <c r="K3863" s="204" t="s">
        <v>11</v>
      </c>
      <c r="L3863" s="199">
        <v>3</v>
      </c>
      <c r="M3863" s="200">
        <v>13.2</v>
      </c>
      <c r="N3863" s="201">
        <v>16</v>
      </c>
    </row>
    <row r="3864" spans="1:14">
      <c r="A3864" s="194">
        <v>41279.901620370372</v>
      </c>
      <c r="B3864" s="195">
        <v>2263</v>
      </c>
      <c r="C3864" s="194"/>
      <c r="D3864" s="194"/>
      <c r="E3864" s="198"/>
      <c r="G3864" s="202"/>
      <c r="J3864" s="195">
        <v>17</v>
      </c>
      <c r="K3864" s="204" t="s">
        <v>11</v>
      </c>
      <c r="L3864" s="199">
        <v>1</v>
      </c>
      <c r="M3864" s="200">
        <v>15.6</v>
      </c>
      <c r="N3864" s="201">
        <v>16</v>
      </c>
    </row>
    <row r="3865" spans="1:14">
      <c r="A3865" s="194">
        <v>41281.952592592592</v>
      </c>
      <c r="B3865" s="195">
        <v>2263</v>
      </c>
      <c r="C3865" s="194"/>
      <c r="D3865" s="194"/>
      <c r="E3865" s="198"/>
      <c r="G3865" s="202"/>
      <c r="J3865" s="195">
        <v>17</v>
      </c>
      <c r="K3865" s="204" t="s">
        <v>11</v>
      </c>
      <c r="L3865" s="199">
        <v>2</v>
      </c>
      <c r="M3865" s="200">
        <v>16.8</v>
      </c>
      <c r="N3865" s="201">
        <v>16</v>
      </c>
    </row>
    <row r="3866" spans="1:14">
      <c r="A3866" s="194">
        <v>41296.371678240743</v>
      </c>
      <c r="B3866" s="195">
        <v>2263</v>
      </c>
      <c r="C3866" s="194"/>
      <c r="D3866" s="194"/>
      <c r="E3866" s="198"/>
      <c r="G3866" s="202"/>
      <c r="J3866" s="195">
        <v>17</v>
      </c>
      <c r="K3866" s="204" t="s">
        <v>11</v>
      </c>
      <c r="L3866" s="199">
        <v>3</v>
      </c>
      <c r="M3866" s="200">
        <v>21.7</v>
      </c>
      <c r="N3866" s="201">
        <v>16</v>
      </c>
    </row>
    <row r="3867" spans="1:14">
      <c r="A3867" s="194">
        <v>41301.357604166667</v>
      </c>
      <c r="B3867" s="195">
        <v>2263</v>
      </c>
      <c r="C3867" s="194"/>
      <c r="D3867" s="194"/>
      <c r="E3867" s="198"/>
      <c r="G3867" s="202"/>
      <c r="J3867" s="195">
        <v>17</v>
      </c>
      <c r="K3867" s="204" t="s">
        <v>11</v>
      </c>
      <c r="L3867" s="199">
        <v>1</v>
      </c>
      <c r="M3867" s="200">
        <v>0.4</v>
      </c>
      <c r="N3867" s="201">
        <v>17</v>
      </c>
    </row>
    <row r="3868" spans="1:14">
      <c r="A3868" s="194">
        <v>41283.418090277781</v>
      </c>
      <c r="B3868" s="195">
        <v>2263</v>
      </c>
      <c r="C3868" s="194"/>
      <c r="D3868" s="194"/>
      <c r="E3868" s="198"/>
      <c r="G3868" s="202"/>
      <c r="J3868" s="195">
        <v>17</v>
      </c>
      <c r="K3868" s="204" t="s">
        <v>11</v>
      </c>
      <c r="L3868" s="199">
        <v>1</v>
      </c>
      <c r="M3868" s="200">
        <v>0.4</v>
      </c>
      <c r="N3868" s="201">
        <v>17</v>
      </c>
    </row>
    <row r="3869" spans="1:14">
      <c r="A3869" s="194">
        <v>41289.269363425927</v>
      </c>
      <c r="B3869" s="195">
        <v>2263</v>
      </c>
      <c r="C3869" s="194"/>
      <c r="D3869" s="194"/>
      <c r="E3869" s="198"/>
      <c r="G3869" s="202"/>
      <c r="J3869" s="195">
        <v>17</v>
      </c>
      <c r="K3869" s="204" t="s">
        <v>11</v>
      </c>
      <c r="L3869" s="199">
        <v>1</v>
      </c>
      <c r="M3869" s="200">
        <v>0.6</v>
      </c>
      <c r="N3869" s="201">
        <v>17</v>
      </c>
    </row>
    <row r="3870" spans="1:14">
      <c r="A3870" s="194">
        <v>41303.246145833335</v>
      </c>
      <c r="B3870" s="195">
        <v>2263</v>
      </c>
      <c r="C3870" s="194"/>
      <c r="D3870" s="194"/>
      <c r="E3870" s="198"/>
      <c r="G3870" s="202"/>
      <c r="J3870" s="195">
        <v>17</v>
      </c>
      <c r="K3870" s="204" t="s">
        <v>11</v>
      </c>
      <c r="L3870" s="199">
        <v>2</v>
      </c>
      <c r="M3870" s="200">
        <v>2.4</v>
      </c>
      <c r="N3870" s="201">
        <v>17</v>
      </c>
    </row>
    <row r="3871" spans="1:14">
      <c r="A3871" s="194">
        <v>41296.631747685184</v>
      </c>
      <c r="B3871" s="195">
        <v>2263</v>
      </c>
      <c r="C3871" s="194"/>
      <c r="D3871" s="194"/>
      <c r="E3871" s="198"/>
      <c r="G3871" s="202"/>
      <c r="J3871" s="195">
        <v>17</v>
      </c>
      <c r="K3871" s="204" t="s">
        <v>11</v>
      </c>
      <c r="L3871" s="199">
        <v>1</v>
      </c>
      <c r="M3871" s="200">
        <v>5.3</v>
      </c>
      <c r="N3871" s="201">
        <v>17</v>
      </c>
    </row>
    <row r="3872" spans="1:14">
      <c r="A3872" s="194">
        <v>41286.350532407407</v>
      </c>
      <c r="B3872" s="195">
        <v>2263</v>
      </c>
      <c r="C3872" s="194"/>
      <c r="D3872" s="194"/>
      <c r="E3872" s="198"/>
      <c r="G3872" s="202"/>
      <c r="J3872" s="195">
        <v>17</v>
      </c>
      <c r="K3872" s="204" t="s">
        <v>11</v>
      </c>
      <c r="L3872" s="199">
        <v>3</v>
      </c>
      <c r="M3872" s="200">
        <v>17.399999999999999</v>
      </c>
      <c r="N3872" s="201">
        <v>17</v>
      </c>
    </row>
    <row r="3873" spans="1:14">
      <c r="A3873" s="194">
        <v>41297.673645833333</v>
      </c>
      <c r="B3873" s="195">
        <v>2263</v>
      </c>
      <c r="C3873" s="194"/>
      <c r="D3873" s="194"/>
      <c r="E3873" s="198"/>
      <c r="G3873" s="202"/>
      <c r="J3873" s="195">
        <v>17</v>
      </c>
      <c r="K3873" s="204" t="s">
        <v>11</v>
      </c>
      <c r="L3873" s="199">
        <v>2</v>
      </c>
      <c r="M3873" s="200">
        <v>28.1</v>
      </c>
      <c r="N3873" s="201">
        <v>17</v>
      </c>
    </row>
    <row r="3874" spans="1:14">
      <c r="A3874" s="194">
        <v>41295.609201388892</v>
      </c>
      <c r="B3874" s="195">
        <v>2263</v>
      </c>
      <c r="C3874" s="194"/>
      <c r="D3874" s="194"/>
      <c r="E3874" s="198"/>
      <c r="G3874" s="202"/>
      <c r="J3874" s="195">
        <v>17</v>
      </c>
      <c r="K3874" s="204" t="s">
        <v>11</v>
      </c>
      <c r="L3874" s="199">
        <v>1</v>
      </c>
      <c r="M3874" s="200">
        <v>34.1</v>
      </c>
      <c r="N3874" s="201">
        <v>17</v>
      </c>
    </row>
    <row r="3875" spans="1:14">
      <c r="A3875" s="194">
        <v>41297.652986111112</v>
      </c>
      <c r="B3875" s="195">
        <v>2263</v>
      </c>
      <c r="C3875" s="194"/>
      <c r="D3875" s="194"/>
      <c r="E3875" s="198"/>
      <c r="G3875" s="202"/>
      <c r="J3875" s="195">
        <v>17</v>
      </c>
      <c r="K3875" s="204" t="s">
        <v>11</v>
      </c>
      <c r="L3875" s="199">
        <v>1</v>
      </c>
      <c r="M3875" s="200">
        <v>43.2</v>
      </c>
      <c r="N3875" s="201">
        <v>17</v>
      </c>
    </row>
    <row r="3876" spans="1:14">
      <c r="A3876" s="194">
        <v>41297.491990740738</v>
      </c>
      <c r="B3876" s="195">
        <v>2263</v>
      </c>
      <c r="C3876" s="194"/>
      <c r="D3876" s="194"/>
      <c r="E3876" s="198"/>
      <c r="G3876" s="202"/>
      <c r="J3876" s="195">
        <v>17</v>
      </c>
      <c r="K3876" s="204" t="s">
        <v>11</v>
      </c>
      <c r="L3876" s="199">
        <v>2</v>
      </c>
      <c r="M3876" s="200">
        <v>0.4</v>
      </c>
      <c r="N3876" s="201">
        <v>18</v>
      </c>
    </row>
    <row r="3877" spans="1:14">
      <c r="A3877" s="194">
        <v>41304.46702546296</v>
      </c>
      <c r="B3877" s="195">
        <v>2263</v>
      </c>
      <c r="C3877" s="194"/>
      <c r="D3877" s="194"/>
      <c r="E3877" s="198"/>
      <c r="G3877" s="202"/>
      <c r="J3877" s="195">
        <v>17</v>
      </c>
      <c r="K3877" s="204" t="s">
        <v>11</v>
      </c>
      <c r="L3877" s="199">
        <v>3</v>
      </c>
      <c r="M3877" s="200">
        <v>1</v>
      </c>
      <c r="N3877" s="201">
        <v>18</v>
      </c>
    </row>
    <row r="3878" spans="1:14">
      <c r="A3878" s="194">
        <v>41279.824548611112</v>
      </c>
      <c r="B3878" s="195">
        <v>2263</v>
      </c>
      <c r="C3878" s="194"/>
      <c r="D3878" s="194"/>
      <c r="E3878" s="198"/>
      <c r="G3878" s="202"/>
      <c r="J3878" s="195">
        <v>17</v>
      </c>
      <c r="K3878" s="204" t="s">
        <v>11</v>
      </c>
      <c r="L3878" s="199">
        <v>2</v>
      </c>
      <c r="M3878" s="200">
        <v>15.4</v>
      </c>
      <c r="N3878" s="201">
        <v>18</v>
      </c>
    </row>
    <row r="3879" spans="1:14">
      <c r="A3879" s="194">
        <v>41294.462881944448</v>
      </c>
      <c r="B3879" s="195">
        <v>2263</v>
      </c>
      <c r="C3879" s="194"/>
      <c r="D3879" s="194"/>
      <c r="E3879" s="198"/>
      <c r="G3879" s="202"/>
      <c r="J3879" s="195">
        <v>17</v>
      </c>
      <c r="K3879" s="204" t="s">
        <v>11</v>
      </c>
      <c r="L3879" s="199">
        <v>3</v>
      </c>
      <c r="M3879" s="200">
        <v>0.4</v>
      </c>
      <c r="N3879" s="201">
        <v>19</v>
      </c>
    </row>
    <row r="3880" spans="1:14">
      <c r="A3880" s="194">
        <v>41287.554502314815</v>
      </c>
      <c r="B3880" s="195">
        <v>2263</v>
      </c>
      <c r="C3880" s="194"/>
      <c r="D3880" s="194"/>
      <c r="E3880" s="198"/>
      <c r="G3880" s="202"/>
      <c r="J3880" s="195">
        <v>17</v>
      </c>
      <c r="K3880" s="204" t="s">
        <v>11</v>
      </c>
      <c r="L3880" s="199">
        <v>3</v>
      </c>
      <c r="M3880" s="200">
        <v>0.4</v>
      </c>
      <c r="N3880" s="201">
        <v>19</v>
      </c>
    </row>
    <row r="3881" spans="1:14">
      <c r="A3881" s="194">
        <v>41305.54409722222</v>
      </c>
      <c r="B3881" s="195">
        <v>2263</v>
      </c>
      <c r="C3881" s="194"/>
      <c r="D3881" s="194"/>
      <c r="E3881" s="198"/>
      <c r="G3881" s="202"/>
      <c r="J3881" s="195">
        <v>17</v>
      </c>
      <c r="K3881" s="204" t="s">
        <v>11</v>
      </c>
      <c r="L3881" s="199">
        <v>2</v>
      </c>
      <c r="M3881" s="200">
        <v>0.5</v>
      </c>
      <c r="N3881" s="201">
        <v>19</v>
      </c>
    </row>
    <row r="3882" spans="1:14">
      <c r="A3882" s="194">
        <v>41280.353530092594</v>
      </c>
      <c r="B3882" s="195">
        <v>2263</v>
      </c>
      <c r="C3882" s="194"/>
      <c r="D3882" s="194"/>
      <c r="E3882" s="198"/>
      <c r="G3882" s="202"/>
      <c r="J3882" s="195">
        <v>17</v>
      </c>
      <c r="K3882" s="204" t="s">
        <v>11</v>
      </c>
      <c r="L3882" s="199">
        <v>1</v>
      </c>
      <c r="M3882" s="200">
        <v>0.8</v>
      </c>
      <c r="N3882" s="201">
        <v>19</v>
      </c>
    </row>
    <row r="3883" spans="1:14">
      <c r="A3883" s="194">
        <v>41294.318287037036</v>
      </c>
      <c r="B3883" s="195">
        <v>2263</v>
      </c>
      <c r="C3883" s="194"/>
      <c r="D3883" s="194"/>
      <c r="E3883" s="198"/>
      <c r="G3883" s="202"/>
      <c r="J3883" s="195">
        <v>17</v>
      </c>
      <c r="K3883" s="204" t="s">
        <v>11</v>
      </c>
      <c r="L3883" s="199">
        <v>2</v>
      </c>
      <c r="M3883" s="200">
        <v>13.7</v>
      </c>
      <c r="N3883" s="201">
        <v>19</v>
      </c>
    </row>
    <row r="3884" spans="1:14">
      <c r="A3884" s="194">
        <v>41277.292754629627</v>
      </c>
      <c r="B3884" s="195">
        <v>2263</v>
      </c>
      <c r="C3884" s="194"/>
      <c r="D3884" s="194"/>
      <c r="E3884" s="198"/>
      <c r="G3884" s="202"/>
      <c r="J3884" s="195">
        <v>17</v>
      </c>
      <c r="K3884" s="204" t="s">
        <v>11</v>
      </c>
      <c r="L3884" s="199">
        <v>3</v>
      </c>
      <c r="M3884" s="200">
        <v>16.3</v>
      </c>
      <c r="N3884" s="201">
        <v>19</v>
      </c>
    </row>
    <row r="3885" spans="1:14">
      <c r="A3885" s="194">
        <v>41284.32980324074</v>
      </c>
      <c r="B3885" s="195">
        <v>2263</v>
      </c>
      <c r="C3885" s="194"/>
      <c r="D3885" s="194"/>
      <c r="E3885" s="198"/>
      <c r="G3885" s="202"/>
      <c r="J3885" s="195">
        <v>17</v>
      </c>
      <c r="K3885" s="204" t="s">
        <v>11</v>
      </c>
      <c r="L3885" s="199">
        <v>3</v>
      </c>
      <c r="M3885" s="200">
        <v>0.3</v>
      </c>
      <c r="N3885" s="201">
        <v>20</v>
      </c>
    </row>
    <row r="3886" spans="1:14">
      <c r="A3886" s="194">
        <v>41290.550370370373</v>
      </c>
      <c r="B3886" s="195">
        <v>2263</v>
      </c>
      <c r="C3886" s="194"/>
      <c r="D3886" s="194"/>
      <c r="E3886" s="198"/>
      <c r="G3886" s="202"/>
      <c r="J3886" s="195">
        <v>17</v>
      </c>
      <c r="K3886" s="204" t="s">
        <v>11</v>
      </c>
      <c r="L3886" s="199">
        <v>3</v>
      </c>
      <c r="M3886" s="200">
        <v>2</v>
      </c>
      <c r="N3886" s="201">
        <v>20</v>
      </c>
    </row>
    <row r="3887" spans="1:14">
      <c r="A3887" s="194">
        <v>41296.618263888886</v>
      </c>
      <c r="B3887" s="195">
        <v>2263</v>
      </c>
      <c r="C3887" s="194"/>
      <c r="D3887" s="194"/>
      <c r="E3887" s="198"/>
      <c r="G3887" s="202"/>
      <c r="J3887" s="195">
        <v>17</v>
      </c>
      <c r="K3887" s="204" t="s">
        <v>11</v>
      </c>
      <c r="L3887" s="199">
        <v>3</v>
      </c>
      <c r="M3887" s="200">
        <v>10</v>
      </c>
      <c r="N3887" s="201">
        <v>20</v>
      </c>
    </row>
    <row r="3888" spans="1:14">
      <c r="A3888" s="194">
        <v>41288.521643518521</v>
      </c>
      <c r="B3888" s="195">
        <v>2263</v>
      </c>
      <c r="C3888" s="194"/>
      <c r="D3888" s="194"/>
      <c r="E3888" s="198"/>
      <c r="G3888" s="202"/>
      <c r="J3888" s="195">
        <v>17</v>
      </c>
      <c r="K3888" s="204" t="s">
        <v>11</v>
      </c>
      <c r="L3888" s="199">
        <v>2</v>
      </c>
      <c r="M3888" s="200">
        <v>39.9</v>
      </c>
      <c r="N3888" s="201">
        <v>20</v>
      </c>
    </row>
    <row r="3889" spans="1:14">
      <c r="A3889" s="194">
        <v>41298.661307870374</v>
      </c>
      <c r="B3889" s="195">
        <v>2263</v>
      </c>
      <c r="C3889" s="194"/>
      <c r="D3889" s="194"/>
      <c r="E3889" s="198"/>
      <c r="G3889" s="202"/>
      <c r="J3889" s="195">
        <v>17</v>
      </c>
      <c r="K3889" s="204" t="s">
        <v>11</v>
      </c>
      <c r="L3889" s="199">
        <v>1</v>
      </c>
      <c r="M3889" s="200">
        <v>44.4</v>
      </c>
      <c r="N3889" s="201">
        <v>20</v>
      </c>
    </row>
    <row r="3890" spans="1:14">
      <c r="A3890" s="194">
        <v>41300.60974537037</v>
      </c>
      <c r="B3890" s="195">
        <v>2263</v>
      </c>
      <c r="C3890" s="194"/>
      <c r="D3890" s="194"/>
      <c r="E3890" s="198"/>
      <c r="G3890" s="202"/>
      <c r="J3890" s="195">
        <v>17</v>
      </c>
      <c r="K3890" s="204" t="s">
        <v>11</v>
      </c>
      <c r="L3890" s="199">
        <v>2</v>
      </c>
      <c r="M3890" s="200">
        <v>1.8</v>
      </c>
      <c r="N3890" s="201">
        <v>21</v>
      </c>
    </row>
    <row r="3891" spans="1:14">
      <c r="A3891" s="194">
        <v>41299.569120370368</v>
      </c>
      <c r="B3891" s="195">
        <v>2263</v>
      </c>
      <c r="C3891" s="194"/>
      <c r="D3891" s="194"/>
      <c r="E3891" s="198"/>
      <c r="G3891" s="202"/>
      <c r="J3891" s="195">
        <v>17</v>
      </c>
      <c r="K3891" s="204" t="s">
        <v>11</v>
      </c>
      <c r="L3891" s="199">
        <v>3</v>
      </c>
      <c r="M3891" s="200">
        <v>2.1</v>
      </c>
      <c r="N3891" s="201">
        <v>21</v>
      </c>
    </row>
    <row r="3892" spans="1:14">
      <c r="A3892" s="194">
        <v>41288.34652777778</v>
      </c>
      <c r="B3892" s="195">
        <v>2263</v>
      </c>
      <c r="C3892" s="194"/>
      <c r="D3892" s="194"/>
      <c r="E3892" s="198"/>
      <c r="G3892" s="202"/>
      <c r="J3892" s="195">
        <v>17</v>
      </c>
      <c r="K3892" s="204" t="s">
        <v>11</v>
      </c>
      <c r="L3892" s="199">
        <v>3</v>
      </c>
      <c r="M3892" s="200">
        <v>8.5</v>
      </c>
      <c r="N3892" s="201">
        <v>21</v>
      </c>
    </row>
    <row r="3893" spans="1:14">
      <c r="A3893" s="194">
        <v>41285.500416666669</v>
      </c>
      <c r="B3893" s="195">
        <v>2263</v>
      </c>
      <c r="C3893" s="194"/>
      <c r="D3893" s="194"/>
      <c r="E3893" s="198"/>
      <c r="G3893" s="202"/>
      <c r="J3893" s="195">
        <v>17</v>
      </c>
      <c r="K3893" s="204" t="s">
        <v>11</v>
      </c>
      <c r="L3893" s="199">
        <v>3</v>
      </c>
      <c r="M3893" s="200">
        <v>5.6</v>
      </c>
      <c r="N3893" s="201">
        <v>29</v>
      </c>
    </row>
    <row r="3894" spans="1:14">
      <c r="A3894" s="194">
        <v>41285.269409722219</v>
      </c>
      <c r="B3894" s="195">
        <v>2263</v>
      </c>
      <c r="C3894" s="194"/>
      <c r="D3894" s="194"/>
      <c r="E3894" s="198"/>
      <c r="G3894" s="202"/>
      <c r="J3894" s="195">
        <v>17</v>
      </c>
      <c r="K3894" s="204" t="s">
        <v>11</v>
      </c>
      <c r="L3894" s="199">
        <v>1</v>
      </c>
      <c r="M3894" s="200">
        <v>0.8</v>
      </c>
      <c r="N3894" s="201">
        <v>32</v>
      </c>
    </row>
    <row r="3895" spans="1:14">
      <c r="A3895" s="194">
        <v>41303.294340277775</v>
      </c>
      <c r="B3895" s="195">
        <v>2263</v>
      </c>
      <c r="C3895" s="194"/>
      <c r="D3895" s="194"/>
      <c r="E3895" s="198"/>
      <c r="G3895" s="202"/>
      <c r="J3895" s="195">
        <v>17</v>
      </c>
      <c r="K3895" s="204" t="s">
        <v>11</v>
      </c>
      <c r="L3895" s="199">
        <v>3</v>
      </c>
      <c r="M3895" s="200">
        <v>4.3</v>
      </c>
      <c r="N3895" s="201">
        <v>35</v>
      </c>
    </row>
    <row r="3896" spans="1:14">
      <c r="A3896" s="194">
        <v>41305.41915509259</v>
      </c>
      <c r="B3896" s="195">
        <v>2263</v>
      </c>
      <c r="C3896" s="194"/>
      <c r="D3896" s="194"/>
      <c r="E3896" s="198"/>
      <c r="G3896" s="202"/>
      <c r="J3896" s="195">
        <v>17</v>
      </c>
      <c r="K3896" s="204" t="s">
        <v>11</v>
      </c>
      <c r="L3896" s="199">
        <v>3</v>
      </c>
      <c r="M3896" s="200">
        <v>6</v>
      </c>
      <c r="N3896" s="201">
        <v>35</v>
      </c>
    </row>
    <row r="3897" spans="1:14">
      <c r="A3897" s="194">
        <v>41282.363113425927</v>
      </c>
      <c r="B3897" s="195">
        <v>2263</v>
      </c>
      <c r="C3897" s="194"/>
      <c r="D3897" s="194"/>
      <c r="E3897" s="198"/>
      <c r="G3897" s="202"/>
      <c r="J3897" s="195">
        <v>17</v>
      </c>
      <c r="K3897" s="204" t="s">
        <v>11</v>
      </c>
      <c r="L3897" s="199">
        <v>3</v>
      </c>
      <c r="M3897" s="200">
        <v>0.5</v>
      </c>
      <c r="N3897" s="201">
        <v>37</v>
      </c>
    </row>
    <row r="3898" spans="1:14">
      <c r="A3898" s="194">
        <v>41295.375798611109</v>
      </c>
      <c r="B3898" s="195">
        <v>2263</v>
      </c>
      <c r="C3898" s="194"/>
      <c r="D3898" s="194"/>
      <c r="E3898" s="198"/>
      <c r="G3898" s="202"/>
      <c r="J3898" s="195">
        <v>17</v>
      </c>
      <c r="K3898" s="204" t="s">
        <v>11</v>
      </c>
      <c r="L3898" s="199">
        <v>3</v>
      </c>
      <c r="M3898" s="200">
        <v>5.0999999999999996</v>
      </c>
      <c r="N3898" s="201">
        <v>38</v>
      </c>
    </row>
    <row r="3899" spans="1:14">
      <c r="A3899" s="194">
        <v>41286.896215277775</v>
      </c>
      <c r="B3899" s="195">
        <v>2263</v>
      </c>
      <c r="C3899" s="194"/>
      <c r="D3899" s="194"/>
      <c r="E3899" s="198"/>
      <c r="G3899" s="202"/>
      <c r="J3899" s="195">
        <v>17</v>
      </c>
      <c r="K3899" s="204" t="s">
        <v>11</v>
      </c>
      <c r="L3899" s="199">
        <v>2</v>
      </c>
      <c r="M3899" s="200">
        <v>0.5</v>
      </c>
      <c r="N3899" s="201">
        <v>53</v>
      </c>
    </row>
    <row r="3900" spans="1:14">
      <c r="A3900" s="194">
        <v>41275.02447916667</v>
      </c>
      <c r="B3900" s="195">
        <v>2263</v>
      </c>
      <c r="C3900" s="194"/>
      <c r="D3900" s="194"/>
      <c r="E3900" s="198"/>
      <c r="G3900" s="202"/>
      <c r="J3900" s="195">
        <v>18</v>
      </c>
      <c r="K3900" s="204" t="s">
        <v>5</v>
      </c>
      <c r="L3900" s="199">
        <v>1</v>
      </c>
      <c r="M3900" s="200">
        <v>10.7</v>
      </c>
      <c r="N3900" s="201">
        <v>19</v>
      </c>
    </row>
    <row r="3901" spans="1:14">
      <c r="A3901" s="194">
        <v>41296.507731481484</v>
      </c>
      <c r="B3901" s="195">
        <v>2263</v>
      </c>
      <c r="C3901" s="194"/>
      <c r="D3901" s="194"/>
      <c r="E3901" s="196" t="s">
        <v>2097</v>
      </c>
      <c r="G3901" s="202"/>
      <c r="J3901" s="195">
        <v>24</v>
      </c>
      <c r="K3901" s="204" t="s">
        <v>25</v>
      </c>
      <c r="L3901" s="199">
        <v>2</v>
      </c>
      <c r="M3901" s="200">
        <v>7.4</v>
      </c>
      <c r="N3901" s="201">
        <v>21</v>
      </c>
    </row>
    <row r="3902" spans="1:14">
      <c r="A3902" s="194">
        <v>41298.536782407406</v>
      </c>
      <c r="B3902" s="195">
        <v>2263</v>
      </c>
      <c r="C3902" s="194"/>
      <c r="D3902" s="194"/>
      <c r="E3902" s="196" t="s">
        <v>1650</v>
      </c>
      <c r="G3902" s="202"/>
      <c r="J3902" s="195">
        <v>24</v>
      </c>
      <c r="K3902" s="204" t="s">
        <v>25</v>
      </c>
      <c r="L3902" s="199">
        <v>2</v>
      </c>
      <c r="M3902" s="200">
        <v>1</v>
      </c>
      <c r="N3902" s="201">
        <v>38</v>
      </c>
    </row>
    <row r="3903" spans="1:14">
      <c r="A3903" s="194">
        <v>41284.550405092596</v>
      </c>
      <c r="B3903" s="195">
        <v>2263</v>
      </c>
      <c r="C3903" s="194"/>
      <c r="D3903" s="194"/>
      <c r="E3903" s="196" t="s">
        <v>2102</v>
      </c>
      <c r="G3903" s="202"/>
      <c r="J3903" s="195">
        <v>24</v>
      </c>
      <c r="K3903" s="204" t="s">
        <v>25</v>
      </c>
      <c r="L3903" s="199">
        <v>2</v>
      </c>
      <c r="M3903" s="200">
        <v>0.7</v>
      </c>
      <c r="N3903" s="201">
        <v>44</v>
      </c>
    </row>
    <row r="3904" spans="1:14">
      <c r="A3904" s="194">
        <v>41277.333935185183</v>
      </c>
      <c r="B3904" s="195">
        <v>2263</v>
      </c>
      <c r="C3904" s="194"/>
      <c r="D3904" s="194"/>
      <c r="E3904" s="198"/>
      <c r="G3904" s="202"/>
      <c r="J3904" s="195">
        <v>5100</v>
      </c>
      <c r="K3904" s="204" t="s">
        <v>1597</v>
      </c>
      <c r="L3904" s="199">
        <v>2</v>
      </c>
      <c r="M3904" s="200">
        <v>1.3</v>
      </c>
      <c r="N3904" s="201">
        <v>18</v>
      </c>
    </row>
    <row r="3905" spans="1:14">
      <c r="A3905" s="194">
        <v>41277.585775462961</v>
      </c>
      <c r="B3905" s="195">
        <v>2263</v>
      </c>
      <c r="C3905" s="194"/>
      <c r="D3905" s="194"/>
      <c r="E3905" s="198"/>
      <c r="G3905" s="202"/>
      <c r="J3905" s="195">
        <v>6100</v>
      </c>
      <c r="K3905" s="204" t="s">
        <v>38</v>
      </c>
      <c r="L3905" s="199">
        <v>2</v>
      </c>
      <c r="M3905" s="200">
        <v>2.4</v>
      </c>
      <c r="N3905" s="201">
        <v>17</v>
      </c>
    </row>
    <row r="3906" spans="1:14">
      <c r="A3906" s="194">
        <v>41278.361087962963</v>
      </c>
      <c r="B3906" s="195">
        <v>2263</v>
      </c>
      <c r="C3906" s="194"/>
      <c r="D3906" s="194"/>
      <c r="E3906" s="198"/>
      <c r="G3906" s="202"/>
      <c r="J3906" s="195">
        <v>6100</v>
      </c>
      <c r="K3906" s="204" t="s">
        <v>38</v>
      </c>
      <c r="L3906" s="199">
        <v>1</v>
      </c>
      <c r="M3906" s="200">
        <v>2</v>
      </c>
      <c r="N3906" s="201">
        <v>23</v>
      </c>
    </row>
    <row r="3907" spans="1:14">
      <c r="A3907" s="194">
        <v>41299.361944444441</v>
      </c>
      <c r="B3907" s="195">
        <v>2264</v>
      </c>
      <c r="C3907" s="194"/>
      <c r="D3907" s="194"/>
      <c r="E3907" s="196" t="s">
        <v>367</v>
      </c>
      <c r="F3907" s="195">
        <v>456</v>
      </c>
      <c r="G3907" s="197" t="s">
        <v>141</v>
      </c>
      <c r="H3907" s="197" t="s">
        <v>223</v>
      </c>
      <c r="I3907" s="196" t="s">
        <v>226</v>
      </c>
      <c r="J3907" s="195">
        <v>1</v>
      </c>
      <c r="K3907" s="204" t="s">
        <v>224</v>
      </c>
      <c r="L3907" s="199">
        <v>3</v>
      </c>
      <c r="M3907" s="200">
        <v>0.7</v>
      </c>
      <c r="N3907" s="201">
        <v>28</v>
      </c>
    </row>
    <row r="3908" spans="1:14">
      <c r="A3908" s="194">
        <v>41275.870173611111</v>
      </c>
      <c r="B3908" s="195">
        <v>2264</v>
      </c>
      <c r="C3908" s="194"/>
      <c r="D3908" s="194"/>
      <c r="E3908" s="196" t="s">
        <v>410</v>
      </c>
      <c r="F3908" s="195">
        <v>466</v>
      </c>
      <c r="G3908" s="197" t="s">
        <v>142</v>
      </c>
      <c r="H3908" s="197" t="s">
        <v>223</v>
      </c>
      <c r="I3908" s="196" t="s">
        <v>402</v>
      </c>
      <c r="J3908" s="195">
        <v>1</v>
      </c>
      <c r="K3908" s="204" t="s">
        <v>224</v>
      </c>
      <c r="L3908" s="199">
        <v>3</v>
      </c>
      <c r="M3908" s="200">
        <v>0.4</v>
      </c>
      <c r="N3908" s="201">
        <v>33</v>
      </c>
    </row>
    <row r="3909" spans="1:14">
      <c r="A3909" s="194">
        <v>41300.971377314818</v>
      </c>
      <c r="B3909" s="195">
        <v>2264</v>
      </c>
      <c r="C3909" s="194"/>
      <c r="D3909" s="194"/>
      <c r="E3909" s="196" t="s">
        <v>1443</v>
      </c>
      <c r="F3909" s="195">
        <v>800</v>
      </c>
      <c r="G3909" s="197" t="s">
        <v>470</v>
      </c>
      <c r="H3909" s="197" t="s">
        <v>471</v>
      </c>
      <c r="J3909" s="195">
        <v>1</v>
      </c>
      <c r="K3909" s="204" t="s">
        <v>224</v>
      </c>
      <c r="L3909" s="199">
        <v>2</v>
      </c>
      <c r="M3909" s="200">
        <v>13.5</v>
      </c>
      <c r="N3909" s="201">
        <v>26</v>
      </c>
    </row>
    <row r="3910" spans="1:14">
      <c r="A3910" s="194">
        <v>41295.536759259259</v>
      </c>
      <c r="B3910" s="195">
        <v>2264</v>
      </c>
      <c r="C3910" s="194"/>
      <c r="D3910" s="194"/>
      <c r="E3910" s="196" t="s">
        <v>1128</v>
      </c>
      <c r="F3910" s="195">
        <v>800</v>
      </c>
      <c r="G3910" s="197" t="s">
        <v>470</v>
      </c>
      <c r="H3910" s="197" t="s">
        <v>471</v>
      </c>
      <c r="J3910" s="195">
        <v>1</v>
      </c>
      <c r="K3910" s="204" t="s">
        <v>224</v>
      </c>
      <c r="L3910" s="199">
        <v>2</v>
      </c>
      <c r="M3910" s="200">
        <v>0.3</v>
      </c>
      <c r="N3910" s="201">
        <v>30</v>
      </c>
    </row>
    <row r="3911" spans="1:14">
      <c r="A3911" s="194">
        <v>41286.725706018522</v>
      </c>
      <c r="B3911" s="195">
        <v>2264</v>
      </c>
      <c r="C3911" s="194"/>
      <c r="D3911" s="194"/>
      <c r="E3911" s="196" t="s">
        <v>926</v>
      </c>
      <c r="F3911" s="195">
        <v>800</v>
      </c>
      <c r="G3911" s="197" t="s">
        <v>470</v>
      </c>
      <c r="H3911" s="197" t="s">
        <v>471</v>
      </c>
      <c r="J3911" s="195">
        <v>1</v>
      </c>
      <c r="K3911" s="204" t="s">
        <v>224</v>
      </c>
      <c r="L3911" s="199">
        <v>3</v>
      </c>
      <c r="M3911" s="200">
        <v>35.1</v>
      </c>
      <c r="N3911" s="201">
        <v>30</v>
      </c>
    </row>
    <row r="3912" spans="1:14">
      <c r="A3912" s="194">
        <v>41277.465949074074</v>
      </c>
      <c r="B3912" s="195">
        <v>2264</v>
      </c>
      <c r="C3912" s="194"/>
      <c r="D3912" s="194"/>
      <c r="E3912" s="196" t="s">
        <v>643</v>
      </c>
      <c r="F3912" s="195">
        <v>800</v>
      </c>
      <c r="G3912" s="197" t="s">
        <v>470</v>
      </c>
      <c r="H3912" s="197" t="s">
        <v>471</v>
      </c>
      <c r="J3912" s="195">
        <v>1</v>
      </c>
      <c r="K3912" s="204" t="s">
        <v>224</v>
      </c>
      <c r="L3912" s="199">
        <v>2</v>
      </c>
      <c r="M3912" s="200">
        <v>0.9</v>
      </c>
      <c r="N3912" s="201">
        <v>31</v>
      </c>
    </row>
    <row r="3913" spans="1:14">
      <c r="A3913" s="194">
        <v>41290.513819444444</v>
      </c>
      <c r="B3913" s="195">
        <v>2264</v>
      </c>
      <c r="C3913" s="194"/>
      <c r="D3913" s="194"/>
      <c r="E3913" s="196" t="s">
        <v>1057</v>
      </c>
      <c r="F3913" s="195">
        <v>800</v>
      </c>
      <c r="G3913" s="197" t="s">
        <v>470</v>
      </c>
      <c r="H3913" s="197" t="s">
        <v>471</v>
      </c>
      <c r="J3913" s="195">
        <v>1</v>
      </c>
      <c r="K3913" s="204" t="s">
        <v>224</v>
      </c>
      <c r="L3913" s="199">
        <v>2</v>
      </c>
      <c r="M3913" s="200">
        <v>1</v>
      </c>
      <c r="N3913" s="201">
        <v>34</v>
      </c>
    </row>
    <row r="3914" spans="1:14">
      <c r="A3914" s="194">
        <v>41287.341990740744</v>
      </c>
      <c r="B3914" s="195">
        <v>2264</v>
      </c>
      <c r="C3914" s="194"/>
      <c r="D3914" s="194"/>
      <c r="E3914" s="196" t="s">
        <v>878</v>
      </c>
      <c r="F3914" s="195">
        <v>800</v>
      </c>
      <c r="G3914" s="197" t="s">
        <v>470</v>
      </c>
      <c r="H3914" s="197" t="s">
        <v>471</v>
      </c>
      <c r="J3914" s="195">
        <v>1</v>
      </c>
      <c r="K3914" s="204" t="s">
        <v>224</v>
      </c>
      <c r="L3914" s="199">
        <v>2</v>
      </c>
      <c r="M3914" s="200">
        <v>0.3</v>
      </c>
      <c r="N3914" s="201">
        <v>35</v>
      </c>
    </row>
    <row r="3915" spans="1:14">
      <c r="A3915" s="194">
        <v>41294.806481481479</v>
      </c>
      <c r="B3915" s="195">
        <v>2264</v>
      </c>
      <c r="C3915" s="194"/>
      <c r="D3915" s="194"/>
      <c r="E3915" s="196" t="s">
        <v>1193</v>
      </c>
      <c r="F3915" s="195">
        <v>800</v>
      </c>
      <c r="G3915" s="197" t="s">
        <v>470</v>
      </c>
      <c r="H3915" s="197" t="s">
        <v>471</v>
      </c>
      <c r="J3915" s="195">
        <v>1</v>
      </c>
      <c r="K3915" s="204" t="s">
        <v>224</v>
      </c>
      <c r="L3915" s="199">
        <v>2</v>
      </c>
      <c r="M3915" s="200">
        <v>0.5</v>
      </c>
      <c r="N3915" s="201">
        <v>35</v>
      </c>
    </row>
    <row r="3916" spans="1:14">
      <c r="A3916" s="194">
        <v>41297.882488425923</v>
      </c>
      <c r="B3916" s="195">
        <v>2264</v>
      </c>
      <c r="C3916" s="194"/>
      <c r="D3916" s="194"/>
      <c r="E3916" s="196" t="s">
        <v>1350</v>
      </c>
      <c r="F3916" s="195">
        <v>800</v>
      </c>
      <c r="G3916" s="197" t="s">
        <v>470</v>
      </c>
      <c r="H3916" s="197" t="s">
        <v>471</v>
      </c>
      <c r="J3916" s="195">
        <v>1</v>
      </c>
      <c r="K3916" s="204" t="s">
        <v>224</v>
      </c>
      <c r="L3916" s="199">
        <v>2</v>
      </c>
      <c r="M3916" s="200">
        <v>1</v>
      </c>
      <c r="N3916" s="201">
        <v>40</v>
      </c>
    </row>
    <row r="3917" spans="1:14">
      <c r="A3917" s="194">
        <v>41275.866018518522</v>
      </c>
      <c r="B3917" s="195">
        <v>2264</v>
      </c>
      <c r="C3917" s="194"/>
      <c r="D3917" s="194"/>
      <c r="E3917" s="196" t="s">
        <v>513</v>
      </c>
      <c r="F3917" s="195">
        <v>800</v>
      </c>
      <c r="G3917" s="197" t="s">
        <v>470</v>
      </c>
      <c r="H3917" s="197" t="s">
        <v>471</v>
      </c>
      <c r="J3917" s="195">
        <v>1</v>
      </c>
      <c r="K3917" s="204" t="s">
        <v>224</v>
      </c>
      <c r="L3917" s="199">
        <v>2</v>
      </c>
      <c r="M3917" s="200">
        <v>1</v>
      </c>
      <c r="N3917" s="201">
        <v>41</v>
      </c>
    </row>
    <row r="3918" spans="1:14">
      <c r="A3918" s="194">
        <v>41277.354733796295</v>
      </c>
      <c r="B3918" s="195">
        <v>2264</v>
      </c>
      <c r="C3918" s="194"/>
      <c r="D3918" s="194"/>
      <c r="E3918" s="196" t="s">
        <v>542</v>
      </c>
      <c r="F3918" s="195">
        <v>800</v>
      </c>
      <c r="G3918" s="197" t="s">
        <v>470</v>
      </c>
      <c r="H3918" s="197" t="s">
        <v>471</v>
      </c>
      <c r="J3918" s="195">
        <v>1</v>
      </c>
      <c r="K3918" s="204" t="s">
        <v>224</v>
      </c>
      <c r="L3918" s="199">
        <v>2</v>
      </c>
      <c r="M3918" s="200">
        <v>0.5</v>
      </c>
      <c r="N3918" s="201">
        <v>52</v>
      </c>
    </row>
    <row r="3919" spans="1:14">
      <c r="A3919" s="194">
        <v>41293.585694444446</v>
      </c>
      <c r="B3919" s="195">
        <v>2264</v>
      </c>
      <c r="C3919" s="194"/>
      <c r="D3919" s="194"/>
      <c r="E3919" s="198"/>
      <c r="G3919" s="202"/>
      <c r="J3919" s="195">
        <v>2</v>
      </c>
      <c r="K3919" s="204" t="s">
        <v>32</v>
      </c>
      <c r="L3919" s="199">
        <v>2</v>
      </c>
      <c r="M3919" s="200">
        <v>0.6</v>
      </c>
      <c r="N3919" s="201">
        <v>33</v>
      </c>
    </row>
    <row r="3920" spans="1:14">
      <c r="A3920" s="194">
        <v>41303.727800925924</v>
      </c>
      <c r="B3920" s="195">
        <v>2264</v>
      </c>
      <c r="C3920" s="194"/>
      <c r="D3920" s="194"/>
      <c r="E3920" s="198"/>
      <c r="G3920" s="202"/>
      <c r="J3920" s="195">
        <v>2</v>
      </c>
      <c r="K3920" s="204" t="s">
        <v>32</v>
      </c>
      <c r="L3920" s="199">
        <v>1</v>
      </c>
      <c r="M3920" s="200">
        <v>37.700000000000003</v>
      </c>
      <c r="N3920" s="201">
        <v>37</v>
      </c>
    </row>
    <row r="3921" spans="1:14">
      <c r="A3921" s="194">
        <v>41294.695023148146</v>
      </c>
      <c r="B3921" s="195">
        <v>2264</v>
      </c>
      <c r="C3921" s="194"/>
      <c r="D3921" s="194"/>
      <c r="E3921" s="198"/>
      <c r="G3921" s="202"/>
      <c r="J3921" s="195">
        <v>3</v>
      </c>
      <c r="K3921" s="204" t="s">
        <v>1595</v>
      </c>
      <c r="L3921" s="199">
        <v>2</v>
      </c>
      <c r="M3921" s="200">
        <v>0.9</v>
      </c>
      <c r="N3921" s="201">
        <v>29</v>
      </c>
    </row>
    <row r="3922" spans="1:14">
      <c r="A3922" s="194">
        <v>41297.331689814811</v>
      </c>
      <c r="B3922" s="195">
        <v>2264</v>
      </c>
      <c r="C3922" s="194"/>
      <c r="D3922" s="194"/>
      <c r="E3922" s="198"/>
      <c r="G3922" s="202"/>
      <c r="J3922" s="195">
        <v>3</v>
      </c>
      <c r="K3922" s="204" t="s">
        <v>1595</v>
      </c>
      <c r="L3922" s="199">
        <v>2</v>
      </c>
      <c r="M3922" s="200">
        <v>0.4</v>
      </c>
      <c r="N3922" s="201">
        <v>38</v>
      </c>
    </row>
    <row r="3923" spans="1:14">
      <c r="A3923" s="194">
        <v>41280.438900462963</v>
      </c>
      <c r="B3923" s="195">
        <v>2264</v>
      </c>
      <c r="C3923" s="194"/>
      <c r="D3923" s="194"/>
      <c r="E3923" s="196" t="s">
        <v>1872</v>
      </c>
      <c r="G3923" s="202"/>
      <c r="J3923" s="195">
        <v>10</v>
      </c>
      <c r="K3923" s="204" t="s">
        <v>31</v>
      </c>
      <c r="L3923" s="199">
        <v>2</v>
      </c>
      <c r="M3923" s="200">
        <v>0.5</v>
      </c>
      <c r="N3923" s="201">
        <v>28</v>
      </c>
    </row>
    <row r="3924" spans="1:14">
      <c r="A3924" s="194">
        <v>41280.464953703704</v>
      </c>
      <c r="B3924" s="195">
        <v>2264</v>
      </c>
      <c r="C3924" s="194"/>
      <c r="D3924" s="194"/>
      <c r="E3924" s="198"/>
      <c r="G3924" s="202"/>
      <c r="J3924" s="195">
        <v>10</v>
      </c>
      <c r="K3924" s="204" t="s">
        <v>31</v>
      </c>
      <c r="L3924" s="199">
        <v>2</v>
      </c>
      <c r="M3924" s="200">
        <v>0.9</v>
      </c>
      <c r="N3924" s="201">
        <v>35</v>
      </c>
    </row>
    <row r="3925" spans="1:14">
      <c r="A3925" s="194">
        <v>41276.410034722219</v>
      </c>
      <c r="B3925" s="195">
        <v>2264</v>
      </c>
      <c r="C3925" s="194"/>
      <c r="D3925" s="194"/>
      <c r="E3925" s="198"/>
      <c r="G3925" s="202"/>
      <c r="J3925" s="195">
        <v>10</v>
      </c>
      <c r="K3925" s="204" t="s">
        <v>31</v>
      </c>
      <c r="L3925" s="199">
        <v>3</v>
      </c>
      <c r="M3925" s="200">
        <v>0.3</v>
      </c>
      <c r="N3925" s="201">
        <v>43</v>
      </c>
    </row>
    <row r="3926" spans="1:14">
      <c r="A3926" s="194">
        <v>41298.341099537036</v>
      </c>
      <c r="B3926" s="195">
        <v>2264</v>
      </c>
      <c r="C3926" s="194"/>
      <c r="D3926" s="194"/>
      <c r="E3926" s="198"/>
      <c r="G3926" s="202"/>
      <c r="J3926" s="195">
        <v>14</v>
      </c>
      <c r="K3926" s="204" t="s">
        <v>2</v>
      </c>
      <c r="L3926" s="199">
        <v>1</v>
      </c>
      <c r="M3926" s="200">
        <v>0.3</v>
      </c>
      <c r="N3926" s="201">
        <v>41</v>
      </c>
    </row>
    <row r="3927" spans="1:14">
      <c r="A3927" s="194">
        <v>41282.756608796299</v>
      </c>
      <c r="B3927" s="195">
        <v>2264</v>
      </c>
      <c r="C3927" s="194"/>
      <c r="D3927" s="194"/>
      <c r="E3927" s="198"/>
      <c r="G3927" s="202"/>
      <c r="J3927" s="195">
        <v>15</v>
      </c>
      <c r="K3927" s="204" t="s">
        <v>4</v>
      </c>
      <c r="L3927" s="199">
        <v>3</v>
      </c>
      <c r="M3927" s="200">
        <v>0.3</v>
      </c>
      <c r="N3927" s="201">
        <v>24</v>
      </c>
    </row>
    <row r="3928" spans="1:14">
      <c r="A3928" s="194">
        <v>41298.673194444447</v>
      </c>
      <c r="B3928" s="195">
        <v>2264</v>
      </c>
      <c r="C3928" s="194"/>
      <c r="D3928" s="194"/>
      <c r="E3928" s="198"/>
      <c r="G3928" s="202"/>
      <c r="J3928" s="195">
        <v>15</v>
      </c>
      <c r="K3928" s="204" t="s">
        <v>4</v>
      </c>
      <c r="L3928" s="199">
        <v>3</v>
      </c>
      <c r="M3928" s="200">
        <v>1.1000000000000001</v>
      </c>
      <c r="N3928" s="201">
        <v>28</v>
      </c>
    </row>
    <row r="3929" spans="1:14">
      <c r="A3929" s="194">
        <v>41279.427476851852</v>
      </c>
      <c r="B3929" s="195">
        <v>2264</v>
      </c>
      <c r="C3929" s="194"/>
      <c r="D3929" s="194"/>
      <c r="E3929" s="198"/>
      <c r="G3929" s="202"/>
      <c r="J3929" s="195">
        <v>17</v>
      </c>
      <c r="K3929" s="204" t="s">
        <v>11</v>
      </c>
      <c r="L3929" s="199">
        <v>1</v>
      </c>
      <c r="M3929" s="200">
        <v>0.3</v>
      </c>
      <c r="N3929" s="201">
        <v>16</v>
      </c>
    </row>
    <row r="3930" spans="1:14">
      <c r="A3930" s="194">
        <v>41279.368101851855</v>
      </c>
      <c r="B3930" s="195">
        <v>2264</v>
      </c>
      <c r="C3930" s="194"/>
      <c r="D3930" s="194"/>
      <c r="E3930" s="198"/>
      <c r="G3930" s="202"/>
      <c r="J3930" s="195">
        <v>17</v>
      </c>
      <c r="K3930" s="204" t="s">
        <v>11</v>
      </c>
      <c r="L3930" s="199">
        <v>1</v>
      </c>
      <c r="M3930" s="200">
        <v>0.3</v>
      </c>
      <c r="N3930" s="201">
        <v>16</v>
      </c>
    </row>
    <row r="3931" spans="1:14">
      <c r="A3931" s="194">
        <v>41302.498136574075</v>
      </c>
      <c r="B3931" s="195">
        <v>2264</v>
      </c>
      <c r="C3931" s="194"/>
      <c r="D3931" s="194"/>
      <c r="E3931" s="198"/>
      <c r="G3931" s="202"/>
      <c r="J3931" s="195">
        <v>17</v>
      </c>
      <c r="K3931" s="204" t="s">
        <v>11</v>
      </c>
      <c r="L3931" s="199">
        <v>2</v>
      </c>
      <c r="M3931" s="200">
        <v>1</v>
      </c>
      <c r="N3931" s="201">
        <v>16</v>
      </c>
    </row>
    <row r="3932" spans="1:14">
      <c r="A3932" s="194">
        <v>41280.405578703707</v>
      </c>
      <c r="B3932" s="195">
        <v>2264</v>
      </c>
      <c r="C3932" s="194"/>
      <c r="D3932" s="194"/>
      <c r="E3932" s="198"/>
      <c r="G3932" s="202"/>
      <c r="J3932" s="195">
        <v>17</v>
      </c>
      <c r="K3932" s="204" t="s">
        <v>11</v>
      </c>
      <c r="L3932" s="199">
        <v>2</v>
      </c>
      <c r="M3932" s="200">
        <v>1</v>
      </c>
      <c r="N3932" s="201">
        <v>16</v>
      </c>
    </row>
    <row r="3933" spans="1:14">
      <c r="A3933" s="194">
        <v>41299.483599537038</v>
      </c>
      <c r="B3933" s="195">
        <v>2264</v>
      </c>
      <c r="C3933" s="194"/>
      <c r="D3933" s="194"/>
      <c r="E3933" s="198"/>
      <c r="G3933" s="202"/>
      <c r="J3933" s="195">
        <v>17</v>
      </c>
      <c r="K3933" s="204" t="s">
        <v>11</v>
      </c>
      <c r="L3933" s="199">
        <v>1</v>
      </c>
      <c r="M3933" s="200">
        <v>1.4</v>
      </c>
      <c r="N3933" s="201">
        <v>16</v>
      </c>
    </row>
    <row r="3934" spans="1:14">
      <c r="A3934" s="194">
        <v>41279.888194444444</v>
      </c>
      <c r="B3934" s="195">
        <v>2264</v>
      </c>
      <c r="C3934" s="194"/>
      <c r="D3934" s="194"/>
      <c r="E3934" s="198"/>
      <c r="G3934" s="202"/>
      <c r="J3934" s="195">
        <v>17</v>
      </c>
      <c r="K3934" s="204" t="s">
        <v>11</v>
      </c>
      <c r="L3934" s="199">
        <v>2</v>
      </c>
      <c r="M3934" s="200">
        <v>16.5</v>
      </c>
      <c r="N3934" s="201">
        <v>16</v>
      </c>
    </row>
    <row r="3935" spans="1:14">
      <c r="A3935" s="194">
        <v>41290.619525462964</v>
      </c>
      <c r="B3935" s="195">
        <v>2264</v>
      </c>
      <c r="C3935" s="194"/>
      <c r="D3935" s="194"/>
      <c r="E3935" s="198"/>
      <c r="G3935" s="202"/>
      <c r="J3935" s="195">
        <v>17</v>
      </c>
      <c r="K3935" s="204" t="s">
        <v>11</v>
      </c>
      <c r="L3935" s="199">
        <v>3</v>
      </c>
      <c r="M3935" s="200">
        <v>36.799999999999997</v>
      </c>
      <c r="N3935" s="201">
        <v>16</v>
      </c>
    </row>
    <row r="3936" spans="1:14">
      <c r="A3936" s="194">
        <v>41303.635115740741</v>
      </c>
      <c r="B3936" s="195">
        <v>2264</v>
      </c>
      <c r="C3936" s="194"/>
      <c r="D3936" s="194"/>
      <c r="E3936" s="198"/>
      <c r="G3936" s="202"/>
      <c r="J3936" s="195">
        <v>17</v>
      </c>
      <c r="K3936" s="204" t="s">
        <v>11</v>
      </c>
      <c r="L3936" s="199">
        <v>1</v>
      </c>
      <c r="M3936" s="200">
        <v>40.700000000000003</v>
      </c>
      <c r="N3936" s="201">
        <v>16</v>
      </c>
    </row>
    <row r="3937" spans="1:14">
      <c r="A3937" s="194">
        <v>41288.718564814815</v>
      </c>
      <c r="B3937" s="195">
        <v>2264</v>
      </c>
      <c r="C3937" s="194"/>
      <c r="D3937" s="194"/>
      <c r="E3937" s="198"/>
      <c r="G3937" s="202"/>
      <c r="J3937" s="195">
        <v>17</v>
      </c>
      <c r="K3937" s="204" t="s">
        <v>11</v>
      </c>
      <c r="L3937" s="199">
        <v>3</v>
      </c>
      <c r="M3937" s="200">
        <v>44.4</v>
      </c>
      <c r="N3937" s="201">
        <v>16</v>
      </c>
    </row>
    <row r="3938" spans="1:14">
      <c r="A3938" s="194">
        <v>41282.711296296293</v>
      </c>
      <c r="B3938" s="195">
        <v>2264</v>
      </c>
      <c r="C3938" s="194"/>
      <c r="D3938" s="194"/>
      <c r="E3938" s="198"/>
      <c r="G3938" s="202"/>
      <c r="J3938" s="195">
        <v>17</v>
      </c>
      <c r="K3938" s="204" t="s">
        <v>11</v>
      </c>
      <c r="L3938" s="199">
        <v>1</v>
      </c>
      <c r="M3938" s="200">
        <v>44.6</v>
      </c>
      <c r="N3938" s="201">
        <v>16</v>
      </c>
    </row>
    <row r="3939" spans="1:14">
      <c r="A3939" s="194">
        <v>41291.765462962961</v>
      </c>
      <c r="B3939" s="195">
        <v>2264</v>
      </c>
      <c r="C3939" s="194"/>
      <c r="D3939" s="194"/>
      <c r="E3939" s="198"/>
      <c r="G3939" s="202"/>
      <c r="J3939" s="195">
        <v>17</v>
      </c>
      <c r="K3939" s="204" t="s">
        <v>11</v>
      </c>
      <c r="L3939" s="199">
        <v>2</v>
      </c>
      <c r="M3939" s="200">
        <v>44.9</v>
      </c>
      <c r="N3939" s="201">
        <v>16</v>
      </c>
    </row>
    <row r="3940" spans="1:14">
      <c r="A3940" s="194">
        <v>41288.578402777777</v>
      </c>
      <c r="B3940" s="195">
        <v>2264</v>
      </c>
      <c r="C3940" s="194"/>
      <c r="D3940" s="194"/>
      <c r="E3940" s="198"/>
      <c r="G3940" s="202"/>
      <c r="J3940" s="195">
        <v>17</v>
      </c>
      <c r="K3940" s="204" t="s">
        <v>11</v>
      </c>
      <c r="L3940" s="199">
        <v>1</v>
      </c>
      <c r="M3940" s="200">
        <v>1</v>
      </c>
      <c r="N3940" s="201">
        <v>17</v>
      </c>
    </row>
    <row r="3941" spans="1:14">
      <c r="A3941" s="194">
        <v>41302.420057870368</v>
      </c>
      <c r="B3941" s="195">
        <v>2264</v>
      </c>
      <c r="C3941" s="194"/>
      <c r="D3941" s="194"/>
      <c r="E3941" s="198"/>
      <c r="G3941" s="202"/>
      <c r="J3941" s="195">
        <v>17</v>
      </c>
      <c r="K3941" s="204" t="s">
        <v>11</v>
      </c>
      <c r="L3941" s="199">
        <v>2</v>
      </c>
      <c r="M3941" s="200">
        <v>1.1000000000000001</v>
      </c>
      <c r="N3941" s="201">
        <v>17</v>
      </c>
    </row>
    <row r="3942" spans="1:14">
      <c r="A3942" s="194">
        <v>41285.839895833335</v>
      </c>
      <c r="B3942" s="195">
        <v>2264</v>
      </c>
      <c r="C3942" s="194"/>
      <c r="D3942" s="194"/>
      <c r="E3942" s="198"/>
      <c r="G3942" s="202"/>
      <c r="J3942" s="195">
        <v>17</v>
      </c>
      <c r="K3942" s="204" t="s">
        <v>11</v>
      </c>
      <c r="L3942" s="199">
        <v>1</v>
      </c>
      <c r="M3942" s="200">
        <v>1.2</v>
      </c>
      <c r="N3942" s="201">
        <v>17</v>
      </c>
    </row>
    <row r="3943" spans="1:14">
      <c r="A3943" s="194">
        <v>41305.398379629631</v>
      </c>
      <c r="B3943" s="195">
        <v>2264</v>
      </c>
      <c r="C3943" s="194"/>
      <c r="D3943" s="194"/>
      <c r="E3943" s="198"/>
      <c r="G3943" s="202"/>
      <c r="J3943" s="195">
        <v>17</v>
      </c>
      <c r="K3943" s="204" t="s">
        <v>11</v>
      </c>
      <c r="L3943" s="199">
        <v>2</v>
      </c>
      <c r="M3943" s="200">
        <v>1.3</v>
      </c>
      <c r="N3943" s="201">
        <v>17</v>
      </c>
    </row>
    <row r="3944" spans="1:14">
      <c r="A3944" s="194">
        <v>41291.636828703704</v>
      </c>
      <c r="B3944" s="195">
        <v>2264</v>
      </c>
      <c r="C3944" s="194"/>
      <c r="D3944" s="194"/>
      <c r="E3944" s="198"/>
      <c r="G3944" s="202"/>
      <c r="J3944" s="195">
        <v>17</v>
      </c>
      <c r="K3944" s="204" t="s">
        <v>11</v>
      </c>
      <c r="L3944" s="199">
        <v>1</v>
      </c>
      <c r="M3944" s="200">
        <v>1.3</v>
      </c>
      <c r="N3944" s="201">
        <v>17</v>
      </c>
    </row>
    <row r="3945" spans="1:14">
      <c r="A3945" s="194">
        <v>41283.432627314818</v>
      </c>
      <c r="B3945" s="195">
        <v>2264</v>
      </c>
      <c r="C3945" s="194"/>
      <c r="D3945" s="194"/>
      <c r="E3945" s="198"/>
      <c r="G3945" s="202"/>
      <c r="J3945" s="195">
        <v>17</v>
      </c>
      <c r="K3945" s="204" t="s">
        <v>11</v>
      </c>
      <c r="L3945" s="199">
        <v>1</v>
      </c>
      <c r="M3945" s="200">
        <v>1.3</v>
      </c>
      <c r="N3945" s="201">
        <v>17</v>
      </c>
    </row>
    <row r="3946" spans="1:14">
      <c r="A3946" s="194">
        <v>41290.434675925928</v>
      </c>
      <c r="B3946" s="195">
        <v>2264</v>
      </c>
      <c r="C3946" s="194"/>
      <c r="D3946" s="194"/>
      <c r="E3946" s="198"/>
      <c r="G3946" s="202"/>
      <c r="J3946" s="195">
        <v>17</v>
      </c>
      <c r="K3946" s="204" t="s">
        <v>11</v>
      </c>
      <c r="L3946" s="199">
        <v>1</v>
      </c>
      <c r="M3946" s="200">
        <v>1.8</v>
      </c>
      <c r="N3946" s="201">
        <v>17</v>
      </c>
    </row>
    <row r="3947" spans="1:14">
      <c r="A3947" s="194">
        <v>41284.651516203703</v>
      </c>
      <c r="B3947" s="195">
        <v>2264</v>
      </c>
      <c r="C3947" s="194"/>
      <c r="D3947" s="194"/>
      <c r="E3947" s="198"/>
      <c r="G3947" s="202"/>
      <c r="J3947" s="195">
        <v>17</v>
      </c>
      <c r="K3947" s="204" t="s">
        <v>11</v>
      </c>
      <c r="L3947" s="199">
        <v>3</v>
      </c>
      <c r="M3947" s="200">
        <v>3.5</v>
      </c>
      <c r="N3947" s="201">
        <v>17</v>
      </c>
    </row>
    <row r="3948" spans="1:14">
      <c r="A3948" s="194">
        <v>41295.611944444441</v>
      </c>
      <c r="B3948" s="195">
        <v>2264</v>
      </c>
      <c r="C3948" s="194"/>
      <c r="D3948" s="194"/>
      <c r="E3948" s="198"/>
      <c r="G3948" s="202"/>
      <c r="J3948" s="195">
        <v>17</v>
      </c>
      <c r="K3948" s="204" t="s">
        <v>11</v>
      </c>
      <c r="L3948" s="199">
        <v>2</v>
      </c>
      <c r="M3948" s="200">
        <v>9.9</v>
      </c>
      <c r="N3948" s="201">
        <v>17</v>
      </c>
    </row>
    <row r="3949" spans="1:14">
      <c r="A3949" s="194">
        <v>41275.664479166669</v>
      </c>
      <c r="B3949" s="195">
        <v>2264</v>
      </c>
      <c r="C3949" s="194"/>
      <c r="D3949" s="194"/>
      <c r="E3949" s="198"/>
      <c r="G3949" s="202"/>
      <c r="J3949" s="195">
        <v>17</v>
      </c>
      <c r="K3949" s="204" t="s">
        <v>11</v>
      </c>
      <c r="L3949" s="199">
        <v>3</v>
      </c>
      <c r="M3949" s="200">
        <v>42.3</v>
      </c>
      <c r="N3949" s="201">
        <v>17</v>
      </c>
    </row>
    <row r="3950" spans="1:14">
      <c r="A3950" s="194">
        <v>41298.349432870367</v>
      </c>
      <c r="B3950" s="195">
        <v>2264</v>
      </c>
      <c r="C3950" s="194"/>
      <c r="D3950" s="194"/>
      <c r="E3950" s="198"/>
      <c r="G3950" s="202"/>
      <c r="J3950" s="195">
        <v>17</v>
      </c>
      <c r="K3950" s="204" t="s">
        <v>11</v>
      </c>
      <c r="L3950" s="199">
        <v>2</v>
      </c>
      <c r="M3950" s="200">
        <v>0.4</v>
      </c>
      <c r="N3950" s="201">
        <v>18</v>
      </c>
    </row>
    <row r="3951" spans="1:14">
      <c r="A3951" s="194">
        <v>41300.146215277775</v>
      </c>
      <c r="B3951" s="195">
        <v>2264</v>
      </c>
      <c r="C3951" s="194"/>
      <c r="D3951" s="194"/>
      <c r="E3951" s="198"/>
      <c r="G3951" s="202"/>
      <c r="J3951" s="195">
        <v>17</v>
      </c>
      <c r="K3951" s="204" t="s">
        <v>11</v>
      </c>
      <c r="L3951" s="199">
        <v>2</v>
      </c>
      <c r="M3951" s="200">
        <v>16.600000000000001</v>
      </c>
      <c r="N3951" s="201">
        <v>18</v>
      </c>
    </row>
    <row r="3952" spans="1:14">
      <c r="A3952" s="194">
        <v>41288.617511574077</v>
      </c>
      <c r="B3952" s="195">
        <v>2264</v>
      </c>
      <c r="C3952" s="194"/>
      <c r="D3952" s="194"/>
      <c r="E3952" s="198"/>
      <c r="G3952" s="202"/>
      <c r="J3952" s="195">
        <v>17</v>
      </c>
      <c r="K3952" s="204" t="s">
        <v>11</v>
      </c>
      <c r="L3952" s="199">
        <v>2</v>
      </c>
      <c r="M3952" s="200">
        <v>43.4</v>
      </c>
      <c r="N3952" s="201">
        <v>18</v>
      </c>
    </row>
    <row r="3953" spans="1:14">
      <c r="A3953" s="194">
        <v>41291.712326388886</v>
      </c>
      <c r="B3953" s="195">
        <v>2264</v>
      </c>
      <c r="C3953" s="194"/>
      <c r="D3953" s="194"/>
      <c r="E3953" s="198"/>
      <c r="G3953" s="202"/>
      <c r="J3953" s="195">
        <v>17</v>
      </c>
      <c r="K3953" s="204" t="s">
        <v>11</v>
      </c>
      <c r="L3953" s="199">
        <v>3</v>
      </c>
      <c r="M3953" s="200">
        <v>43.5</v>
      </c>
      <c r="N3953" s="201">
        <v>18</v>
      </c>
    </row>
    <row r="3954" spans="1:14">
      <c r="A3954" s="194">
        <v>41305.861655092594</v>
      </c>
      <c r="B3954" s="195">
        <v>2264</v>
      </c>
      <c r="C3954" s="194"/>
      <c r="D3954" s="194"/>
      <c r="E3954" s="198"/>
      <c r="G3954" s="202"/>
      <c r="J3954" s="195">
        <v>17</v>
      </c>
      <c r="K3954" s="204" t="s">
        <v>11</v>
      </c>
      <c r="L3954" s="199">
        <v>2</v>
      </c>
      <c r="M3954" s="200">
        <v>0.3</v>
      </c>
      <c r="N3954" s="201">
        <v>19</v>
      </c>
    </row>
    <row r="3955" spans="1:14">
      <c r="A3955" s="194">
        <v>41280.760798611111</v>
      </c>
      <c r="B3955" s="195">
        <v>2264</v>
      </c>
      <c r="C3955" s="194"/>
      <c r="D3955" s="194"/>
      <c r="E3955" s="198"/>
      <c r="G3955" s="202"/>
      <c r="J3955" s="195">
        <v>17</v>
      </c>
      <c r="K3955" s="204" t="s">
        <v>11</v>
      </c>
      <c r="L3955" s="199">
        <v>1</v>
      </c>
      <c r="M3955" s="200">
        <v>1.3</v>
      </c>
      <c r="N3955" s="201">
        <v>19</v>
      </c>
    </row>
    <row r="3956" spans="1:14">
      <c r="A3956" s="194">
        <v>41301.562731481485</v>
      </c>
      <c r="B3956" s="195">
        <v>2264</v>
      </c>
      <c r="C3956" s="194"/>
      <c r="D3956" s="194"/>
      <c r="E3956" s="198"/>
      <c r="G3956" s="202"/>
      <c r="J3956" s="195">
        <v>17</v>
      </c>
      <c r="K3956" s="204" t="s">
        <v>11</v>
      </c>
      <c r="L3956" s="199">
        <v>3</v>
      </c>
      <c r="M3956" s="200">
        <v>1.9</v>
      </c>
      <c r="N3956" s="201">
        <v>19</v>
      </c>
    </row>
    <row r="3957" spans="1:14">
      <c r="A3957" s="194">
        <v>41275.343321759261</v>
      </c>
      <c r="B3957" s="195">
        <v>2264</v>
      </c>
      <c r="C3957" s="194"/>
      <c r="D3957" s="194"/>
      <c r="E3957" s="198"/>
      <c r="G3957" s="202"/>
      <c r="J3957" s="195">
        <v>17</v>
      </c>
      <c r="K3957" s="204" t="s">
        <v>11</v>
      </c>
      <c r="L3957" s="199">
        <v>1</v>
      </c>
      <c r="M3957" s="200">
        <v>0.6</v>
      </c>
      <c r="N3957" s="201">
        <v>20</v>
      </c>
    </row>
    <row r="3958" spans="1:14">
      <c r="A3958" s="194">
        <v>41304.572106481479</v>
      </c>
      <c r="B3958" s="195">
        <v>2264</v>
      </c>
      <c r="C3958" s="194"/>
      <c r="D3958" s="194"/>
      <c r="E3958" s="198"/>
      <c r="G3958" s="202"/>
      <c r="J3958" s="195">
        <v>17</v>
      </c>
      <c r="K3958" s="204" t="s">
        <v>11</v>
      </c>
      <c r="L3958" s="199">
        <v>2</v>
      </c>
      <c r="M3958" s="200">
        <v>1.2</v>
      </c>
      <c r="N3958" s="201">
        <v>20</v>
      </c>
    </row>
    <row r="3959" spans="1:14">
      <c r="A3959" s="194">
        <v>41285.720590277779</v>
      </c>
      <c r="B3959" s="195">
        <v>2264</v>
      </c>
      <c r="C3959" s="194"/>
      <c r="D3959" s="194"/>
      <c r="E3959" s="198"/>
      <c r="G3959" s="202"/>
      <c r="J3959" s="195">
        <v>17</v>
      </c>
      <c r="K3959" s="204" t="s">
        <v>11</v>
      </c>
      <c r="L3959" s="199">
        <v>2</v>
      </c>
      <c r="M3959" s="200">
        <v>34.5</v>
      </c>
      <c r="N3959" s="201">
        <v>20</v>
      </c>
    </row>
    <row r="3960" spans="1:14">
      <c r="A3960" s="194">
        <v>41288.744618055556</v>
      </c>
      <c r="B3960" s="195">
        <v>2264</v>
      </c>
      <c r="C3960" s="194"/>
      <c r="D3960" s="194"/>
      <c r="E3960" s="198"/>
      <c r="G3960" s="202"/>
      <c r="J3960" s="195">
        <v>17</v>
      </c>
      <c r="K3960" s="204" t="s">
        <v>11</v>
      </c>
      <c r="L3960" s="199">
        <v>3</v>
      </c>
      <c r="M3960" s="200">
        <v>44.3</v>
      </c>
      <c r="N3960" s="201">
        <v>20</v>
      </c>
    </row>
    <row r="3961" spans="1:14">
      <c r="A3961" s="194">
        <v>41282.743587962963</v>
      </c>
      <c r="B3961" s="195">
        <v>2264</v>
      </c>
      <c r="C3961" s="194"/>
      <c r="D3961" s="194"/>
      <c r="E3961" s="198"/>
      <c r="G3961" s="202"/>
      <c r="J3961" s="195">
        <v>17</v>
      </c>
      <c r="K3961" s="204" t="s">
        <v>11</v>
      </c>
      <c r="L3961" s="199">
        <v>2</v>
      </c>
      <c r="M3961" s="200">
        <v>44.6</v>
      </c>
      <c r="N3961" s="201">
        <v>20</v>
      </c>
    </row>
    <row r="3962" spans="1:14">
      <c r="A3962" s="194">
        <v>41287.50445601852</v>
      </c>
      <c r="B3962" s="195">
        <v>2264</v>
      </c>
      <c r="C3962" s="194"/>
      <c r="D3962" s="194"/>
      <c r="E3962" s="196" t="s">
        <v>1713</v>
      </c>
      <c r="G3962" s="202"/>
      <c r="J3962" s="195">
        <v>24</v>
      </c>
      <c r="K3962" s="204" t="s">
        <v>25</v>
      </c>
      <c r="L3962" s="199">
        <v>2</v>
      </c>
      <c r="M3962" s="200">
        <v>0.4</v>
      </c>
      <c r="N3962" s="201">
        <v>29</v>
      </c>
    </row>
    <row r="3963" spans="1:14">
      <c r="A3963" s="194">
        <v>41280.280023148145</v>
      </c>
      <c r="B3963" s="195">
        <v>2264</v>
      </c>
      <c r="C3963" s="194"/>
      <c r="D3963" s="194"/>
      <c r="E3963" s="196" t="s">
        <v>1723</v>
      </c>
      <c r="G3963" s="202"/>
      <c r="J3963" s="195">
        <v>24</v>
      </c>
      <c r="K3963" s="204" t="s">
        <v>25</v>
      </c>
      <c r="L3963" s="199">
        <v>2</v>
      </c>
      <c r="M3963" s="200">
        <v>43.3</v>
      </c>
      <c r="N3963" s="201">
        <v>31</v>
      </c>
    </row>
    <row r="3964" spans="1:14">
      <c r="A3964" s="194">
        <v>41287.570081018515</v>
      </c>
      <c r="B3964" s="195">
        <v>2264</v>
      </c>
      <c r="C3964" s="194"/>
      <c r="D3964" s="194"/>
      <c r="E3964" s="196" t="s">
        <v>2079</v>
      </c>
      <c r="G3964" s="202"/>
      <c r="J3964" s="195">
        <v>24</v>
      </c>
      <c r="K3964" s="204" t="s">
        <v>25</v>
      </c>
      <c r="L3964" s="199">
        <v>2</v>
      </c>
      <c r="M3964" s="200">
        <v>1.1000000000000001</v>
      </c>
      <c r="N3964" s="201">
        <v>35</v>
      </c>
    </row>
    <row r="3965" spans="1:14">
      <c r="A3965" s="194">
        <v>41296.331759259258</v>
      </c>
      <c r="B3965" s="195">
        <v>2264</v>
      </c>
      <c r="C3965" s="194"/>
      <c r="D3965" s="194"/>
      <c r="E3965" s="196" t="s">
        <v>1726</v>
      </c>
      <c r="G3965" s="202"/>
      <c r="J3965" s="195">
        <v>29</v>
      </c>
      <c r="K3965" s="204" t="s">
        <v>39</v>
      </c>
      <c r="L3965" s="199">
        <v>1</v>
      </c>
      <c r="M3965" s="200">
        <v>1.5</v>
      </c>
      <c r="N3965" s="201">
        <v>43</v>
      </c>
    </row>
    <row r="3966" spans="1:14">
      <c r="A3966" s="194">
        <v>41282.740983796299</v>
      </c>
      <c r="B3966" s="195">
        <v>2264</v>
      </c>
      <c r="C3966" s="194"/>
      <c r="D3966" s="194"/>
      <c r="E3966" s="198"/>
      <c r="G3966" s="202"/>
      <c r="J3966" s="195">
        <v>6100</v>
      </c>
      <c r="K3966" s="204" t="s">
        <v>38</v>
      </c>
      <c r="L3966" s="199">
        <v>2</v>
      </c>
      <c r="M3966" s="200">
        <v>0.5</v>
      </c>
      <c r="N3966" s="201">
        <v>19</v>
      </c>
    </row>
    <row r="3967" spans="1:14">
      <c r="A3967" s="194">
        <v>41282.849236111113</v>
      </c>
      <c r="B3967" s="195">
        <v>2264</v>
      </c>
      <c r="C3967" s="194"/>
      <c r="D3967" s="194"/>
      <c r="E3967" s="198"/>
      <c r="G3967" s="202"/>
      <c r="J3967" s="195">
        <v>6100</v>
      </c>
      <c r="K3967" s="204" t="s">
        <v>38</v>
      </c>
      <c r="L3967" s="199">
        <v>3</v>
      </c>
      <c r="M3967" s="200">
        <v>0.8</v>
      </c>
      <c r="N3967" s="201">
        <v>30</v>
      </c>
    </row>
    <row r="3968" spans="1:14">
      <c r="A3968" s="194">
        <v>41278.464999999997</v>
      </c>
      <c r="B3968" s="195">
        <v>2264</v>
      </c>
      <c r="C3968" s="194"/>
      <c r="D3968" s="194"/>
      <c r="E3968" s="198"/>
      <c r="G3968" s="202"/>
      <c r="J3968" s="195">
        <v>6200</v>
      </c>
      <c r="K3968" s="204" t="s">
        <v>36</v>
      </c>
      <c r="L3968" s="199">
        <v>1</v>
      </c>
      <c r="M3968" s="200">
        <v>1.5</v>
      </c>
      <c r="N3968" s="201">
        <v>17</v>
      </c>
    </row>
    <row r="3969" spans="1:14">
      <c r="A3969" s="194">
        <v>41278.570185185185</v>
      </c>
      <c r="B3969" s="195">
        <v>2264</v>
      </c>
      <c r="C3969" s="194"/>
      <c r="D3969" s="194"/>
      <c r="E3969" s="198"/>
      <c r="G3969" s="202"/>
      <c r="J3969" s="195">
        <v>6200</v>
      </c>
      <c r="K3969" s="204" t="s">
        <v>36</v>
      </c>
      <c r="L3969" s="199">
        <v>3</v>
      </c>
      <c r="M3969" s="200">
        <v>0.3</v>
      </c>
      <c r="N3969" s="201">
        <v>36</v>
      </c>
    </row>
    <row r="3970" spans="1:14">
      <c r="A3970" s="194">
        <v>41291.77275462963</v>
      </c>
      <c r="B3970" s="195">
        <v>3001</v>
      </c>
      <c r="C3970" s="194"/>
      <c r="D3970" s="194"/>
      <c r="E3970" s="196" t="s">
        <v>435</v>
      </c>
      <c r="F3970" s="195">
        <v>466</v>
      </c>
      <c r="G3970" s="197" t="s">
        <v>142</v>
      </c>
      <c r="H3970" s="197" t="s">
        <v>223</v>
      </c>
      <c r="I3970" s="196" t="s">
        <v>402</v>
      </c>
      <c r="J3970" s="195">
        <v>1</v>
      </c>
      <c r="K3970" s="204" t="s">
        <v>224</v>
      </c>
      <c r="L3970" s="199">
        <v>2</v>
      </c>
      <c r="M3970" s="200">
        <v>0.3</v>
      </c>
      <c r="N3970" s="201">
        <v>18</v>
      </c>
    </row>
    <row r="3971" spans="1:14">
      <c r="A3971" s="194">
        <v>41289.874571759261</v>
      </c>
      <c r="B3971" s="195">
        <v>3001</v>
      </c>
      <c r="C3971" s="194"/>
      <c r="D3971" s="194"/>
      <c r="E3971" s="196" t="s">
        <v>439</v>
      </c>
      <c r="F3971" s="195">
        <v>466</v>
      </c>
      <c r="G3971" s="197" t="s">
        <v>142</v>
      </c>
      <c r="H3971" s="197" t="s">
        <v>223</v>
      </c>
      <c r="I3971" s="196" t="s">
        <v>402</v>
      </c>
      <c r="J3971" s="195">
        <v>1</v>
      </c>
      <c r="K3971" s="204" t="s">
        <v>224</v>
      </c>
      <c r="L3971" s="199">
        <v>1</v>
      </c>
      <c r="M3971" s="200">
        <v>0.3</v>
      </c>
      <c r="N3971" s="201">
        <v>23</v>
      </c>
    </row>
    <row r="3972" spans="1:14">
      <c r="A3972" s="194">
        <v>41277.923946759256</v>
      </c>
      <c r="B3972" s="195">
        <v>3001</v>
      </c>
      <c r="C3972" s="194"/>
      <c r="D3972" s="194"/>
      <c r="E3972" s="196" t="s">
        <v>544</v>
      </c>
      <c r="F3972" s="195">
        <v>800</v>
      </c>
      <c r="G3972" s="197" t="s">
        <v>470</v>
      </c>
      <c r="H3972" s="197" t="s">
        <v>471</v>
      </c>
      <c r="J3972" s="195">
        <v>1</v>
      </c>
      <c r="K3972" s="204" t="s">
        <v>224</v>
      </c>
      <c r="L3972" s="199">
        <v>1</v>
      </c>
      <c r="M3972" s="200">
        <v>37.200000000000003</v>
      </c>
      <c r="N3972" s="201">
        <v>16</v>
      </c>
    </row>
    <row r="3973" spans="1:14">
      <c r="A3973" s="194">
        <v>41300.470405092594</v>
      </c>
      <c r="B3973" s="195">
        <v>3001</v>
      </c>
      <c r="C3973" s="194"/>
      <c r="D3973" s="194"/>
      <c r="E3973" s="196" t="s">
        <v>1243</v>
      </c>
      <c r="F3973" s="195">
        <v>800</v>
      </c>
      <c r="G3973" s="197" t="s">
        <v>470</v>
      </c>
      <c r="H3973" s="197" t="s">
        <v>471</v>
      </c>
      <c r="J3973" s="195">
        <v>1</v>
      </c>
      <c r="K3973" s="204" t="s">
        <v>224</v>
      </c>
      <c r="L3973" s="199">
        <v>2</v>
      </c>
      <c r="M3973" s="200">
        <v>0.8</v>
      </c>
      <c r="N3973" s="201">
        <v>17</v>
      </c>
    </row>
    <row r="3974" spans="1:14">
      <c r="A3974" s="194">
        <v>41294.050011574072</v>
      </c>
      <c r="B3974" s="195">
        <v>3001</v>
      </c>
      <c r="C3974" s="194"/>
      <c r="D3974" s="194"/>
      <c r="E3974" s="196" t="s">
        <v>1079</v>
      </c>
      <c r="F3974" s="195">
        <v>800</v>
      </c>
      <c r="G3974" s="197" t="s">
        <v>470</v>
      </c>
      <c r="H3974" s="197" t="s">
        <v>471</v>
      </c>
      <c r="J3974" s="195">
        <v>1</v>
      </c>
      <c r="K3974" s="204" t="s">
        <v>224</v>
      </c>
      <c r="L3974" s="199">
        <v>1</v>
      </c>
      <c r="M3974" s="200">
        <v>39.700000000000003</v>
      </c>
      <c r="N3974" s="201">
        <v>17</v>
      </c>
    </row>
    <row r="3975" spans="1:14">
      <c r="A3975" s="194">
        <v>41275.719629629632</v>
      </c>
      <c r="B3975" s="195">
        <v>3001</v>
      </c>
      <c r="C3975" s="194"/>
      <c r="D3975" s="194"/>
      <c r="E3975" s="196" t="s">
        <v>469</v>
      </c>
      <c r="F3975" s="195">
        <v>800</v>
      </c>
      <c r="G3975" s="197" t="s">
        <v>470</v>
      </c>
      <c r="H3975" s="197" t="s">
        <v>471</v>
      </c>
      <c r="J3975" s="195">
        <v>1</v>
      </c>
      <c r="K3975" s="204" t="s">
        <v>224</v>
      </c>
      <c r="L3975" s="199">
        <v>2</v>
      </c>
      <c r="M3975" s="200">
        <v>0.5</v>
      </c>
      <c r="N3975" s="201">
        <v>18</v>
      </c>
    </row>
    <row r="3976" spans="1:14">
      <c r="A3976" s="194">
        <v>41278.336863425924</v>
      </c>
      <c r="B3976" s="195">
        <v>3001</v>
      </c>
      <c r="C3976" s="194"/>
      <c r="D3976" s="194"/>
      <c r="E3976" s="196" t="s">
        <v>645</v>
      </c>
      <c r="F3976" s="195">
        <v>800</v>
      </c>
      <c r="G3976" s="197" t="s">
        <v>470</v>
      </c>
      <c r="H3976" s="197" t="s">
        <v>471</v>
      </c>
      <c r="J3976" s="195">
        <v>1</v>
      </c>
      <c r="K3976" s="204" t="s">
        <v>224</v>
      </c>
      <c r="L3976" s="199">
        <v>1</v>
      </c>
      <c r="M3976" s="200">
        <v>0.7</v>
      </c>
      <c r="N3976" s="201">
        <v>18</v>
      </c>
    </row>
    <row r="3977" spans="1:14">
      <c r="A3977" s="194">
        <v>41284.71234953704</v>
      </c>
      <c r="B3977" s="195">
        <v>3001</v>
      </c>
      <c r="C3977" s="194"/>
      <c r="D3977" s="194"/>
      <c r="E3977" s="196" t="s">
        <v>696</v>
      </c>
      <c r="F3977" s="195">
        <v>800</v>
      </c>
      <c r="G3977" s="197" t="s">
        <v>470</v>
      </c>
      <c r="H3977" s="197" t="s">
        <v>471</v>
      </c>
      <c r="J3977" s="195">
        <v>1</v>
      </c>
      <c r="K3977" s="204" t="s">
        <v>224</v>
      </c>
      <c r="L3977" s="199">
        <v>1</v>
      </c>
      <c r="M3977" s="200">
        <v>0.6</v>
      </c>
      <c r="N3977" s="201">
        <v>19</v>
      </c>
    </row>
    <row r="3978" spans="1:14">
      <c r="A3978" s="194">
        <v>41285.32540509259</v>
      </c>
      <c r="B3978" s="195">
        <v>3001</v>
      </c>
      <c r="C3978" s="194"/>
      <c r="D3978" s="194"/>
      <c r="E3978" s="196" t="s">
        <v>785</v>
      </c>
      <c r="F3978" s="195">
        <v>800</v>
      </c>
      <c r="G3978" s="197" t="s">
        <v>470</v>
      </c>
      <c r="H3978" s="197" t="s">
        <v>471</v>
      </c>
      <c r="J3978" s="195">
        <v>1</v>
      </c>
      <c r="K3978" s="204" t="s">
        <v>224</v>
      </c>
      <c r="L3978" s="199">
        <v>1</v>
      </c>
      <c r="M3978" s="200">
        <v>0.5</v>
      </c>
      <c r="N3978" s="201">
        <v>20</v>
      </c>
    </row>
    <row r="3979" spans="1:14">
      <c r="A3979" s="194">
        <v>41291.308749999997</v>
      </c>
      <c r="B3979" s="195">
        <v>3001</v>
      </c>
      <c r="C3979" s="194"/>
      <c r="D3979" s="194"/>
      <c r="E3979" s="196" t="s">
        <v>963</v>
      </c>
      <c r="F3979" s="195">
        <v>800</v>
      </c>
      <c r="G3979" s="197" t="s">
        <v>470</v>
      </c>
      <c r="H3979" s="197" t="s">
        <v>471</v>
      </c>
      <c r="J3979" s="195">
        <v>1</v>
      </c>
      <c r="K3979" s="204" t="s">
        <v>224</v>
      </c>
      <c r="L3979" s="199">
        <v>2</v>
      </c>
      <c r="M3979" s="200">
        <v>0.6</v>
      </c>
      <c r="N3979" s="201">
        <v>20</v>
      </c>
    </row>
    <row r="3980" spans="1:14">
      <c r="A3980" s="194">
        <v>41289.765474537038</v>
      </c>
      <c r="B3980" s="195">
        <v>3001</v>
      </c>
      <c r="C3980" s="194"/>
      <c r="D3980" s="194"/>
      <c r="E3980" s="196" t="s">
        <v>1029</v>
      </c>
      <c r="F3980" s="195">
        <v>800</v>
      </c>
      <c r="G3980" s="197" t="s">
        <v>470</v>
      </c>
      <c r="H3980" s="197" t="s">
        <v>471</v>
      </c>
      <c r="J3980" s="195">
        <v>1</v>
      </c>
      <c r="K3980" s="204" t="s">
        <v>224</v>
      </c>
      <c r="L3980" s="199">
        <v>1</v>
      </c>
      <c r="M3980" s="200">
        <v>1</v>
      </c>
      <c r="N3980" s="201">
        <v>20</v>
      </c>
    </row>
    <row r="3981" spans="1:14">
      <c r="A3981" s="194">
        <v>41300.749571759261</v>
      </c>
      <c r="B3981" s="195">
        <v>3001</v>
      </c>
      <c r="C3981" s="194"/>
      <c r="D3981" s="194"/>
      <c r="E3981" s="196" t="s">
        <v>1244</v>
      </c>
      <c r="F3981" s="195">
        <v>800</v>
      </c>
      <c r="G3981" s="197" t="s">
        <v>470</v>
      </c>
      <c r="H3981" s="197" t="s">
        <v>471</v>
      </c>
      <c r="J3981" s="195">
        <v>1</v>
      </c>
      <c r="K3981" s="204" t="s">
        <v>224</v>
      </c>
      <c r="L3981" s="199">
        <v>2</v>
      </c>
      <c r="M3981" s="200">
        <v>1</v>
      </c>
      <c r="N3981" s="201">
        <v>20</v>
      </c>
    </row>
    <row r="3982" spans="1:14">
      <c r="A3982" s="194">
        <v>41302.897905092592</v>
      </c>
      <c r="B3982" s="195">
        <v>3001</v>
      </c>
      <c r="C3982" s="194"/>
      <c r="D3982" s="194"/>
      <c r="E3982" s="196" t="s">
        <v>1303</v>
      </c>
      <c r="F3982" s="195">
        <v>800</v>
      </c>
      <c r="G3982" s="197" t="s">
        <v>470</v>
      </c>
      <c r="H3982" s="197" t="s">
        <v>471</v>
      </c>
      <c r="J3982" s="195">
        <v>1</v>
      </c>
      <c r="K3982" s="204" t="s">
        <v>224</v>
      </c>
      <c r="L3982" s="199">
        <v>1</v>
      </c>
      <c r="M3982" s="200">
        <v>37</v>
      </c>
      <c r="N3982" s="201">
        <v>20</v>
      </c>
    </row>
    <row r="3983" spans="1:14">
      <c r="A3983" s="194">
        <v>41282.274363425924</v>
      </c>
      <c r="B3983" s="195">
        <v>3001</v>
      </c>
      <c r="C3983" s="194"/>
      <c r="D3983" s="194"/>
      <c r="E3983" s="196" t="s">
        <v>692</v>
      </c>
      <c r="F3983" s="195">
        <v>800</v>
      </c>
      <c r="G3983" s="197" t="s">
        <v>470</v>
      </c>
      <c r="H3983" s="197" t="s">
        <v>471</v>
      </c>
      <c r="J3983" s="195">
        <v>1</v>
      </c>
      <c r="K3983" s="204" t="s">
        <v>224</v>
      </c>
      <c r="L3983" s="199">
        <v>2</v>
      </c>
      <c r="M3983" s="200">
        <v>0.7</v>
      </c>
      <c r="N3983" s="201">
        <v>21</v>
      </c>
    </row>
    <row r="3984" spans="1:14">
      <c r="A3984" s="194">
        <v>41297.400416666664</v>
      </c>
      <c r="B3984" s="195">
        <v>3001</v>
      </c>
      <c r="C3984" s="194"/>
      <c r="D3984" s="194"/>
      <c r="E3984" s="196" t="s">
        <v>1222</v>
      </c>
      <c r="F3984" s="195">
        <v>800</v>
      </c>
      <c r="G3984" s="197" t="s">
        <v>470</v>
      </c>
      <c r="H3984" s="197" t="s">
        <v>471</v>
      </c>
      <c r="J3984" s="195">
        <v>1</v>
      </c>
      <c r="K3984" s="204" t="s">
        <v>224</v>
      </c>
      <c r="L3984" s="199">
        <v>1</v>
      </c>
      <c r="M3984" s="200">
        <v>0.6</v>
      </c>
      <c r="N3984" s="201">
        <v>22</v>
      </c>
    </row>
    <row r="3985" spans="1:14">
      <c r="A3985" s="194">
        <v>41279.584988425922</v>
      </c>
      <c r="B3985" s="195">
        <v>3001</v>
      </c>
      <c r="C3985" s="194"/>
      <c r="D3985" s="194"/>
      <c r="E3985" s="196" t="s">
        <v>669</v>
      </c>
      <c r="F3985" s="195">
        <v>800</v>
      </c>
      <c r="G3985" s="197" t="s">
        <v>470</v>
      </c>
      <c r="H3985" s="197" t="s">
        <v>471</v>
      </c>
      <c r="J3985" s="195">
        <v>1</v>
      </c>
      <c r="K3985" s="204" t="s">
        <v>224</v>
      </c>
      <c r="L3985" s="199">
        <v>1</v>
      </c>
      <c r="M3985" s="200">
        <v>0.4</v>
      </c>
      <c r="N3985" s="201">
        <v>23</v>
      </c>
    </row>
    <row r="3986" spans="1:14">
      <c r="A3986" s="194">
        <v>41288.316030092596</v>
      </c>
      <c r="B3986" s="195">
        <v>3001</v>
      </c>
      <c r="C3986" s="194"/>
      <c r="D3986" s="194"/>
      <c r="E3986" s="196" t="s">
        <v>807</v>
      </c>
      <c r="F3986" s="195">
        <v>800</v>
      </c>
      <c r="G3986" s="197" t="s">
        <v>470</v>
      </c>
      <c r="H3986" s="197" t="s">
        <v>471</v>
      </c>
      <c r="J3986" s="195">
        <v>1</v>
      </c>
      <c r="K3986" s="204" t="s">
        <v>224</v>
      </c>
      <c r="L3986" s="199">
        <v>1</v>
      </c>
      <c r="M3986" s="200">
        <v>0.4</v>
      </c>
      <c r="N3986" s="201">
        <v>23</v>
      </c>
    </row>
    <row r="3987" spans="1:14">
      <c r="A3987" s="194">
        <v>41295.397291666668</v>
      </c>
      <c r="B3987" s="195">
        <v>3001</v>
      </c>
      <c r="C3987" s="194"/>
      <c r="D3987" s="194"/>
      <c r="E3987" s="196" t="s">
        <v>1209</v>
      </c>
      <c r="F3987" s="195">
        <v>800</v>
      </c>
      <c r="G3987" s="197" t="s">
        <v>470</v>
      </c>
      <c r="H3987" s="197" t="s">
        <v>471</v>
      </c>
      <c r="J3987" s="195">
        <v>1</v>
      </c>
      <c r="K3987" s="204" t="s">
        <v>224</v>
      </c>
      <c r="L3987" s="199">
        <v>1</v>
      </c>
      <c r="M3987" s="200">
        <v>0.7</v>
      </c>
      <c r="N3987" s="201">
        <v>23</v>
      </c>
    </row>
    <row r="3988" spans="1:14">
      <c r="A3988" s="194">
        <v>41297.360833333332</v>
      </c>
      <c r="B3988" s="195">
        <v>3001</v>
      </c>
      <c r="C3988" s="194"/>
      <c r="D3988" s="194"/>
      <c r="E3988" s="196" t="s">
        <v>1221</v>
      </c>
      <c r="F3988" s="195">
        <v>800</v>
      </c>
      <c r="G3988" s="197" t="s">
        <v>470</v>
      </c>
      <c r="H3988" s="197" t="s">
        <v>471</v>
      </c>
      <c r="J3988" s="195">
        <v>1</v>
      </c>
      <c r="K3988" s="204" t="s">
        <v>224</v>
      </c>
      <c r="L3988" s="199">
        <v>1</v>
      </c>
      <c r="M3988" s="200">
        <v>0.9</v>
      </c>
      <c r="N3988" s="201">
        <v>23</v>
      </c>
    </row>
    <row r="3989" spans="1:14">
      <c r="A3989" s="194">
        <v>41291.379571759258</v>
      </c>
      <c r="B3989" s="195">
        <v>3001</v>
      </c>
      <c r="C3989" s="194"/>
      <c r="D3989" s="194"/>
      <c r="E3989" s="196" t="s">
        <v>964</v>
      </c>
      <c r="F3989" s="195">
        <v>800</v>
      </c>
      <c r="G3989" s="197" t="s">
        <v>470</v>
      </c>
      <c r="H3989" s="197" t="s">
        <v>471</v>
      </c>
      <c r="J3989" s="195">
        <v>1</v>
      </c>
      <c r="K3989" s="204" t="s">
        <v>224</v>
      </c>
      <c r="L3989" s="199">
        <v>2</v>
      </c>
      <c r="M3989" s="200">
        <v>0.3</v>
      </c>
      <c r="N3989" s="201">
        <v>24</v>
      </c>
    </row>
    <row r="3990" spans="1:14">
      <c r="A3990" s="194">
        <v>41300.793321759258</v>
      </c>
      <c r="B3990" s="195">
        <v>3001</v>
      </c>
      <c r="C3990" s="194"/>
      <c r="D3990" s="194"/>
      <c r="E3990" s="196" t="s">
        <v>1245</v>
      </c>
      <c r="F3990" s="195">
        <v>800</v>
      </c>
      <c r="G3990" s="197" t="s">
        <v>470</v>
      </c>
      <c r="H3990" s="197" t="s">
        <v>471</v>
      </c>
      <c r="J3990" s="195">
        <v>1</v>
      </c>
      <c r="K3990" s="204" t="s">
        <v>224</v>
      </c>
      <c r="L3990" s="199">
        <v>1</v>
      </c>
      <c r="M3990" s="200">
        <v>0.8</v>
      </c>
      <c r="N3990" s="201">
        <v>24</v>
      </c>
    </row>
    <row r="3991" spans="1:14">
      <c r="A3991" s="194">
        <v>41279.622476851851</v>
      </c>
      <c r="B3991" s="195">
        <v>3001</v>
      </c>
      <c r="C3991" s="194"/>
      <c r="D3991" s="194"/>
      <c r="E3991" s="196" t="s">
        <v>671</v>
      </c>
      <c r="F3991" s="195">
        <v>800</v>
      </c>
      <c r="G3991" s="197" t="s">
        <v>470</v>
      </c>
      <c r="H3991" s="197" t="s">
        <v>471</v>
      </c>
      <c r="J3991" s="195">
        <v>1</v>
      </c>
      <c r="K3991" s="204" t="s">
        <v>224</v>
      </c>
      <c r="L3991" s="199">
        <v>2</v>
      </c>
      <c r="M3991" s="200">
        <v>0.4</v>
      </c>
      <c r="N3991" s="201">
        <v>25</v>
      </c>
    </row>
    <row r="3992" spans="1:14">
      <c r="A3992" s="194">
        <v>41299.804016203707</v>
      </c>
      <c r="B3992" s="195">
        <v>3001</v>
      </c>
      <c r="C3992" s="194"/>
      <c r="D3992" s="194"/>
      <c r="E3992" s="196" t="s">
        <v>1232</v>
      </c>
      <c r="F3992" s="195">
        <v>800</v>
      </c>
      <c r="G3992" s="197" t="s">
        <v>470</v>
      </c>
      <c r="H3992" s="197" t="s">
        <v>471</v>
      </c>
      <c r="J3992" s="195">
        <v>1</v>
      </c>
      <c r="K3992" s="204" t="s">
        <v>224</v>
      </c>
      <c r="L3992" s="199">
        <v>2</v>
      </c>
      <c r="M3992" s="200">
        <v>1</v>
      </c>
      <c r="N3992" s="201">
        <v>25</v>
      </c>
    </row>
    <row r="3993" spans="1:14">
      <c r="A3993" s="194">
        <v>41294.926990740743</v>
      </c>
      <c r="B3993" s="195">
        <v>3001</v>
      </c>
      <c r="C3993" s="194"/>
      <c r="D3993" s="194"/>
      <c r="E3993" s="196" t="s">
        <v>1080</v>
      </c>
      <c r="F3993" s="195">
        <v>800</v>
      </c>
      <c r="G3993" s="197" t="s">
        <v>470</v>
      </c>
      <c r="H3993" s="197" t="s">
        <v>471</v>
      </c>
      <c r="J3993" s="195">
        <v>1</v>
      </c>
      <c r="K3993" s="204" t="s">
        <v>224</v>
      </c>
      <c r="L3993" s="199">
        <v>2</v>
      </c>
      <c r="M3993" s="200">
        <v>30.3</v>
      </c>
      <c r="N3993" s="201">
        <v>25</v>
      </c>
    </row>
    <row r="3994" spans="1:14">
      <c r="A3994" s="194">
        <v>41299.672766203701</v>
      </c>
      <c r="B3994" s="195">
        <v>3001</v>
      </c>
      <c r="C3994" s="194"/>
      <c r="D3994" s="194"/>
      <c r="E3994" s="196" t="s">
        <v>1231</v>
      </c>
      <c r="F3994" s="195">
        <v>800</v>
      </c>
      <c r="G3994" s="197" t="s">
        <v>470</v>
      </c>
      <c r="H3994" s="197" t="s">
        <v>471</v>
      </c>
      <c r="J3994" s="195">
        <v>1</v>
      </c>
      <c r="K3994" s="204" t="s">
        <v>224</v>
      </c>
      <c r="L3994" s="199">
        <v>1</v>
      </c>
      <c r="M3994" s="200">
        <v>0.6</v>
      </c>
      <c r="N3994" s="201">
        <v>27</v>
      </c>
    </row>
    <row r="3995" spans="1:14">
      <c r="A3995" s="194">
        <v>41303.291030092594</v>
      </c>
      <c r="B3995" s="195">
        <v>3001</v>
      </c>
      <c r="C3995" s="194"/>
      <c r="D3995" s="194"/>
      <c r="E3995" s="196" t="s">
        <v>1505</v>
      </c>
      <c r="F3995" s="195">
        <v>800</v>
      </c>
      <c r="G3995" s="197" t="s">
        <v>470</v>
      </c>
      <c r="H3995" s="197" t="s">
        <v>471</v>
      </c>
      <c r="J3995" s="195">
        <v>1</v>
      </c>
      <c r="K3995" s="204" t="s">
        <v>224</v>
      </c>
      <c r="L3995" s="199">
        <v>1</v>
      </c>
      <c r="M3995" s="200">
        <v>0.4</v>
      </c>
      <c r="N3995" s="201">
        <v>28</v>
      </c>
    </row>
    <row r="3996" spans="1:14">
      <c r="A3996" s="194">
        <v>41286.693310185183</v>
      </c>
      <c r="B3996" s="195">
        <v>3001</v>
      </c>
      <c r="C3996" s="194"/>
      <c r="D3996" s="194"/>
      <c r="E3996" s="196" t="s">
        <v>784</v>
      </c>
      <c r="F3996" s="195">
        <v>800</v>
      </c>
      <c r="G3996" s="197" t="s">
        <v>470</v>
      </c>
      <c r="H3996" s="197" t="s">
        <v>471</v>
      </c>
      <c r="J3996" s="195">
        <v>1</v>
      </c>
      <c r="K3996" s="204" t="s">
        <v>224</v>
      </c>
      <c r="L3996" s="199">
        <v>1</v>
      </c>
      <c r="M3996" s="200">
        <v>0.6</v>
      </c>
      <c r="N3996" s="201">
        <v>29</v>
      </c>
    </row>
    <row r="3997" spans="1:14">
      <c r="A3997" s="194">
        <v>41289.476643518516</v>
      </c>
      <c r="B3997" s="195">
        <v>3001</v>
      </c>
      <c r="C3997" s="194"/>
      <c r="D3997" s="194"/>
      <c r="E3997" s="196" t="s">
        <v>1028</v>
      </c>
      <c r="F3997" s="195">
        <v>800</v>
      </c>
      <c r="G3997" s="197" t="s">
        <v>470</v>
      </c>
      <c r="H3997" s="197" t="s">
        <v>471</v>
      </c>
      <c r="J3997" s="195">
        <v>1</v>
      </c>
      <c r="K3997" s="204" t="s">
        <v>224</v>
      </c>
      <c r="L3997" s="199">
        <v>2</v>
      </c>
      <c r="M3997" s="200">
        <v>1</v>
      </c>
      <c r="N3997" s="201">
        <v>29</v>
      </c>
    </row>
    <row r="3998" spans="1:14">
      <c r="A3998" s="194">
        <v>41278.343124999999</v>
      </c>
      <c r="B3998" s="195">
        <v>3001</v>
      </c>
      <c r="C3998" s="194"/>
      <c r="D3998" s="194"/>
      <c r="E3998" s="196" t="s">
        <v>646</v>
      </c>
      <c r="F3998" s="195">
        <v>800</v>
      </c>
      <c r="G3998" s="197" t="s">
        <v>470</v>
      </c>
      <c r="H3998" s="197" t="s">
        <v>471</v>
      </c>
      <c r="J3998" s="195">
        <v>1</v>
      </c>
      <c r="K3998" s="204" t="s">
        <v>224</v>
      </c>
      <c r="L3998" s="199">
        <v>1</v>
      </c>
      <c r="M3998" s="200">
        <v>1.8</v>
      </c>
      <c r="N3998" s="201">
        <v>30</v>
      </c>
    </row>
    <row r="3999" spans="1:14">
      <c r="A3999" s="194">
        <v>41301.924571759257</v>
      </c>
      <c r="B3999" s="195">
        <v>3001</v>
      </c>
      <c r="C3999" s="194"/>
      <c r="D3999" s="194"/>
      <c r="E3999" s="196" t="s">
        <v>1254</v>
      </c>
      <c r="F3999" s="195">
        <v>800</v>
      </c>
      <c r="G3999" s="197" t="s">
        <v>470</v>
      </c>
      <c r="H3999" s="197" t="s">
        <v>471</v>
      </c>
      <c r="J3999" s="195">
        <v>1</v>
      </c>
      <c r="K3999" s="204" t="s">
        <v>224</v>
      </c>
      <c r="L3999" s="199">
        <v>1</v>
      </c>
      <c r="M3999" s="200">
        <v>0.3</v>
      </c>
      <c r="N3999" s="201">
        <v>32</v>
      </c>
    </row>
    <row r="4000" spans="1:14">
      <c r="A4000" s="194">
        <v>41287.711030092592</v>
      </c>
      <c r="B4000" s="195">
        <v>3001</v>
      </c>
      <c r="C4000" s="194"/>
      <c r="D4000" s="194"/>
      <c r="E4000" s="196" t="s">
        <v>806</v>
      </c>
      <c r="F4000" s="195">
        <v>800</v>
      </c>
      <c r="G4000" s="197" t="s">
        <v>470</v>
      </c>
      <c r="H4000" s="197" t="s">
        <v>471</v>
      </c>
      <c r="J4000" s="195">
        <v>1</v>
      </c>
      <c r="K4000" s="204" t="s">
        <v>224</v>
      </c>
      <c r="L4000" s="199">
        <v>1</v>
      </c>
      <c r="M4000" s="200">
        <v>0.7</v>
      </c>
      <c r="N4000" s="201">
        <v>32</v>
      </c>
    </row>
    <row r="4001" spans="1:14">
      <c r="A4001" s="194">
        <v>41293.229189814818</v>
      </c>
      <c r="B4001" s="195">
        <v>3001</v>
      </c>
      <c r="C4001" s="194"/>
      <c r="D4001" s="194"/>
      <c r="E4001" s="196" t="s">
        <v>1071</v>
      </c>
      <c r="F4001" s="195">
        <v>800</v>
      </c>
      <c r="G4001" s="197" t="s">
        <v>470</v>
      </c>
      <c r="H4001" s="197" t="s">
        <v>471</v>
      </c>
      <c r="J4001" s="195">
        <v>1</v>
      </c>
      <c r="K4001" s="204" t="s">
        <v>224</v>
      </c>
      <c r="L4001" s="199">
        <v>1</v>
      </c>
      <c r="M4001" s="200">
        <v>39.700000000000003</v>
      </c>
      <c r="N4001" s="201">
        <v>33</v>
      </c>
    </row>
    <row r="4002" spans="1:14">
      <c r="A4002" s="194">
        <v>41280.409386574072</v>
      </c>
      <c r="B4002" s="195">
        <v>3001</v>
      </c>
      <c r="C4002" s="194"/>
      <c r="D4002" s="194"/>
      <c r="E4002" s="196" t="s">
        <v>677</v>
      </c>
      <c r="F4002" s="195">
        <v>800</v>
      </c>
      <c r="G4002" s="197" t="s">
        <v>470</v>
      </c>
      <c r="H4002" s="197" t="s">
        <v>471</v>
      </c>
      <c r="J4002" s="195">
        <v>1</v>
      </c>
      <c r="K4002" s="204" t="s">
        <v>224</v>
      </c>
      <c r="L4002" s="199">
        <v>1</v>
      </c>
      <c r="M4002" s="200">
        <v>39.799999999999997</v>
      </c>
      <c r="N4002" s="201">
        <v>33</v>
      </c>
    </row>
    <row r="4003" spans="1:14">
      <c r="A4003" s="194">
        <v>41291.056215277778</v>
      </c>
      <c r="B4003" s="195">
        <v>3001</v>
      </c>
      <c r="C4003" s="194"/>
      <c r="D4003" s="194"/>
      <c r="E4003" s="196" t="s">
        <v>962</v>
      </c>
      <c r="F4003" s="195">
        <v>800</v>
      </c>
      <c r="G4003" s="197" t="s">
        <v>470</v>
      </c>
      <c r="H4003" s="197" t="s">
        <v>471</v>
      </c>
      <c r="J4003" s="195">
        <v>1</v>
      </c>
      <c r="K4003" s="204" t="s">
        <v>224</v>
      </c>
      <c r="L4003" s="199">
        <v>1</v>
      </c>
      <c r="M4003" s="200">
        <v>34.200000000000003</v>
      </c>
      <c r="N4003" s="201">
        <v>35</v>
      </c>
    </row>
    <row r="4004" spans="1:14">
      <c r="A4004" s="194">
        <v>41277.244780092595</v>
      </c>
      <c r="B4004" s="195">
        <v>3001</v>
      </c>
      <c r="C4004" s="194"/>
      <c r="D4004" s="194"/>
      <c r="E4004" s="196" t="s">
        <v>543</v>
      </c>
      <c r="F4004" s="195">
        <v>800</v>
      </c>
      <c r="G4004" s="197" t="s">
        <v>470</v>
      </c>
      <c r="H4004" s="197" t="s">
        <v>471</v>
      </c>
      <c r="J4004" s="195">
        <v>1</v>
      </c>
      <c r="K4004" s="204" t="s">
        <v>224</v>
      </c>
      <c r="L4004" s="199">
        <v>1</v>
      </c>
      <c r="M4004" s="200">
        <v>39</v>
      </c>
      <c r="N4004" s="201">
        <v>36</v>
      </c>
    </row>
    <row r="4005" spans="1:14">
      <c r="A4005" s="194">
        <v>41279.306261574071</v>
      </c>
      <c r="B4005" s="195">
        <v>3001</v>
      </c>
      <c r="C4005" s="194"/>
      <c r="D4005" s="194"/>
      <c r="E4005" s="198"/>
      <c r="G4005" s="202"/>
      <c r="J4005" s="195">
        <v>2</v>
      </c>
      <c r="K4005" s="204" t="s">
        <v>32</v>
      </c>
      <c r="L4005" s="199">
        <v>1</v>
      </c>
      <c r="M4005" s="200">
        <v>39.200000000000003</v>
      </c>
      <c r="N4005" s="201">
        <v>15</v>
      </c>
    </row>
    <row r="4006" spans="1:14">
      <c r="A4006" s="194">
        <v>41283.922824074078</v>
      </c>
      <c r="B4006" s="195">
        <v>3001</v>
      </c>
      <c r="C4006" s="194"/>
      <c r="D4006" s="194"/>
      <c r="E4006" s="198"/>
      <c r="G4006" s="202"/>
      <c r="J4006" s="195">
        <v>3</v>
      </c>
      <c r="K4006" s="204" t="s">
        <v>1595</v>
      </c>
      <c r="L4006" s="199">
        <v>2</v>
      </c>
      <c r="M4006" s="200">
        <v>30.3</v>
      </c>
      <c r="N4006" s="201">
        <v>15</v>
      </c>
    </row>
    <row r="4007" spans="1:14">
      <c r="A4007" s="194">
        <v>41285.385821759257</v>
      </c>
      <c r="B4007" s="195">
        <v>3001</v>
      </c>
      <c r="C4007" s="194"/>
      <c r="D4007" s="194"/>
      <c r="E4007" s="198"/>
      <c r="G4007" s="202"/>
      <c r="J4007" s="195">
        <v>3</v>
      </c>
      <c r="K4007" s="204" t="s">
        <v>1595</v>
      </c>
      <c r="L4007" s="199">
        <v>2</v>
      </c>
      <c r="M4007" s="200">
        <v>0.3</v>
      </c>
      <c r="N4007" s="201">
        <v>17</v>
      </c>
    </row>
    <row r="4008" spans="1:14">
      <c r="A4008" s="194">
        <v>41304.622766203705</v>
      </c>
      <c r="B4008" s="195">
        <v>3001</v>
      </c>
      <c r="C4008" s="194"/>
      <c r="D4008" s="194"/>
      <c r="E4008" s="196" t="s">
        <v>2101</v>
      </c>
      <c r="G4008" s="202"/>
      <c r="J4008" s="195">
        <v>10</v>
      </c>
      <c r="K4008" s="204" t="s">
        <v>31</v>
      </c>
      <c r="L4008" s="199">
        <v>1</v>
      </c>
      <c r="M4008" s="200">
        <v>0.4</v>
      </c>
      <c r="N4008" s="201">
        <v>30</v>
      </c>
    </row>
    <row r="4009" spans="1:14">
      <c r="A4009" s="194">
        <v>41292.334780092591</v>
      </c>
      <c r="B4009" s="195">
        <v>3001</v>
      </c>
      <c r="C4009" s="194"/>
      <c r="D4009" s="194"/>
      <c r="E4009" s="198"/>
      <c r="G4009" s="202"/>
      <c r="J4009" s="195">
        <v>15</v>
      </c>
      <c r="K4009" s="204" t="s">
        <v>4</v>
      </c>
      <c r="L4009" s="199">
        <v>1</v>
      </c>
      <c r="M4009" s="200">
        <v>0.8</v>
      </c>
      <c r="N4009" s="201">
        <v>19</v>
      </c>
    </row>
    <row r="4010" spans="1:14">
      <c r="A4010" s="194">
        <v>41303.621712962966</v>
      </c>
      <c r="B4010" s="195">
        <v>3001</v>
      </c>
      <c r="C4010" s="194"/>
      <c r="D4010" s="194"/>
      <c r="E4010" s="198"/>
      <c r="G4010" s="202"/>
      <c r="J4010" s="195">
        <v>17</v>
      </c>
      <c r="K4010" s="204" t="s">
        <v>11</v>
      </c>
      <c r="L4010" s="199">
        <v>1</v>
      </c>
      <c r="M4010" s="200">
        <v>0.5</v>
      </c>
      <c r="N4010" s="201">
        <v>-1</v>
      </c>
    </row>
    <row r="4011" spans="1:14">
      <c r="A4011" s="194">
        <v>41303.746712962966</v>
      </c>
      <c r="B4011" s="195">
        <v>3001</v>
      </c>
      <c r="C4011" s="194"/>
      <c r="D4011" s="194"/>
      <c r="E4011" s="198"/>
      <c r="G4011" s="202"/>
      <c r="J4011" s="195">
        <v>17</v>
      </c>
      <c r="K4011" s="204" t="s">
        <v>11</v>
      </c>
      <c r="L4011" s="199">
        <v>1</v>
      </c>
      <c r="M4011" s="200">
        <v>0.8</v>
      </c>
      <c r="N4011" s="201">
        <v>-1</v>
      </c>
    </row>
    <row r="4012" spans="1:14">
      <c r="A4012" s="194">
        <v>41303.148796296293</v>
      </c>
      <c r="B4012" s="195">
        <v>3001</v>
      </c>
      <c r="C4012" s="194"/>
      <c r="D4012" s="194"/>
      <c r="E4012" s="198"/>
      <c r="G4012" s="202"/>
      <c r="J4012" s="195">
        <v>17</v>
      </c>
      <c r="K4012" s="204" t="s">
        <v>11</v>
      </c>
      <c r="L4012" s="199">
        <v>1</v>
      </c>
      <c r="M4012" s="200">
        <v>24.9</v>
      </c>
      <c r="N4012" s="201">
        <v>-1</v>
      </c>
    </row>
    <row r="4013" spans="1:14">
      <c r="A4013" s="194">
        <v>41297.229143518518</v>
      </c>
      <c r="B4013" s="195">
        <v>3001</v>
      </c>
      <c r="C4013" s="194"/>
      <c r="D4013" s="194"/>
      <c r="E4013" s="198"/>
      <c r="G4013" s="202"/>
      <c r="J4013" s="195">
        <v>17</v>
      </c>
      <c r="K4013" s="204" t="s">
        <v>11</v>
      </c>
      <c r="L4013" s="199">
        <v>2</v>
      </c>
      <c r="M4013" s="200">
        <v>37.200000000000003</v>
      </c>
      <c r="N4013" s="201">
        <v>-1</v>
      </c>
    </row>
    <row r="4014" spans="1:14">
      <c r="A4014" s="194">
        <v>41289.647766203707</v>
      </c>
      <c r="B4014" s="195">
        <v>3001</v>
      </c>
      <c r="C4014" s="194"/>
      <c r="D4014" s="194"/>
      <c r="E4014" s="198"/>
      <c r="G4014" s="202"/>
      <c r="J4014" s="195">
        <v>17</v>
      </c>
      <c r="K4014" s="204" t="s">
        <v>11</v>
      </c>
      <c r="L4014" s="199">
        <v>2</v>
      </c>
      <c r="M4014" s="200">
        <v>0.7</v>
      </c>
      <c r="N4014" s="201">
        <v>15</v>
      </c>
    </row>
    <row r="4015" spans="1:14">
      <c r="A4015" s="194">
        <v>41275.380648148152</v>
      </c>
      <c r="B4015" s="195">
        <v>3001</v>
      </c>
      <c r="C4015" s="194"/>
      <c r="D4015" s="194"/>
      <c r="E4015" s="198"/>
      <c r="G4015" s="202"/>
      <c r="J4015" s="195">
        <v>17</v>
      </c>
      <c r="K4015" s="204" t="s">
        <v>11</v>
      </c>
      <c r="L4015" s="199">
        <v>1</v>
      </c>
      <c r="M4015" s="200">
        <v>2.8</v>
      </c>
      <c r="N4015" s="201">
        <v>15</v>
      </c>
    </row>
    <row r="4016" spans="1:14">
      <c r="A4016" s="194">
        <v>41292.255648148152</v>
      </c>
      <c r="B4016" s="195">
        <v>3001</v>
      </c>
      <c r="C4016" s="194"/>
      <c r="D4016" s="194"/>
      <c r="E4016" s="198"/>
      <c r="G4016" s="202"/>
      <c r="J4016" s="195">
        <v>17</v>
      </c>
      <c r="K4016" s="204" t="s">
        <v>11</v>
      </c>
      <c r="L4016" s="199">
        <v>2</v>
      </c>
      <c r="M4016" s="200">
        <v>3.3</v>
      </c>
      <c r="N4016" s="201">
        <v>15</v>
      </c>
    </row>
    <row r="4017" spans="1:14">
      <c r="A4017" s="194">
        <v>41297.050949074073</v>
      </c>
      <c r="B4017" s="195">
        <v>3001</v>
      </c>
      <c r="C4017" s="194"/>
      <c r="D4017" s="194"/>
      <c r="E4017" s="198"/>
      <c r="G4017" s="202"/>
      <c r="J4017" s="195">
        <v>17</v>
      </c>
      <c r="K4017" s="204" t="s">
        <v>11</v>
      </c>
      <c r="L4017" s="199">
        <v>2</v>
      </c>
      <c r="M4017" s="200">
        <v>30.6</v>
      </c>
      <c r="N4017" s="201">
        <v>15</v>
      </c>
    </row>
    <row r="4018" spans="1:14">
      <c r="A4018" s="194">
        <v>41281.456157407411</v>
      </c>
      <c r="B4018" s="195">
        <v>3001</v>
      </c>
      <c r="C4018" s="194"/>
      <c r="D4018" s="194"/>
      <c r="E4018" s="198"/>
      <c r="G4018" s="202"/>
      <c r="J4018" s="195">
        <v>17</v>
      </c>
      <c r="K4018" s="204" t="s">
        <v>11</v>
      </c>
      <c r="L4018" s="199">
        <v>1</v>
      </c>
      <c r="M4018" s="200">
        <v>30.6</v>
      </c>
      <c r="N4018" s="201">
        <v>15</v>
      </c>
    </row>
    <row r="4019" spans="1:14">
      <c r="A4019" s="194">
        <v>41286.606168981481</v>
      </c>
      <c r="B4019" s="195">
        <v>3001</v>
      </c>
      <c r="C4019" s="194"/>
      <c r="D4019" s="194"/>
      <c r="E4019" s="198"/>
      <c r="G4019" s="202"/>
      <c r="J4019" s="195">
        <v>17</v>
      </c>
      <c r="K4019" s="204" t="s">
        <v>11</v>
      </c>
      <c r="L4019" s="199">
        <v>2</v>
      </c>
      <c r="M4019" s="200">
        <v>31.7</v>
      </c>
      <c r="N4019" s="201">
        <v>15</v>
      </c>
    </row>
    <row r="4020" spans="1:14">
      <c r="A4020" s="194">
        <v>41275.874965277777</v>
      </c>
      <c r="B4020" s="195">
        <v>3001</v>
      </c>
      <c r="C4020" s="194"/>
      <c r="D4020" s="194"/>
      <c r="E4020" s="198"/>
      <c r="G4020" s="202"/>
      <c r="J4020" s="195">
        <v>17</v>
      </c>
      <c r="K4020" s="204" t="s">
        <v>11</v>
      </c>
      <c r="L4020" s="199">
        <v>2</v>
      </c>
      <c r="M4020" s="200">
        <v>34.1</v>
      </c>
      <c r="N4020" s="201">
        <v>15</v>
      </c>
    </row>
    <row r="4021" spans="1:14">
      <c r="A4021" s="194">
        <v>41280.13957175926</v>
      </c>
      <c r="B4021" s="195">
        <v>3001</v>
      </c>
      <c r="C4021" s="194"/>
      <c r="D4021" s="194"/>
      <c r="E4021" s="198"/>
      <c r="G4021" s="202"/>
      <c r="J4021" s="195">
        <v>17</v>
      </c>
      <c r="K4021" s="204" t="s">
        <v>11</v>
      </c>
      <c r="L4021" s="199">
        <v>2</v>
      </c>
      <c r="M4021" s="200">
        <v>36.799999999999997</v>
      </c>
      <c r="N4021" s="201">
        <v>15</v>
      </c>
    </row>
    <row r="4022" spans="1:14">
      <c r="A4022" s="194">
        <v>41292.002071759256</v>
      </c>
      <c r="B4022" s="195">
        <v>3001</v>
      </c>
      <c r="C4022" s="194"/>
      <c r="D4022" s="194"/>
      <c r="E4022" s="198"/>
      <c r="G4022" s="202"/>
      <c r="J4022" s="195">
        <v>17</v>
      </c>
      <c r="K4022" s="204" t="s">
        <v>11</v>
      </c>
      <c r="L4022" s="199">
        <v>2</v>
      </c>
      <c r="M4022" s="200">
        <v>37.200000000000003</v>
      </c>
      <c r="N4022" s="201">
        <v>15</v>
      </c>
    </row>
    <row r="4023" spans="1:14">
      <c r="A4023" s="194">
        <v>41276.959363425929</v>
      </c>
      <c r="B4023" s="195">
        <v>3001</v>
      </c>
      <c r="C4023" s="194"/>
      <c r="D4023" s="194"/>
      <c r="E4023" s="198"/>
      <c r="G4023" s="202"/>
      <c r="J4023" s="195">
        <v>17</v>
      </c>
      <c r="K4023" s="204" t="s">
        <v>11</v>
      </c>
      <c r="L4023" s="199">
        <v>1</v>
      </c>
      <c r="M4023" s="200">
        <v>37.700000000000003</v>
      </c>
      <c r="N4023" s="201">
        <v>15</v>
      </c>
    </row>
    <row r="4024" spans="1:14">
      <c r="A4024" s="194">
        <v>41277.197916666664</v>
      </c>
      <c r="B4024" s="195">
        <v>3001</v>
      </c>
      <c r="C4024" s="194"/>
      <c r="D4024" s="194"/>
      <c r="E4024" s="198"/>
      <c r="G4024" s="202"/>
      <c r="J4024" s="195">
        <v>17</v>
      </c>
      <c r="K4024" s="204" t="s">
        <v>11</v>
      </c>
      <c r="L4024" s="199">
        <v>2</v>
      </c>
      <c r="M4024" s="200">
        <v>39.1</v>
      </c>
      <c r="N4024" s="201">
        <v>15</v>
      </c>
    </row>
    <row r="4025" spans="1:14">
      <c r="A4025" s="194">
        <v>41282.083356481482</v>
      </c>
      <c r="B4025" s="195">
        <v>3001</v>
      </c>
      <c r="C4025" s="194"/>
      <c r="D4025" s="194"/>
      <c r="E4025" s="198"/>
      <c r="G4025" s="202"/>
      <c r="J4025" s="195">
        <v>17</v>
      </c>
      <c r="K4025" s="204" t="s">
        <v>11</v>
      </c>
      <c r="L4025" s="199">
        <v>2</v>
      </c>
      <c r="M4025" s="200">
        <v>39.4</v>
      </c>
      <c r="N4025" s="201">
        <v>15</v>
      </c>
    </row>
    <row r="4026" spans="1:14">
      <c r="A4026" s="194">
        <v>41287.271898148145</v>
      </c>
      <c r="B4026" s="195">
        <v>3001</v>
      </c>
      <c r="C4026" s="194"/>
      <c r="D4026" s="194"/>
      <c r="E4026" s="198"/>
      <c r="G4026" s="202"/>
      <c r="J4026" s="195">
        <v>17</v>
      </c>
      <c r="K4026" s="204" t="s">
        <v>11</v>
      </c>
      <c r="L4026" s="199">
        <v>2</v>
      </c>
      <c r="M4026" s="200">
        <v>39.700000000000003</v>
      </c>
      <c r="N4026" s="201">
        <v>15</v>
      </c>
    </row>
    <row r="4027" spans="1:14">
      <c r="A4027" s="194">
        <v>41281.034398148149</v>
      </c>
      <c r="B4027" s="195">
        <v>3001</v>
      </c>
      <c r="C4027" s="194"/>
      <c r="D4027" s="194"/>
      <c r="E4027" s="198"/>
      <c r="G4027" s="202"/>
      <c r="J4027" s="195">
        <v>17</v>
      </c>
      <c r="K4027" s="204" t="s">
        <v>11</v>
      </c>
      <c r="L4027" s="199">
        <v>2</v>
      </c>
      <c r="M4027" s="200">
        <v>40.4</v>
      </c>
      <c r="N4027" s="201">
        <v>15</v>
      </c>
    </row>
    <row r="4028" spans="1:14">
      <c r="A4028" s="194">
        <v>41278.969826388886</v>
      </c>
      <c r="B4028" s="195">
        <v>3001</v>
      </c>
      <c r="C4028" s="194"/>
      <c r="D4028" s="194"/>
      <c r="E4028" s="198"/>
      <c r="G4028" s="202"/>
      <c r="J4028" s="195">
        <v>17</v>
      </c>
      <c r="K4028" s="204" t="s">
        <v>11</v>
      </c>
      <c r="L4028" s="199">
        <v>1</v>
      </c>
      <c r="M4028" s="200">
        <v>40.4</v>
      </c>
      <c r="N4028" s="201">
        <v>15</v>
      </c>
    </row>
    <row r="4029" spans="1:14">
      <c r="A4029" s="194">
        <v>41300.305231481485</v>
      </c>
      <c r="B4029" s="195">
        <v>3001</v>
      </c>
      <c r="C4029" s="194"/>
      <c r="D4029" s="194"/>
      <c r="E4029" s="198"/>
      <c r="G4029" s="202"/>
      <c r="J4029" s="195">
        <v>17</v>
      </c>
      <c r="K4029" s="204" t="s">
        <v>11</v>
      </c>
      <c r="L4029" s="199">
        <v>1</v>
      </c>
      <c r="M4029" s="200">
        <v>40.6</v>
      </c>
      <c r="N4029" s="201">
        <v>15</v>
      </c>
    </row>
    <row r="4030" spans="1:14">
      <c r="A4030" s="194">
        <v>41280.383356481485</v>
      </c>
      <c r="B4030" s="195">
        <v>3001</v>
      </c>
      <c r="C4030" s="194"/>
      <c r="D4030" s="194"/>
      <c r="E4030" s="198"/>
      <c r="G4030" s="202"/>
      <c r="J4030" s="195">
        <v>17</v>
      </c>
      <c r="K4030" s="204" t="s">
        <v>11</v>
      </c>
      <c r="L4030" s="199">
        <v>2</v>
      </c>
      <c r="M4030" s="200">
        <v>40.6</v>
      </c>
      <c r="N4030" s="201">
        <v>15</v>
      </c>
    </row>
    <row r="4031" spans="1:14">
      <c r="A4031" s="194">
        <v>41297.765462962961</v>
      </c>
      <c r="B4031" s="195">
        <v>3001</v>
      </c>
      <c r="C4031" s="194"/>
      <c r="D4031" s="194"/>
      <c r="E4031" s="198"/>
      <c r="G4031" s="202"/>
      <c r="J4031" s="195">
        <v>17</v>
      </c>
      <c r="K4031" s="204" t="s">
        <v>11</v>
      </c>
      <c r="L4031" s="199">
        <v>2</v>
      </c>
      <c r="M4031" s="200">
        <v>0.4</v>
      </c>
      <c r="N4031" s="201">
        <v>16</v>
      </c>
    </row>
    <row r="4032" spans="1:14">
      <c r="A4032" s="194">
        <v>41297.661307870374</v>
      </c>
      <c r="B4032" s="195">
        <v>3001</v>
      </c>
      <c r="C4032" s="194"/>
      <c r="D4032" s="194"/>
      <c r="E4032" s="196" t="s">
        <v>2033</v>
      </c>
      <c r="G4032" s="202"/>
      <c r="J4032" s="195">
        <v>17</v>
      </c>
      <c r="K4032" s="204" t="s">
        <v>11</v>
      </c>
      <c r="L4032" s="199">
        <v>2</v>
      </c>
      <c r="M4032" s="200">
        <v>0.9</v>
      </c>
      <c r="N4032" s="201">
        <v>16</v>
      </c>
    </row>
    <row r="4033" spans="1:14">
      <c r="A4033" s="194">
        <v>41305.093761574077</v>
      </c>
      <c r="B4033" s="195">
        <v>3001</v>
      </c>
      <c r="C4033" s="194"/>
      <c r="D4033" s="194"/>
      <c r="E4033" s="198"/>
      <c r="G4033" s="202"/>
      <c r="J4033" s="195">
        <v>17</v>
      </c>
      <c r="K4033" s="204" t="s">
        <v>11</v>
      </c>
      <c r="L4033" s="199">
        <v>1</v>
      </c>
      <c r="M4033" s="200">
        <v>38.4</v>
      </c>
      <c r="N4033" s="201">
        <v>16</v>
      </c>
    </row>
    <row r="4034" spans="1:14">
      <c r="A4034" s="194">
        <v>41292.17292824074</v>
      </c>
      <c r="B4034" s="195">
        <v>3001</v>
      </c>
      <c r="C4034" s="194"/>
      <c r="D4034" s="194"/>
      <c r="E4034" s="198"/>
      <c r="G4034" s="202"/>
      <c r="J4034" s="195">
        <v>17</v>
      </c>
      <c r="K4034" s="204" t="s">
        <v>11</v>
      </c>
      <c r="L4034" s="199">
        <v>2</v>
      </c>
      <c r="M4034" s="200">
        <v>39</v>
      </c>
      <c r="N4034" s="201">
        <v>16</v>
      </c>
    </row>
    <row r="4035" spans="1:14">
      <c r="A4035" s="194">
        <v>41303.066689814812</v>
      </c>
      <c r="B4035" s="195">
        <v>3001</v>
      </c>
      <c r="C4035" s="194"/>
      <c r="D4035" s="194"/>
      <c r="E4035" s="198"/>
      <c r="G4035" s="202"/>
      <c r="J4035" s="195">
        <v>17</v>
      </c>
      <c r="K4035" s="204" t="s">
        <v>11</v>
      </c>
      <c r="L4035" s="199">
        <v>2</v>
      </c>
      <c r="M4035" s="200">
        <v>39.5</v>
      </c>
      <c r="N4035" s="201">
        <v>16</v>
      </c>
    </row>
    <row r="4036" spans="1:14">
      <c r="A4036" s="194">
        <v>41298.037511574075</v>
      </c>
      <c r="B4036" s="195">
        <v>3001</v>
      </c>
      <c r="C4036" s="194"/>
      <c r="D4036" s="194"/>
      <c r="E4036" s="198"/>
      <c r="G4036" s="202"/>
      <c r="J4036" s="195">
        <v>17</v>
      </c>
      <c r="K4036" s="204" t="s">
        <v>11</v>
      </c>
      <c r="L4036" s="199">
        <v>1</v>
      </c>
      <c r="M4036" s="200">
        <v>40.299999999999997</v>
      </c>
      <c r="N4036" s="201">
        <v>16</v>
      </c>
    </row>
    <row r="4037" spans="1:14">
      <c r="A4037" s="194">
        <v>41278.901076388887</v>
      </c>
      <c r="B4037" s="195">
        <v>3001</v>
      </c>
      <c r="C4037" s="194"/>
      <c r="D4037" s="194"/>
      <c r="E4037" s="198"/>
      <c r="G4037" s="202"/>
      <c r="J4037" s="195">
        <v>17</v>
      </c>
      <c r="K4037" s="204" t="s">
        <v>11</v>
      </c>
      <c r="L4037" s="199">
        <v>1</v>
      </c>
      <c r="M4037" s="200">
        <v>40.700000000000003</v>
      </c>
      <c r="N4037" s="201">
        <v>16</v>
      </c>
    </row>
    <row r="4038" spans="1:14">
      <c r="A4038" s="194">
        <v>41279.111481481479</v>
      </c>
      <c r="B4038" s="195">
        <v>3001</v>
      </c>
      <c r="C4038" s="194"/>
      <c r="D4038" s="194"/>
      <c r="E4038" s="198"/>
      <c r="G4038" s="202"/>
      <c r="J4038" s="195">
        <v>17</v>
      </c>
      <c r="K4038" s="204" t="s">
        <v>11</v>
      </c>
      <c r="L4038" s="199">
        <v>1</v>
      </c>
      <c r="M4038" s="200">
        <v>40.799999999999997</v>
      </c>
      <c r="N4038" s="201">
        <v>16</v>
      </c>
    </row>
    <row r="4039" spans="1:14">
      <c r="A4039" s="194">
        <v>41292.334780092591</v>
      </c>
      <c r="B4039" s="195">
        <v>3001</v>
      </c>
      <c r="C4039" s="194"/>
      <c r="D4039" s="194"/>
      <c r="E4039" s="198"/>
      <c r="G4039" s="202"/>
      <c r="J4039" s="195">
        <v>17</v>
      </c>
      <c r="K4039" s="204" t="s">
        <v>11</v>
      </c>
      <c r="L4039" s="199">
        <v>2</v>
      </c>
      <c r="M4039" s="200">
        <v>0.2</v>
      </c>
      <c r="N4039" s="201">
        <v>17</v>
      </c>
    </row>
    <row r="4040" spans="1:14">
      <c r="A4040" s="194">
        <v>41292.114594907405</v>
      </c>
      <c r="B4040" s="195">
        <v>3001</v>
      </c>
      <c r="C4040" s="194"/>
      <c r="D4040" s="194"/>
      <c r="E4040" s="198"/>
      <c r="G4040" s="202"/>
      <c r="J4040" s="195">
        <v>17</v>
      </c>
      <c r="K4040" s="204" t="s">
        <v>11</v>
      </c>
      <c r="L4040" s="199">
        <v>1</v>
      </c>
      <c r="M4040" s="200">
        <v>38.200000000000003</v>
      </c>
      <c r="N4040" s="201">
        <v>17</v>
      </c>
    </row>
    <row r="4041" spans="1:14">
      <c r="A4041" s="194">
        <v>41304.192708333336</v>
      </c>
      <c r="B4041" s="195">
        <v>3001</v>
      </c>
      <c r="C4041" s="194"/>
      <c r="D4041" s="194"/>
      <c r="E4041" s="198"/>
      <c r="G4041" s="202"/>
      <c r="J4041" s="195">
        <v>17</v>
      </c>
      <c r="K4041" s="204" t="s">
        <v>11</v>
      </c>
      <c r="L4041" s="199">
        <v>1</v>
      </c>
      <c r="M4041" s="200">
        <v>39.200000000000003</v>
      </c>
      <c r="N4041" s="201">
        <v>17</v>
      </c>
    </row>
    <row r="4042" spans="1:14">
      <c r="A4042" s="194">
        <v>41300.37976851852</v>
      </c>
      <c r="B4042" s="195">
        <v>3001</v>
      </c>
      <c r="C4042" s="194"/>
      <c r="D4042" s="194"/>
      <c r="E4042" s="198"/>
      <c r="G4042" s="202"/>
      <c r="J4042" s="195">
        <v>17</v>
      </c>
      <c r="K4042" s="204" t="s">
        <v>11</v>
      </c>
      <c r="L4042" s="199">
        <v>2</v>
      </c>
      <c r="M4042" s="200">
        <v>0.2</v>
      </c>
      <c r="N4042" s="201">
        <v>18</v>
      </c>
    </row>
    <row r="4043" spans="1:14">
      <c r="A4043" s="194">
        <v>41277.21979166667</v>
      </c>
      <c r="B4043" s="195">
        <v>3001</v>
      </c>
      <c r="C4043" s="194"/>
      <c r="D4043" s="194"/>
      <c r="E4043" s="198"/>
      <c r="G4043" s="202"/>
      <c r="J4043" s="195">
        <v>17</v>
      </c>
      <c r="K4043" s="204" t="s">
        <v>11</v>
      </c>
      <c r="L4043" s="199">
        <v>1</v>
      </c>
      <c r="M4043" s="200">
        <v>39.1</v>
      </c>
      <c r="N4043" s="201">
        <v>18</v>
      </c>
    </row>
    <row r="4044" spans="1:14">
      <c r="A4044" s="194">
        <v>41290.960439814815</v>
      </c>
      <c r="B4044" s="195">
        <v>3001</v>
      </c>
      <c r="C4044" s="194"/>
      <c r="D4044" s="194"/>
      <c r="E4044" s="198"/>
      <c r="G4044" s="202"/>
      <c r="J4044" s="195">
        <v>17</v>
      </c>
      <c r="K4044" s="204" t="s">
        <v>11</v>
      </c>
      <c r="L4044" s="199">
        <v>2</v>
      </c>
      <c r="M4044" s="200">
        <v>40</v>
      </c>
      <c r="N4044" s="201">
        <v>18</v>
      </c>
    </row>
    <row r="4045" spans="1:14">
      <c r="A4045" s="194">
        <v>41276.153148148151</v>
      </c>
      <c r="B4045" s="195">
        <v>3001</v>
      </c>
      <c r="C4045" s="194"/>
      <c r="D4045" s="194"/>
      <c r="E4045" s="198"/>
      <c r="G4045" s="202"/>
      <c r="J4045" s="195">
        <v>17</v>
      </c>
      <c r="K4045" s="204" t="s">
        <v>11</v>
      </c>
      <c r="L4045" s="199">
        <v>2</v>
      </c>
      <c r="M4045" s="200">
        <v>40.1</v>
      </c>
      <c r="N4045" s="201">
        <v>18</v>
      </c>
    </row>
    <row r="4046" spans="1:14">
      <c r="A4046" s="194">
        <v>41289.20107638889</v>
      </c>
      <c r="B4046" s="195">
        <v>3001</v>
      </c>
      <c r="C4046" s="194"/>
      <c r="D4046" s="194"/>
      <c r="E4046" s="198"/>
      <c r="G4046" s="202"/>
      <c r="J4046" s="195">
        <v>17</v>
      </c>
      <c r="K4046" s="204" t="s">
        <v>11</v>
      </c>
      <c r="L4046" s="199">
        <v>2</v>
      </c>
      <c r="M4046" s="200">
        <v>41.1</v>
      </c>
      <c r="N4046" s="201">
        <v>18</v>
      </c>
    </row>
    <row r="4047" spans="1:14">
      <c r="A4047" s="194">
        <v>41305.63108796296</v>
      </c>
      <c r="B4047" s="195">
        <v>3001</v>
      </c>
      <c r="C4047" s="194"/>
      <c r="D4047" s="194"/>
      <c r="E4047" s="198"/>
      <c r="G4047" s="202"/>
      <c r="J4047" s="195">
        <v>17</v>
      </c>
      <c r="K4047" s="204" t="s">
        <v>11</v>
      </c>
      <c r="L4047" s="199">
        <v>2</v>
      </c>
      <c r="M4047" s="200">
        <v>0.2</v>
      </c>
      <c r="N4047" s="201">
        <v>19</v>
      </c>
    </row>
    <row r="4048" spans="1:14">
      <c r="A4048" s="194">
        <v>41277.731087962966</v>
      </c>
      <c r="B4048" s="195">
        <v>3001</v>
      </c>
      <c r="C4048" s="194"/>
      <c r="D4048" s="194"/>
      <c r="E4048" s="198"/>
      <c r="G4048" s="202"/>
      <c r="J4048" s="195">
        <v>17</v>
      </c>
      <c r="K4048" s="204" t="s">
        <v>11</v>
      </c>
      <c r="L4048" s="199">
        <v>2</v>
      </c>
      <c r="M4048" s="200">
        <v>0.2</v>
      </c>
      <c r="N4048" s="201">
        <v>19</v>
      </c>
    </row>
    <row r="4049" spans="1:14">
      <c r="A4049" s="194">
        <v>41288.745671296296</v>
      </c>
      <c r="B4049" s="195">
        <v>3001</v>
      </c>
      <c r="C4049" s="194"/>
      <c r="D4049" s="194"/>
      <c r="E4049" s="198"/>
      <c r="G4049" s="202"/>
      <c r="J4049" s="195">
        <v>17</v>
      </c>
      <c r="K4049" s="204" t="s">
        <v>11</v>
      </c>
      <c r="L4049" s="199">
        <v>2</v>
      </c>
      <c r="M4049" s="200">
        <v>0.2</v>
      </c>
      <c r="N4049" s="201">
        <v>20</v>
      </c>
    </row>
    <row r="4050" spans="1:14">
      <c r="A4050" s="194">
        <v>41290.476643518516</v>
      </c>
      <c r="B4050" s="195">
        <v>3001</v>
      </c>
      <c r="C4050" s="194"/>
      <c r="D4050" s="194"/>
      <c r="E4050" s="198"/>
      <c r="G4050" s="202"/>
      <c r="J4050" s="195">
        <v>17</v>
      </c>
      <c r="K4050" s="204" t="s">
        <v>11</v>
      </c>
      <c r="L4050" s="199">
        <v>1</v>
      </c>
      <c r="M4050" s="200">
        <v>0.2</v>
      </c>
      <c r="N4050" s="201">
        <v>21</v>
      </c>
    </row>
    <row r="4051" spans="1:14">
      <c r="A4051" s="194">
        <v>41281.408738425926</v>
      </c>
      <c r="B4051" s="195">
        <v>3001</v>
      </c>
      <c r="C4051" s="194"/>
      <c r="D4051" s="194"/>
      <c r="E4051" s="198"/>
      <c r="G4051" s="202"/>
      <c r="J4051" s="195">
        <v>17</v>
      </c>
      <c r="K4051" s="204" t="s">
        <v>11</v>
      </c>
      <c r="L4051" s="199">
        <v>1</v>
      </c>
      <c r="M4051" s="200">
        <v>0.2</v>
      </c>
      <c r="N4051" s="201">
        <v>22</v>
      </c>
    </row>
    <row r="4052" spans="1:14">
      <c r="A4052" s="194">
        <v>41291.490185185183</v>
      </c>
      <c r="B4052" s="195">
        <v>3001</v>
      </c>
      <c r="C4052" s="194"/>
      <c r="D4052" s="194"/>
      <c r="E4052" s="198"/>
      <c r="G4052" s="202"/>
      <c r="J4052" s="195">
        <v>17</v>
      </c>
      <c r="K4052" s="204" t="s">
        <v>11</v>
      </c>
      <c r="L4052" s="199">
        <v>2</v>
      </c>
      <c r="M4052" s="200">
        <v>0.2</v>
      </c>
      <c r="N4052" s="201">
        <v>23</v>
      </c>
    </row>
    <row r="4053" spans="1:14">
      <c r="A4053" s="194">
        <v>41287.777696759258</v>
      </c>
      <c r="B4053" s="195">
        <v>3001</v>
      </c>
      <c r="C4053" s="194"/>
      <c r="D4053" s="194"/>
      <c r="E4053" s="198"/>
      <c r="G4053" s="202"/>
      <c r="J4053" s="195">
        <v>17</v>
      </c>
      <c r="K4053" s="204" t="s">
        <v>11</v>
      </c>
      <c r="L4053" s="199">
        <v>1</v>
      </c>
      <c r="M4053" s="200">
        <v>0.2</v>
      </c>
      <c r="N4053" s="201">
        <v>23</v>
      </c>
    </row>
    <row r="4054" spans="1:14">
      <c r="A4054" s="194">
        <v>41285.301435185182</v>
      </c>
      <c r="B4054" s="195">
        <v>3001</v>
      </c>
      <c r="C4054" s="194"/>
      <c r="D4054" s="194"/>
      <c r="E4054" s="198"/>
      <c r="G4054" s="202"/>
      <c r="J4054" s="195">
        <v>17</v>
      </c>
      <c r="K4054" s="204" t="s">
        <v>11</v>
      </c>
      <c r="L4054" s="199">
        <v>1</v>
      </c>
      <c r="M4054" s="200">
        <v>0.2</v>
      </c>
      <c r="N4054" s="201">
        <v>23</v>
      </c>
    </row>
    <row r="4055" spans="1:14">
      <c r="A4055" s="194">
        <v>41293.45685185185</v>
      </c>
      <c r="B4055" s="195">
        <v>3001</v>
      </c>
      <c r="C4055" s="194"/>
      <c r="D4055" s="194"/>
      <c r="E4055" s="198"/>
      <c r="G4055" s="202"/>
      <c r="J4055" s="195">
        <v>17</v>
      </c>
      <c r="K4055" s="204" t="s">
        <v>11</v>
      </c>
      <c r="L4055" s="199">
        <v>1</v>
      </c>
      <c r="M4055" s="200">
        <v>0.2</v>
      </c>
      <c r="N4055" s="201">
        <v>24</v>
      </c>
    </row>
    <row r="4056" spans="1:14">
      <c r="A4056" s="194">
        <v>41287.814155092594</v>
      </c>
      <c r="B4056" s="195">
        <v>3001</v>
      </c>
      <c r="C4056" s="194"/>
      <c r="D4056" s="194"/>
      <c r="E4056" s="198"/>
      <c r="G4056" s="202"/>
      <c r="J4056" s="195">
        <v>17</v>
      </c>
      <c r="K4056" s="204" t="s">
        <v>11</v>
      </c>
      <c r="L4056" s="199">
        <v>1</v>
      </c>
      <c r="M4056" s="200">
        <v>0.2</v>
      </c>
      <c r="N4056" s="201">
        <v>25</v>
      </c>
    </row>
    <row r="4057" spans="1:14">
      <c r="A4057" s="194">
        <v>41282.23810185185</v>
      </c>
      <c r="B4057" s="195">
        <v>3001</v>
      </c>
      <c r="C4057" s="194"/>
      <c r="D4057" s="194"/>
      <c r="E4057" s="198"/>
      <c r="G4057" s="202"/>
      <c r="J4057" s="195">
        <v>17</v>
      </c>
      <c r="K4057" s="204" t="s">
        <v>11</v>
      </c>
      <c r="L4057" s="199">
        <v>1</v>
      </c>
      <c r="M4057" s="200">
        <v>0.2</v>
      </c>
      <c r="N4057" s="201">
        <v>25</v>
      </c>
    </row>
    <row r="4058" spans="1:14">
      <c r="A4058" s="194">
        <v>41276.538460648146</v>
      </c>
      <c r="B4058" s="195">
        <v>3001</v>
      </c>
      <c r="C4058" s="194"/>
      <c r="D4058" s="194"/>
      <c r="E4058" s="198"/>
      <c r="G4058" s="202"/>
      <c r="J4058" s="195">
        <v>17</v>
      </c>
      <c r="K4058" s="204" t="s">
        <v>11</v>
      </c>
      <c r="L4058" s="199">
        <v>1</v>
      </c>
      <c r="M4058" s="200">
        <v>31.5</v>
      </c>
      <c r="N4058" s="201">
        <v>25</v>
      </c>
    </row>
    <row r="4059" spans="1:14">
      <c r="A4059" s="194">
        <v>41288.739421296297</v>
      </c>
      <c r="B4059" s="195">
        <v>3001</v>
      </c>
      <c r="C4059" s="194"/>
      <c r="D4059" s="194"/>
      <c r="E4059" s="198"/>
      <c r="G4059" s="202"/>
      <c r="J4059" s="195">
        <v>17</v>
      </c>
      <c r="K4059" s="204" t="s">
        <v>11</v>
      </c>
      <c r="L4059" s="199">
        <v>1</v>
      </c>
      <c r="M4059" s="200">
        <v>0.2</v>
      </c>
      <c r="N4059" s="201">
        <v>26</v>
      </c>
    </row>
    <row r="4060" spans="1:14">
      <c r="A4060" s="194">
        <v>41279.766226851854</v>
      </c>
      <c r="B4060" s="195">
        <v>3001</v>
      </c>
      <c r="C4060" s="194"/>
      <c r="D4060" s="194"/>
      <c r="E4060" s="198"/>
      <c r="G4060" s="202"/>
      <c r="J4060" s="195">
        <v>17</v>
      </c>
      <c r="K4060" s="204" t="s">
        <v>11</v>
      </c>
      <c r="L4060" s="199">
        <v>1</v>
      </c>
      <c r="M4060" s="200">
        <v>0.2</v>
      </c>
      <c r="N4060" s="201">
        <v>27</v>
      </c>
    </row>
    <row r="4061" spans="1:14">
      <c r="A4061" s="194">
        <v>41278.688379629632</v>
      </c>
      <c r="B4061" s="195">
        <v>3001</v>
      </c>
      <c r="C4061" s="194"/>
      <c r="D4061" s="194"/>
      <c r="E4061" s="198"/>
      <c r="G4061" s="202"/>
      <c r="J4061" s="195">
        <v>17</v>
      </c>
      <c r="K4061" s="204" t="s">
        <v>11</v>
      </c>
      <c r="L4061" s="199">
        <v>1</v>
      </c>
      <c r="M4061" s="200">
        <v>0.2</v>
      </c>
      <c r="N4061" s="201">
        <v>27</v>
      </c>
    </row>
    <row r="4062" spans="1:14">
      <c r="A4062" s="194">
        <v>41290.186493055553</v>
      </c>
      <c r="B4062" s="195">
        <v>3001</v>
      </c>
      <c r="C4062" s="194"/>
      <c r="D4062" s="194"/>
      <c r="E4062" s="196" t="s">
        <v>1772</v>
      </c>
      <c r="G4062" s="202"/>
      <c r="J4062" s="195">
        <v>17</v>
      </c>
      <c r="K4062" s="204" t="s">
        <v>11</v>
      </c>
      <c r="L4062" s="199">
        <v>1</v>
      </c>
      <c r="M4062" s="200">
        <v>41.4</v>
      </c>
      <c r="N4062" s="201">
        <v>28</v>
      </c>
    </row>
    <row r="4063" spans="1:14">
      <c r="A4063" s="194">
        <v>41289.754004629627</v>
      </c>
      <c r="B4063" s="195">
        <v>3001</v>
      </c>
      <c r="C4063" s="194"/>
      <c r="D4063" s="194"/>
      <c r="E4063" s="198"/>
      <c r="G4063" s="202"/>
      <c r="J4063" s="195">
        <v>17</v>
      </c>
      <c r="K4063" s="204" t="s">
        <v>11</v>
      </c>
      <c r="L4063" s="199">
        <v>2</v>
      </c>
      <c r="M4063" s="200">
        <v>0.2</v>
      </c>
      <c r="N4063" s="201">
        <v>29</v>
      </c>
    </row>
    <row r="4064" spans="1:14">
      <c r="A4064" s="194">
        <v>41286.884988425925</v>
      </c>
      <c r="B4064" s="195">
        <v>3001</v>
      </c>
      <c r="C4064" s="194"/>
      <c r="D4064" s="194"/>
      <c r="E4064" s="198"/>
      <c r="G4064" s="202"/>
      <c r="J4064" s="195">
        <v>17</v>
      </c>
      <c r="K4064" s="204" t="s">
        <v>11</v>
      </c>
      <c r="L4064" s="199">
        <v>2</v>
      </c>
      <c r="M4064" s="200">
        <v>0.2</v>
      </c>
      <c r="N4064" s="201">
        <v>29</v>
      </c>
    </row>
    <row r="4065" spans="1:14">
      <c r="A4065" s="194">
        <v>41279.525601851848</v>
      </c>
      <c r="B4065" s="195">
        <v>3001</v>
      </c>
      <c r="C4065" s="194"/>
      <c r="D4065" s="194"/>
      <c r="E4065" s="198"/>
      <c r="G4065" s="202"/>
      <c r="J4065" s="195">
        <v>17</v>
      </c>
      <c r="K4065" s="204" t="s">
        <v>11</v>
      </c>
      <c r="L4065" s="199">
        <v>1</v>
      </c>
      <c r="M4065" s="200">
        <v>0.2</v>
      </c>
      <c r="N4065" s="201">
        <v>32</v>
      </c>
    </row>
    <row r="4066" spans="1:14">
      <c r="A4066" s="194">
        <v>41279.166620370372</v>
      </c>
      <c r="B4066" s="195">
        <v>3001</v>
      </c>
      <c r="C4066" s="194"/>
      <c r="D4066" s="194"/>
      <c r="E4066" s="198"/>
      <c r="G4066" s="202"/>
      <c r="J4066" s="195">
        <v>18</v>
      </c>
      <c r="K4066" s="204" t="s">
        <v>5</v>
      </c>
      <c r="L4066" s="199">
        <v>2</v>
      </c>
      <c r="M4066" s="200">
        <v>34.4</v>
      </c>
      <c r="N4066" s="201">
        <v>-1</v>
      </c>
    </row>
    <row r="4067" spans="1:14">
      <c r="A4067" s="194">
        <v>41276.918773148151</v>
      </c>
      <c r="B4067" s="195">
        <v>3001</v>
      </c>
      <c r="C4067" s="194"/>
      <c r="D4067" s="194"/>
      <c r="E4067" s="198"/>
      <c r="G4067" s="202"/>
      <c r="J4067" s="195">
        <v>18</v>
      </c>
      <c r="K4067" s="204" t="s">
        <v>5</v>
      </c>
      <c r="L4067" s="199">
        <v>1</v>
      </c>
      <c r="M4067" s="200">
        <v>40.5</v>
      </c>
      <c r="N4067" s="201">
        <v>15</v>
      </c>
    </row>
    <row r="4068" spans="1:14">
      <c r="A4068" s="194">
        <v>41278.931192129632</v>
      </c>
      <c r="B4068" s="195">
        <v>3001</v>
      </c>
      <c r="C4068" s="194"/>
      <c r="D4068" s="194"/>
      <c r="E4068" s="198"/>
      <c r="G4068" s="202"/>
      <c r="J4068" s="195">
        <v>18</v>
      </c>
      <c r="K4068" s="204" t="s">
        <v>5</v>
      </c>
      <c r="L4068" s="199">
        <v>1</v>
      </c>
      <c r="M4068" s="200">
        <v>34.1</v>
      </c>
      <c r="N4068" s="201">
        <v>16</v>
      </c>
    </row>
    <row r="4069" spans="1:14">
      <c r="A4069" s="194">
        <v>41299.798796296294</v>
      </c>
      <c r="B4069" s="195">
        <v>3001</v>
      </c>
      <c r="C4069" s="194"/>
      <c r="D4069" s="194"/>
      <c r="E4069" s="196" t="s">
        <v>2153</v>
      </c>
      <c r="G4069" s="202"/>
      <c r="J4069" s="195">
        <v>24</v>
      </c>
      <c r="K4069" s="204" t="s">
        <v>25</v>
      </c>
      <c r="L4069" s="199">
        <v>2</v>
      </c>
      <c r="M4069" s="200">
        <v>0.3</v>
      </c>
      <c r="N4069" s="201">
        <v>18</v>
      </c>
    </row>
    <row r="4070" spans="1:14">
      <c r="A4070" s="194">
        <v>41304.210439814815</v>
      </c>
      <c r="B4070" s="195">
        <v>3001</v>
      </c>
      <c r="C4070" s="194"/>
      <c r="D4070" s="194"/>
      <c r="E4070" s="196" t="s">
        <v>1974</v>
      </c>
      <c r="G4070" s="202"/>
      <c r="J4070" s="195">
        <v>24</v>
      </c>
      <c r="K4070" s="204" t="s">
        <v>25</v>
      </c>
      <c r="L4070" s="199">
        <v>2</v>
      </c>
      <c r="M4070" s="200">
        <v>40.9</v>
      </c>
      <c r="N4070" s="201">
        <v>18</v>
      </c>
    </row>
    <row r="4071" spans="1:14">
      <c r="A4071" s="194">
        <v>41278.917268518519</v>
      </c>
      <c r="B4071" s="195">
        <v>3001</v>
      </c>
      <c r="C4071" s="194"/>
      <c r="D4071" s="194"/>
      <c r="E4071" s="196" t="s">
        <v>1625</v>
      </c>
      <c r="G4071" s="202"/>
      <c r="J4071" s="195">
        <v>24</v>
      </c>
      <c r="K4071" s="204" t="s">
        <v>25</v>
      </c>
      <c r="L4071" s="199">
        <v>2</v>
      </c>
      <c r="M4071" s="200">
        <v>0.3</v>
      </c>
      <c r="N4071" s="201">
        <v>20</v>
      </c>
    </row>
    <row r="4072" spans="1:14">
      <c r="A4072" s="194">
        <v>41295.254571759258</v>
      </c>
      <c r="B4072" s="195">
        <v>3001</v>
      </c>
      <c r="C4072" s="194"/>
      <c r="D4072" s="194"/>
      <c r="E4072" s="196" t="s">
        <v>2128</v>
      </c>
      <c r="G4072" s="202"/>
      <c r="J4072" s="195">
        <v>24</v>
      </c>
      <c r="K4072" s="204" t="s">
        <v>25</v>
      </c>
      <c r="L4072" s="199">
        <v>2</v>
      </c>
      <c r="M4072" s="200">
        <v>0.8</v>
      </c>
      <c r="N4072" s="201">
        <v>20</v>
      </c>
    </row>
    <row r="4073" spans="1:14">
      <c r="A4073" s="194">
        <v>41284.614432870374</v>
      </c>
      <c r="B4073" s="195">
        <v>3001</v>
      </c>
      <c r="C4073" s="194"/>
      <c r="D4073" s="194"/>
      <c r="E4073" s="196" t="s">
        <v>2143</v>
      </c>
      <c r="G4073" s="202"/>
      <c r="J4073" s="195">
        <v>24</v>
      </c>
      <c r="K4073" s="204" t="s">
        <v>25</v>
      </c>
      <c r="L4073" s="199">
        <v>1</v>
      </c>
      <c r="M4073" s="200">
        <v>0.7</v>
      </c>
      <c r="N4073" s="201">
        <v>21</v>
      </c>
    </row>
    <row r="4074" spans="1:14">
      <c r="A4074" s="194">
        <v>41289.301458333335</v>
      </c>
      <c r="B4074" s="195">
        <v>3001</v>
      </c>
      <c r="C4074" s="194"/>
      <c r="D4074" s="194"/>
      <c r="E4074" s="196" t="s">
        <v>1973</v>
      </c>
      <c r="G4074" s="202"/>
      <c r="J4074" s="195">
        <v>24</v>
      </c>
      <c r="K4074" s="204" t="s">
        <v>25</v>
      </c>
      <c r="L4074" s="199">
        <v>1</v>
      </c>
      <c r="M4074" s="200">
        <v>0.6</v>
      </c>
      <c r="N4074" s="201">
        <v>23</v>
      </c>
    </row>
    <row r="4075" spans="1:14">
      <c r="A4075" s="194">
        <v>41284.291030092594</v>
      </c>
      <c r="B4075" s="195">
        <v>3001</v>
      </c>
      <c r="C4075" s="194"/>
      <c r="D4075" s="194"/>
      <c r="E4075" s="196" t="s">
        <v>2054</v>
      </c>
      <c r="G4075" s="202"/>
      <c r="J4075" s="195">
        <v>24</v>
      </c>
      <c r="K4075" s="204" t="s">
        <v>25</v>
      </c>
      <c r="L4075" s="199">
        <v>1</v>
      </c>
      <c r="M4075" s="200">
        <v>0.4</v>
      </c>
      <c r="N4075" s="201">
        <v>26</v>
      </c>
    </row>
    <row r="4076" spans="1:14">
      <c r="A4076" s="194">
        <v>41301.007326388892</v>
      </c>
      <c r="B4076" s="195">
        <v>3001</v>
      </c>
      <c r="C4076" s="194"/>
      <c r="D4076" s="194"/>
      <c r="E4076" s="196" t="s">
        <v>1768</v>
      </c>
      <c r="G4076" s="202"/>
      <c r="J4076" s="195">
        <v>24</v>
      </c>
      <c r="K4076" s="204" t="s">
        <v>25</v>
      </c>
      <c r="L4076" s="199">
        <v>2</v>
      </c>
      <c r="M4076" s="200">
        <v>40.5</v>
      </c>
      <c r="N4076" s="201">
        <v>29</v>
      </c>
    </row>
    <row r="4077" spans="1:14">
      <c r="A4077" s="194">
        <v>41301.239583333336</v>
      </c>
      <c r="B4077" s="195">
        <v>3001</v>
      </c>
      <c r="C4077" s="194"/>
      <c r="D4077" s="194"/>
      <c r="E4077" s="196" t="s">
        <v>1893</v>
      </c>
      <c r="G4077" s="202"/>
      <c r="J4077" s="195">
        <v>24</v>
      </c>
      <c r="K4077" s="204" t="s">
        <v>25</v>
      </c>
      <c r="L4077" s="199">
        <v>1</v>
      </c>
      <c r="M4077" s="200">
        <v>38.700000000000003</v>
      </c>
      <c r="N4077" s="201">
        <v>31</v>
      </c>
    </row>
    <row r="4078" spans="1:14">
      <c r="A4078" s="194">
        <v>41304.798807870371</v>
      </c>
      <c r="B4078" s="195">
        <v>3001</v>
      </c>
      <c r="C4078" s="194"/>
      <c r="D4078" s="194"/>
      <c r="E4078" s="196" t="s">
        <v>1738</v>
      </c>
      <c r="G4078" s="202"/>
      <c r="J4078" s="195">
        <v>29</v>
      </c>
      <c r="K4078" s="204" t="s">
        <v>39</v>
      </c>
      <c r="L4078" s="199">
        <v>2</v>
      </c>
      <c r="M4078" s="200">
        <v>0.3</v>
      </c>
      <c r="N4078" s="201">
        <v>17</v>
      </c>
    </row>
    <row r="4079" spans="1:14">
      <c r="A4079" s="194">
        <v>41276.271238425928</v>
      </c>
      <c r="B4079" s="195">
        <v>3001</v>
      </c>
      <c r="C4079" s="194"/>
      <c r="D4079" s="194"/>
      <c r="E4079" s="196" t="s">
        <v>2100</v>
      </c>
      <c r="G4079" s="202"/>
      <c r="J4079" s="195">
        <v>29</v>
      </c>
      <c r="K4079" s="204" t="s">
        <v>39</v>
      </c>
      <c r="L4079" s="199">
        <v>2</v>
      </c>
      <c r="M4079" s="200">
        <v>0.6</v>
      </c>
      <c r="N4079" s="201">
        <v>41</v>
      </c>
    </row>
    <row r="4080" spans="1:14">
      <c r="A4080" s="194">
        <v>41298.48810185185</v>
      </c>
      <c r="B4080" s="195">
        <v>3001</v>
      </c>
      <c r="C4080" s="194"/>
      <c r="D4080" s="194"/>
      <c r="E4080" s="198"/>
      <c r="G4080" s="202"/>
      <c r="J4080" s="195">
        <v>6200</v>
      </c>
      <c r="K4080" s="204" t="s">
        <v>36</v>
      </c>
      <c r="L4080" s="199">
        <v>1</v>
      </c>
      <c r="M4080" s="200">
        <v>0.2</v>
      </c>
      <c r="N4080" s="201">
        <v>-1</v>
      </c>
    </row>
    <row r="4081" spans="1:14">
      <c r="A4081" s="194">
        <v>41293.367268518516</v>
      </c>
      <c r="B4081" s="195">
        <v>3001</v>
      </c>
      <c r="C4081" s="194"/>
      <c r="D4081" s="194"/>
      <c r="E4081" s="198"/>
      <c r="G4081" s="202"/>
      <c r="J4081" s="195">
        <v>6200</v>
      </c>
      <c r="K4081" s="204" t="s">
        <v>36</v>
      </c>
      <c r="L4081" s="199">
        <v>2</v>
      </c>
      <c r="M4081" s="200">
        <v>0.3</v>
      </c>
      <c r="N4081" s="201">
        <v>-1</v>
      </c>
    </row>
    <row r="4082" spans="1:14">
      <c r="A4082" s="194">
        <v>41278.480798611112</v>
      </c>
      <c r="B4082" s="195">
        <v>3001</v>
      </c>
      <c r="C4082" s="194"/>
      <c r="D4082" s="194"/>
      <c r="E4082" s="198"/>
      <c r="G4082" s="202"/>
      <c r="J4082" s="195">
        <v>6200</v>
      </c>
      <c r="K4082" s="204" t="s">
        <v>36</v>
      </c>
      <c r="L4082" s="199">
        <v>1</v>
      </c>
      <c r="M4082" s="200">
        <v>0.3</v>
      </c>
      <c r="N4082" s="201">
        <v>-1</v>
      </c>
    </row>
    <row r="4083" spans="1:14">
      <c r="A4083" s="194">
        <v>41291.811307870368</v>
      </c>
      <c r="B4083" s="195">
        <v>3001</v>
      </c>
      <c r="C4083" s="194"/>
      <c r="D4083" s="194"/>
      <c r="E4083" s="198"/>
      <c r="G4083" s="202"/>
      <c r="J4083" s="195">
        <v>6200</v>
      </c>
      <c r="K4083" s="204" t="s">
        <v>36</v>
      </c>
      <c r="L4083" s="199">
        <v>1</v>
      </c>
      <c r="M4083" s="200">
        <v>0.4</v>
      </c>
      <c r="N4083" s="201">
        <v>-1</v>
      </c>
    </row>
    <row r="4084" spans="1:14">
      <c r="A4084" s="194">
        <v>41278.75922453704</v>
      </c>
      <c r="B4084" s="195">
        <v>3001</v>
      </c>
      <c r="C4084" s="194"/>
      <c r="D4084" s="194"/>
      <c r="E4084" s="198"/>
      <c r="G4084" s="202"/>
      <c r="J4084" s="195">
        <v>6200</v>
      </c>
      <c r="K4084" s="204" t="s">
        <v>36</v>
      </c>
      <c r="L4084" s="199">
        <v>1</v>
      </c>
      <c r="M4084" s="200">
        <v>0.4</v>
      </c>
      <c r="N4084" s="201">
        <v>-1</v>
      </c>
    </row>
    <row r="4085" spans="1:14">
      <c r="A4085" s="194">
        <v>41278.822766203702</v>
      </c>
      <c r="B4085" s="195">
        <v>3001</v>
      </c>
      <c r="C4085" s="194"/>
      <c r="D4085" s="194"/>
      <c r="E4085" s="198"/>
      <c r="G4085" s="202"/>
      <c r="J4085" s="195">
        <v>6200</v>
      </c>
      <c r="K4085" s="204" t="s">
        <v>36</v>
      </c>
      <c r="L4085" s="199">
        <v>2</v>
      </c>
      <c r="M4085" s="200">
        <v>0.5</v>
      </c>
      <c r="N4085" s="201">
        <v>-1</v>
      </c>
    </row>
    <row r="4086" spans="1:14">
      <c r="A4086" s="194">
        <v>41295.74359953704</v>
      </c>
      <c r="B4086" s="195">
        <v>3001</v>
      </c>
      <c r="C4086" s="194"/>
      <c r="D4086" s="194"/>
      <c r="E4086" s="198"/>
      <c r="G4086" s="202"/>
      <c r="J4086" s="195">
        <v>6200</v>
      </c>
      <c r="K4086" s="204" t="s">
        <v>36</v>
      </c>
      <c r="L4086" s="199">
        <v>2</v>
      </c>
      <c r="M4086" s="200">
        <v>0.6</v>
      </c>
      <c r="N4086" s="201">
        <v>-1</v>
      </c>
    </row>
    <row r="4087" spans="1:14">
      <c r="A4087" s="194">
        <v>41292.61859953704</v>
      </c>
      <c r="B4087" s="195">
        <v>3001</v>
      </c>
      <c r="C4087" s="194"/>
      <c r="D4087" s="194"/>
      <c r="E4087" s="198"/>
      <c r="G4087" s="202"/>
      <c r="J4087" s="195">
        <v>6200</v>
      </c>
      <c r="K4087" s="204" t="s">
        <v>36</v>
      </c>
      <c r="L4087" s="199">
        <v>1</v>
      </c>
      <c r="M4087" s="200">
        <v>1.1000000000000001</v>
      </c>
      <c r="N4087" s="201">
        <v>-1</v>
      </c>
    </row>
    <row r="4088" spans="1:14">
      <c r="A4088" s="194">
        <v>41288.278541666667</v>
      </c>
      <c r="B4088" s="195">
        <v>3001</v>
      </c>
      <c r="C4088" s="194"/>
      <c r="D4088" s="194"/>
      <c r="E4088" s="198"/>
      <c r="G4088" s="202"/>
      <c r="J4088" s="195">
        <v>6200</v>
      </c>
      <c r="K4088" s="204" t="s">
        <v>36</v>
      </c>
      <c r="L4088" s="199">
        <v>2</v>
      </c>
      <c r="M4088" s="200">
        <v>1.4</v>
      </c>
      <c r="N4088" s="201">
        <v>-1</v>
      </c>
    </row>
    <row r="4089" spans="1:14">
      <c r="A4089" s="194">
        <v>41296.792557870373</v>
      </c>
      <c r="B4089" s="195">
        <v>3001</v>
      </c>
      <c r="C4089" s="194"/>
      <c r="D4089" s="194"/>
      <c r="E4089" s="198"/>
      <c r="G4089" s="202"/>
      <c r="J4089" s="195">
        <v>6200</v>
      </c>
      <c r="K4089" s="204" t="s">
        <v>36</v>
      </c>
      <c r="L4089" s="199">
        <v>1</v>
      </c>
      <c r="M4089" s="200">
        <v>1.5</v>
      </c>
      <c r="N4089" s="201">
        <v>-1</v>
      </c>
    </row>
    <row r="4090" spans="1:14">
      <c r="A4090" s="194">
        <v>41286.376967592594</v>
      </c>
      <c r="B4090" s="195">
        <v>3001</v>
      </c>
      <c r="C4090" s="194"/>
      <c r="D4090" s="194"/>
      <c r="E4090" s="198"/>
      <c r="G4090" s="202"/>
      <c r="J4090" s="195">
        <v>6200</v>
      </c>
      <c r="K4090" s="204" t="s">
        <v>36</v>
      </c>
      <c r="L4090" s="199">
        <v>2</v>
      </c>
      <c r="M4090" s="200">
        <v>29.5</v>
      </c>
      <c r="N4090" s="201">
        <v>-1</v>
      </c>
    </row>
    <row r="4091" spans="1:14">
      <c r="A4091" s="194">
        <v>41281.213460648149</v>
      </c>
      <c r="B4091" s="195">
        <v>3001</v>
      </c>
      <c r="C4091" s="194"/>
      <c r="D4091" s="194"/>
      <c r="E4091" s="198"/>
      <c r="G4091" s="202"/>
      <c r="J4091" s="195">
        <v>6200</v>
      </c>
      <c r="K4091" s="204" t="s">
        <v>36</v>
      </c>
      <c r="L4091" s="199">
        <v>2</v>
      </c>
      <c r="M4091" s="200">
        <v>31.5</v>
      </c>
      <c r="N4091" s="201">
        <v>-1</v>
      </c>
    </row>
    <row r="4092" spans="1:14">
      <c r="A4092" s="194">
        <v>41286.027002314811</v>
      </c>
      <c r="B4092" s="195">
        <v>3001</v>
      </c>
      <c r="C4092" s="194"/>
      <c r="D4092" s="194"/>
      <c r="E4092" s="198"/>
      <c r="G4092" s="202"/>
      <c r="J4092" s="195">
        <v>6200</v>
      </c>
      <c r="K4092" s="204" t="s">
        <v>36</v>
      </c>
      <c r="L4092" s="199">
        <v>1</v>
      </c>
      <c r="M4092" s="200">
        <v>31.7</v>
      </c>
      <c r="N4092" s="201">
        <v>-1</v>
      </c>
    </row>
    <row r="4093" spans="1:14">
      <c r="A4093" s="194">
        <v>41282.03638888889</v>
      </c>
      <c r="B4093" s="195">
        <v>3001</v>
      </c>
      <c r="C4093" s="194"/>
      <c r="D4093" s="194"/>
      <c r="E4093" s="198"/>
      <c r="G4093" s="202"/>
      <c r="J4093" s="195">
        <v>6200</v>
      </c>
      <c r="K4093" s="204" t="s">
        <v>36</v>
      </c>
      <c r="L4093" s="199">
        <v>1</v>
      </c>
      <c r="M4093" s="200">
        <v>31.7</v>
      </c>
      <c r="N4093" s="201">
        <v>-1</v>
      </c>
    </row>
    <row r="4094" spans="1:14">
      <c r="A4094" s="194">
        <v>41295.035324074073</v>
      </c>
      <c r="B4094" s="195">
        <v>3001</v>
      </c>
      <c r="C4094" s="194"/>
      <c r="D4094" s="194"/>
      <c r="E4094" s="198"/>
      <c r="G4094" s="202"/>
      <c r="J4094" s="195">
        <v>6200</v>
      </c>
      <c r="K4094" s="204" t="s">
        <v>36</v>
      </c>
      <c r="L4094" s="199">
        <v>1</v>
      </c>
      <c r="M4094" s="200">
        <v>31.8</v>
      </c>
      <c r="N4094" s="201">
        <v>-1</v>
      </c>
    </row>
    <row r="4095" spans="1:14">
      <c r="A4095" s="194">
        <v>41275.072847222225</v>
      </c>
      <c r="B4095" s="195">
        <v>3001</v>
      </c>
      <c r="C4095" s="194"/>
      <c r="D4095" s="194"/>
      <c r="E4095" s="198"/>
      <c r="G4095" s="202"/>
      <c r="J4095" s="195">
        <v>6200</v>
      </c>
      <c r="K4095" s="204" t="s">
        <v>36</v>
      </c>
      <c r="L4095" s="199">
        <v>1</v>
      </c>
      <c r="M4095" s="200">
        <v>32.200000000000003</v>
      </c>
      <c r="N4095" s="201">
        <v>-1</v>
      </c>
    </row>
    <row r="4096" spans="1:14">
      <c r="A4096" s="194">
        <v>41279.945787037039</v>
      </c>
      <c r="B4096" s="195">
        <v>3001</v>
      </c>
      <c r="C4096" s="194"/>
      <c r="D4096" s="194"/>
      <c r="E4096" s="198"/>
      <c r="G4096" s="202"/>
      <c r="J4096" s="195">
        <v>6200</v>
      </c>
      <c r="K4096" s="204" t="s">
        <v>36</v>
      </c>
      <c r="L4096" s="199">
        <v>1</v>
      </c>
      <c r="M4096" s="200">
        <v>33.5</v>
      </c>
      <c r="N4096" s="201">
        <v>-1</v>
      </c>
    </row>
    <row r="4097" spans="1:14">
      <c r="A4097" s="194">
        <v>41282.057268518518</v>
      </c>
      <c r="B4097" s="195">
        <v>3001</v>
      </c>
      <c r="C4097" s="194"/>
      <c r="D4097" s="194"/>
      <c r="E4097" s="198"/>
      <c r="G4097" s="202"/>
      <c r="J4097" s="195">
        <v>6200</v>
      </c>
      <c r="K4097" s="204" t="s">
        <v>36</v>
      </c>
      <c r="L4097" s="199">
        <v>1</v>
      </c>
      <c r="M4097" s="200">
        <v>35.1</v>
      </c>
      <c r="N4097" s="201">
        <v>-1</v>
      </c>
    </row>
    <row r="4098" spans="1:14">
      <c r="A4098" s="194">
        <v>41275.999988425923</v>
      </c>
      <c r="B4098" s="195">
        <v>3001</v>
      </c>
      <c r="C4098" s="194"/>
      <c r="D4098" s="194"/>
      <c r="E4098" s="198"/>
      <c r="G4098" s="202"/>
      <c r="J4098" s="195">
        <v>6200</v>
      </c>
      <c r="K4098" s="204" t="s">
        <v>36</v>
      </c>
      <c r="L4098" s="199">
        <v>1</v>
      </c>
      <c r="M4098" s="200">
        <v>37.200000000000003</v>
      </c>
      <c r="N4098" s="201">
        <v>-1</v>
      </c>
    </row>
    <row r="4099" spans="1:14">
      <c r="A4099" s="194">
        <v>41282.955231481479</v>
      </c>
      <c r="B4099" s="195">
        <v>3001</v>
      </c>
      <c r="C4099" s="194"/>
      <c r="D4099" s="194"/>
      <c r="E4099" s="198"/>
      <c r="G4099" s="202"/>
      <c r="J4099" s="195">
        <v>6200</v>
      </c>
      <c r="K4099" s="204" t="s">
        <v>36</v>
      </c>
      <c r="L4099" s="199">
        <v>1</v>
      </c>
      <c r="M4099" s="200">
        <v>40.200000000000003</v>
      </c>
      <c r="N4099" s="201">
        <v>-1</v>
      </c>
    </row>
    <row r="4100" spans="1:14">
      <c r="A4100" s="194">
        <v>41305.532905092594</v>
      </c>
      <c r="B4100" s="195">
        <v>3001</v>
      </c>
      <c r="C4100" s="194"/>
      <c r="D4100" s="194"/>
      <c r="E4100" s="198"/>
      <c r="G4100" s="202"/>
      <c r="J4100" s="195">
        <v>6200</v>
      </c>
      <c r="K4100" s="204" t="s">
        <v>36</v>
      </c>
      <c r="L4100" s="199">
        <v>2</v>
      </c>
      <c r="M4100" s="200">
        <v>1.2</v>
      </c>
      <c r="N4100" s="201">
        <v>15</v>
      </c>
    </row>
    <row r="4101" spans="1:14">
      <c r="A4101" s="194">
        <v>41286.343668981484</v>
      </c>
      <c r="B4101" s="195">
        <v>3001</v>
      </c>
      <c r="C4101" s="194"/>
      <c r="D4101" s="194"/>
      <c r="E4101" s="198"/>
      <c r="G4101" s="202"/>
      <c r="J4101" s="195">
        <v>6200</v>
      </c>
      <c r="K4101" s="204" t="s">
        <v>36</v>
      </c>
      <c r="L4101" s="199">
        <v>2</v>
      </c>
      <c r="M4101" s="200">
        <v>31.7</v>
      </c>
      <c r="N4101" s="201">
        <v>23</v>
      </c>
    </row>
    <row r="4102" spans="1:14">
      <c r="A4102" s="194">
        <v>41292.450613425928</v>
      </c>
      <c r="B4102" s="195">
        <v>3001</v>
      </c>
      <c r="C4102" s="194"/>
      <c r="D4102" s="194"/>
      <c r="E4102" s="198"/>
      <c r="G4102" s="202"/>
      <c r="J4102" s="195">
        <v>6200</v>
      </c>
      <c r="K4102" s="204" t="s">
        <v>36</v>
      </c>
      <c r="L4102" s="199">
        <v>1</v>
      </c>
      <c r="M4102" s="200">
        <v>0.3</v>
      </c>
      <c r="N4102" s="201">
        <v>33</v>
      </c>
    </row>
    <row r="4103" spans="1:14">
      <c r="A4103" s="194">
        <v>41281.810011574074</v>
      </c>
      <c r="B4103" s="195">
        <v>3003</v>
      </c>
      <c r="C4103" s="194"/>
      <c r="D4103" s="194"/>
      <c r="E4103" s="196" t="s">
        <v>416</v>
      </c>
      <c r="F4103" s="195">
        <v>466</v>
      </c>
      <c r="G4103" s="197" t="s">
        <v>142</v>
      </c>
      <c r="H4103" s="197" t="s">
        <v>223</v>
      </c>
      <c r="I4103" s="196" t="s">
        <v>402</v>
      </c>
      <c r="J4103" s="195">
        <v>1</v>
      </c>
      <c r="K4103" s="204" t="s">
        <v>224</v>
      </c>
      <c r="L4103" s="199">
        <v>2</v>
      </c>
      <c r="M4103" s="200">
        <v>29.2</v>
      </c>
      <c r="N4103" s="201">
        <v>17</v>
      </c>
    </row>
    <row r="4104" spans="1:14">
      <c r="A4104" s="194">
        <v>41289.468773148146</v>
      </c>
      <c r="B4104" s="195">
        <v>3003</v>
      </c>
      <c r="C4104" s="194"/>
      <c r="D4104" s="194"/>
      <c r="E4104" s="196" t="s">
        <v>1031</v>
      </c>
      <c r="F4104" s="195">
        <v>800</v>
      </c>
      <c r="G4104" s="197" t="s">
        <v>470</v>
      </c>
      <c r="H4104" s="197" t="s">
        <v>471</v>
      </c>
      <c r="J4104" s="195">
        <v>1</v>
      </c>
      <c r="K4104" s="204" t="s">
        <v>224</v>
      </c>
      <c r="L4104" s="199">
        <v>2</v>
      </c>
      <c r="M4104" s="200">
        <v>0.4</v>
      </c>
      <c r="N4104" s="201">
        <v>15</v>
      </c>
    </row>
    <row r="4105" spans="1:14">
      <c r="A4105" s="194">
        <v>41287.548252314817</v>
      </c>
      <c r="B4105" s="195">
        <v>3003</v>
      </c>
      <c r="C4105" s="194"/>
      <c r="D4105" s="194"/>
      <c r="E4105" s="196" t="s">
        <v>942</v>
      </c>
      <c r="F4105" s="195">
        <v>800</v>
      </c>
      <c r="G4105" s="197" t="s">
        <v>470</v>
      </c>
      <c r="H4105" s="197" t="s">
        <v>471</v>
      </c>
      <c r="J4105" s="195">
        <v>1</v>
      </c>
      <c r="K4105" s="204" t="s">
        <v>224</v>
      </c>
      <c r="L4105" s="199">
        <v>2</v>
      </c>
      <c r="M4105" s="200">
        <v>28.3</v>
      </c>
      <c r="N4105" s="201">
        <v>15</v>
      </c>
    </row>
    <row r="4106" spans="1:14">
      <c r="A4106" s="194">
        <v>41303.847256944442</v>
      </c>
      <c r="B4106" s="195">
        <v>3003</v>
      </c>
      <c r="C4106" s="194"/>
      <c r="D4106" s="194"/>
      <c r="E4106" s="196" t="s">
        <v>1508</v>
      </c>
      <c r="F4106" s="195">
        <v>800</v>
      </c>
      <c r="G4106" s="197" t="s">
        <v>470</v>
      </c>
      <c r="H4106" s="197" t="s">
        <v>471</v>
      </c>
      <c r="J4106" s="195">
        <v>1</v>
      </c>
      <c r="K4106" s="204" t="s">
        <v>224</v>
      </c>
      <c r="L4106" s="199">
        <v>2</v>
      </c>
      <c r="M4106" s="200">
        <v>30.9</v>
      </c>
      <c r="N4106" s="201">
        <v>15</v>
      </c>
    </row>
    <row r="4107" spans="1:14">
      <c r="A4107" s="194">
        <v>41300.035821759258</v>
      </c>
      <c r="B4107" s="195">
        <v>3003</v>
      </c>
      <c r="C4107" s="194"/>
      <c r="D4107" s="194"/>
      <c r="E4107" s="196" t="s">
        <v>1246</v>
      </c>
      <c r="F4107" s="195">
        <v>800</v>
      </c>
      <c r="G4107" s="197" t="s">
        <v>470</v>
      </c>
      <c r="H4107" s="197" t="s">
        <v>471</v>
      </c>
      <c r="J4107" s="195">
        <v>1</v>
      </c>
      <c r="K4107" s="204" t="s">
        <v>224</v>
      </c>
      <c r="L4107" s="199">
        <v>2</v>
      </c>
      <c r="M4107" s="200">
        <v>32.6</v>
      </c>
      <c r="N4107" s="201">
        <v>15</v>
      </c>
    </row>
    <row r="4108" spans="1:14">
      <c r="A4108" s="194">
        <v>41286.621249999997</v>
      </c>
      <c r="B4108" s="195">
        <v>3003</v>
      </c>
      <c r="C4108" s="194"/>
      <c r="D4108" s="194"/>
      <c r="E4108" s="196" t="s">
        <v>941</v>
      </c>
      <c r="F4108" s="195">
        <v>800</v>
      </c>
      <c r="G4108" s="197" t="s">
        <v>470</v>
      </c>
      <c r="H4108" s="197" t="s">
        <v>471</v>
      </c>
      <c r="J4108" s="195">
        <v>1</v>
      </c>
      <c r="K4108" s="204" t="s">
        <v>224</v>
      </c>
      <c r="L4108" s="199">
        <v>2</v>
      </c>
      <c r="M4108" s="200">
        <v>33.4</v>
      </c>
      <c r="N4108" s="201">
        <v>15</v>
      </c>
    </row>
    <row r="4109" spans="1:14">
      <c r="A4109" s="194">
        <v>41304.433738425927</v>
      </c>
      <c r="B4109" s="195">
        <v>3003</v>
      </c>
      <c r="C4109" s="194"/>
      <c r="D4109" s="194"/>
      <c r="E4109" s="196" t="s">
        <v>1555</v>
      </c>
      <c r="F4109" s="195">
        <v>800</v>
      </c>
      <c r="G4109" s="197" t="s">
        <v>470</v>
      </c>
      <c r="H4109" s="197" t="s">
        <v>471</v>
      </c>
      <c r="J4109" s="195">
        <v>1</v>
      </c>
      <c r="K4109" s="204" t="s">
        <v>224</v>
      </c>
      <c r="L4109" s="199">
        <v>2</v>
      </c>
      <c r="M4109" s="200">
        <v>33.799999999999997</v>
      </c>
      <c r="N4109" s="201">
        <v>15</v>
      </c>
    </row>
    <row r="4110" spans="1:14">
      <c r="A4110" s="194">
        <v>41292.807986111111</v>
      </c>
      <c r="B4110" s="195">
        <v>3003</v>
      </c>
      <c r="C4110" s="194"/>
      <c r="D4110" s="194"/>
      <c r="E4110" s="196" t="s">
        <v>1067</v>
      </c>
      <c r="F4110" s="195">
        <v>800</v>
      </c>
      <c r="G4110" s="197" t="s">
        <v>470</v>
      </c>
      <c r="H4110" s="197" t="s">
        <v>471</v>
      </c>
      <c r="J4110" s="195">
        <v>1</v>
      </c>
      <c r="K4110" s="204" t="s">
        <v>224</v>
      </c>
      <c r="L4110" s="199">
        <v>2</v>
      </c>
      <c r="M4110" s="200">
        <v>34.1</v>
      </c>
      <c r="N4110" s="201">
        <v>15</v>
      </c>
    </row>
    <row r="4111" spans="1:14">
      <c r="A4111" s="194">
        <v>41278.669444444444</v>
      </c>
      <c r="B4111" s="195">
        <v>3003</v>
      </c>
      <c r="C4111" s="194"/>
      <c r="D4111" s="194"/>
      <c r="E4111" s="196" t="s">
        <v>649</v>
      </c>
      <c r="F4111" s="195">
        <v>800</v>
      </c>
      <c r="G4111" s="197" t="s">
        <v>470</v>
      </c>
      <c r="H4111" s="197" t="s">
        <v>471</v>
      </c>
      <c r="J4111" s="195">
        <v>1</v>
      </c>
      <c r="K4111" s="204" t="s">
        <v>224</v>
      </c>
      <c r="L4111" s="199">
        <v>2</v>
      </c>
      <c r="M4111" s="200">
        <v>34.5</v>
      </c>
      <c r="N4111" s="201">
        <v>15</v>
      </c>
    </row>
    <row r="4112" spans="1:14">
      <c r="A4112" s="194">
        <v>41277.876504629632</v>
      </c>
      <c r="B4112" s="195">
        <v>3003</v>
      </c>
      <c r="C4112" s="194"/>
      <c r="D4112" s="194"/>
      <c r="E4112" s="196" t="s">
        <v>545</v>
      </c>
      <c r="F4112" s="195">
        <v>800</v>
      </c>
      <c r="G4112" s="197" t="s">
        <v>470</v>
      </c>
      <c r="H4112" s="197" t="s">
        <v>471</v>
      </c>
      <c r="J4112" s="195">
        <v>1</v>
      </c>
      <c r="K4112" s="204" t="s">
        <v>224</v>
      </c>
      <c r="L4112" s="199">
        <v>2</v>
      </c>
      <c r="M4112" s="200">
        <v>38.299999999999997</v>
      </c>
      <c r="N4112" s="201">
        <v>15</v>
      </c>
    </row>
    <row r="4113" spans="1:14">
      <c r="A4113" s="194">
        <v>41299.677824074075</v>
      </c>
      <c r="B4113" s="195">
        <v>3003</v>
      </c>
      <c r="C4113" s="194"/>
      <c r="D4113" s="194"/>
      <c r="E4113" s="196" t="s">
        <v>1233</v>
      </c>
      <c r="F4113" s="195">
        <v>800</v>
      </c>
      <c r="G4113" s="197" t="s">
        <v>470</v>
      </c>
      <c r="H4113" s="197" t="s">
        <v>471</v>
      </c>
      <c r="J4113" s="195">
        <v>1</v>
      </c>
      <c r="K4113" s="204" t="s">
        <v>224</v>
      </c>
      <c r="L4113" s="199">
        <v>2</v>
      </c>
      <c r="M4113" s="200">
        <v>39.4</v>
      </c>
      <c r="N4113" s="201">
        <v>15</v>
      </c>
    </row>
    <row r="4114" spans="1:14">
      <c r="A4114" s="194">
        <v>41276.846192129633</v>
      </c>
      <c r="B4114" s="195">
        <v>3003</v>
      </c>
      <c r="C4114" s="194"/>
      <c r="D4114" s="194"/>
      <c r="E4114" s="196" t="s">
        <v>533</v>
      </c>
      <c r="F4114" s="195">
        <v>800</v>
      </c>
      <c r="G4114" s="197" t="s">
        <v>470</v>
      </c>
      <c r="H4114" s="197" t="s">
        <v>471</v>
      </c>
      <c r="J4114" s="195">
        <v>1</v>
      </c>
      <c r="K4114" s="204" t="s">
        <v>224</v>
      </c>
      <c r="L4114" s="199">
        <v>2</v>
      </c>
      <c r="M4114" s="200">
        <v>29.3</v>
      </c>
      <c r="N4114" s="201">
        <v>16</v>
      </c>
    </row>
    <row r="4115" spans="1:14">
      <c r="A4115" s="194">
        <v>41285.952615740738</v>
      </c>
      <c r="B4115" s="195">
        <v>3003</v>
      </c>
      <c r="C4115" s="194"/>
      <c r="D4115" s="194"/>
      <c r="E4115" s="196" t="s">
        <v>787</v>
      </c>
      <c r="F4115" s="195">
        <v>800</v>
      </c>
      <c r="G4115" s="197" t="s">
        <v>470</v>
      </c>
      <c r="H4115" s="197" t="s">
        <v>471</v>
      </c>
      <c r="J4115" s="195">
        <v>1</v>
      </c>
      <c r="K4115" s="204" t="s">
        <v>224</v>
      </c>
      <c r="L4115" s="199">
        <v>2</v>
      </c>
      <c r="M4115" s="200">
        <v>44</v>
      </c>
      <c r="N4115" s="201">
        <v>16</v>
      </c>
    </row>
    <row r="4116" spans="1:14">
      <c r="A4116" s="194">
        <v>41285.860717592594</v>
      </c>
      <c r="B4116" s="195">
        <v>3003</v>
      </c>
      <c r="C4116" s="194"/>
      <c r="D4116" s="194"/>
      <c r="E4116" s="196" t="s">
        <v>786</v>
      </c>
      <c r="F4116" s="195">
        <v>800</v>
      </c>
      <c r="G4116" s="197" t="s">
        <v>470</v>
      </c>
      <c r="H4116" s="197" t="s">
        <v>471</v>
      </c>
      <c r="J4116" s="195">
        <v>1</v>
      </c>
      <c r="K4116" s="204" t="s">
        <v>224</v>
      </c>
      <c r="L4116" s="199">
        <v>2</v>
      </c>
      <c r="M4116" s="200">
        <v>23.8</v>
      </c>
      <c r="N4116" s="201">
        <v>17</v>
      </c>
    </row>
    <row r="4117" spans="1:14">
      <c r="A4117" s="194">
        <v>41280.354675925926</v>
      </c>
      <c r="B4117" s="195">
        <v>3003</v>
      </c>
      <c r="C4117" s="194"/>
      <c r="D4117" s="194"/>
      <c r="E4117" s="196" t="s">
        <v>679</v>
      </c>
      <c r="F4117" s="195">
        <v>800</v>
      </c>
      <c r="G4117" s="197" t="s">
        <v>470</v>
      </c>
      <c r="H4117" s="197" t="s">
        <v>471</v>
      </c>
      <c r="J4117" s="195">
        <v>1</v>
      </c>
      <c r="K4117" s="204" t="s">
        <v>224</v>
      </c>
      <c r="L4117" s="199">
        <v>2</v>
      </c>
      <c r="M4117" s="200">
        <v>42.7</v>
      </c>
      <c r="N4117" s="201">
        <v>17</v>
      </c>
    </row>
    <row r="4118" spans="1:14">
      <c r="A4118" s="194">
        <v>41293.53266203704</v>
      </c>
      <c r="B4118" s="195">
        <v>3003</v>
      </c>
      <c r="C4118" s="194"/>
      <c r="D4118" s="194"/>
      <c r="E4118" s="196" t="s">
        <v>1073</v>
      </c>
      <c r="F4118" s="195">
        <v>800</v>
      </c>
      <c r="G4118" s="197" t="s">
        <v>470</v>
      </c>
      <c r="H4118" s="197" t="s">
        <v>471</v>
      </c>
      <c r="J4118" s="195">
        <v>1</v>
      </c>
      <c r="K4118" s="204" t="s">
        <v>224</v>
      </c>
      <c r="L4118" s="199">
        <v>2</v>
      </c>
      <c r="M4118" s="200">
        <v>30.7</v>
      </c>
      <c r="N4118" s="201">
        <v>18</v>
      </c>
    </row>
    <row r="4119" spans="1:14">
      <c r="A4119" s="194">
        <v>41301.679571759261</v>
      </c>
      <c r="B4119" s="195">
        <v>3003</v>
      </c>
      <c r="C4119" s="194"/>
      <c r="D4119" s="194"/>
      <c r="E4119" s="196" t="s">
        <v>1256</v>
      </c>
      <c r="F4119" s="195">
        <v>800</v>
      </c>
      <c r="G4119" s="197" t="s">
        <v>470</v>
      </c>
      <c r="H4119" s="197" t="s">
        <v>471</v>
      </c>
      <c r="J4119" s="195">
        <v>1</v>
      </c>
      <c r="K4119" s="204" t="s">
        <v>224</v>
      </c>
      <c r="L4119" s="199">
        <v>2</v>
      </c>
      <c r="M4119" s="200">
        <v>32.299999999999997</v>
      </c>
      <c r="N4119" s="201">
        <v>18</v>
      </c>
    </row>
    <row r="4120" spans="1:14">
      <c r="A4120" s="194">
        <v>41303.703819444447</v>
      </c>
      <c r="B4120" s="195">
        <v>3003</v>
      </c>
      <c r="C4120" s="194"/>
      <c r="D4120" s="194"/>
      <c r="E4120" s="196" t="s">
        <v>1506</v>
      </c>
      <c r="F4120" s="195">
        <v>800</v>
      </c>
      <c r="G4120" s="197" t="s">
        <v>470</v>
      </c>
      <c r="H4120" s="197" t="s">
        <v>471</v>
      </c>
      <c r="J4120" s="195">
        <v>1</v>
      </c>
      <c r="K4120" s="204" t="s">
        <v>224</v>
      </c>
      <c r="L4120" s="199">
        <v>2</v>
      </c>
      <c r="M4120" s="200">
        <v>34.1</v>
      </c>
      <c r="N4120" s="201">
        <v>18</v>
      </c>
    </row>
    <row r="4121" spans="1:14">
      <c r="A4121" s="194">
        <v>41299.778831018521</v>
      </c>
      <c r="B4121" s="195">
        <v>3003</v>
      </c>
      <c r="C4121" s="194"/>
      <c r="D4121" s="194"/>
      <c r="E4121" s="196" t="s">
        <v>1234</v>
      </c>
      <c r="F4121" s="195">
        <v>800</v>
      </c>
      <c r="G4121" s="197" t="s">
        <v>470</v>
      </c>
      <c r="H4121" s="197" t="s">
        <v>471</v>
      </c>
      <c r="J4121" s="195">
        <v>1</v>
      </c>
      <c r="K4121" s="204" t="s">
        <v>224</v>
      </c>
      <c r="L4121" s="199">
        <v>2</v>
      </c>
      <c r="M4121" s="200">
        <v>34.6</v>
      </c>
      <c r="N4121" s="201">
        <v>18</v>
      </c>
    </row>
    <row r="4122" spans="1:14">
      <c r="A4122" s="194">
        <v>41279.555254629631</v>
      </c>
      <c r="B4122" s="195">
        <v>3003</v>
      </c>
      <c r="C4122" s="194"/>
      <c r="D4122" s="194"/>
      <c r="E4122" s="196" t="s">
        <v>673</v>
      </c>
      <c r="F4122" s="195">
        <v>800</v>
      </c>
      <c r="G4122" s="197" t="s">
        <v>470</v>
      </c>
      <c r="H4122" s="197" t="s">
        <v>471</v>
      </c>
      <c r="J4122" s="195">
        <v>1</v>
      </c>
      <c r="K4122" s="204" t="s">
        <v>224</v>
      </c>
      <c r="L4122" s="199">
        <v>2</v>
      </c>
      <c r="M4122" s="200">
        <v>2</v>
      </c>
      <c r="N4122" s="201">
        <v>19</v>
      </c>
    </row>
    <row r="4123" spans="1:14">
      <c r="A4123" s="194">
        <v>41280.609895833331</v>
      </c>
      <c r="B4123" s="195">
        <v>3003</v>
      </c>
      <c r="C4123" s="194"/>
      <c r="D4123" s="194"/>
      <c r="E4123" s="196" t="s">
        <v>680</v>
      </c>
      <c r="F4123" s="195">
        <v>800</v>
      </c>
      <c r="G4123" s="197" t="s">
        <v>470</v>
      </c>
      <c r="H4123" s="197" t="s">
        <v>471</v>
      </c>
      <c r="J4123" s="195">
        <v>1</v>
      </c>
      <c r="K4123" s="204" t="s">
        <v>224</v>
      </c>
      <c r="L4123" s="199">
        <v>2</v>
      </c>
      <c r="M4123" s="200">
        <v>43.4</v>
      </c>
      <c r="N4123" s="201">
        <v>19</v>
      </c>
    </row>
    <row r="4124" spans="1:14">
      <c r="A4124" s="194">
        <v>41292.600034722222</v>
      </c>
      <c r="B4124" s="195">
        <v>3003</v>
      </c>
      <c r="C4124" s="194"/>
      <c r="D4124" s="194"/>
      <c r="E4124" s="196" t="s">
        <v>1066</v>
      </c>
      <c r="F4124" s="195">
        <v>800</v>
      </c>
      <c r="G4124" s="197" t="s">
        <v>470</v>
      </c>
      <c r="H4124" s="197" t="s">
        <v>471</v>
      </c>
      <c r="J4124" s="195">
        <v>1</v>
      </c>
      <c r="K4124" s="204" t="s">
        <v>224</v>
      </c>
      <c r="L4124" s="199">
        <v>2</v>
      </c>
      <c r="M4124" s="200">
        <v>1.3</v>
      </c>
      <c r="N4124" s="201">
        <v>20</v>
      </c>
    </row>
    <row r="4125" spans="1:14">
      <c r="A4125" s="194">
        <v>41290.765277777777</v>
      </c>
      <c r="B4125" s="195">
        <v>3003</v>
      </c>
      <c r="C4125" s="194"/>
      <c r="D4125" s="194"/>
      <c r="E4125" s="196" t="s">
        <v>1058</v>
      </c>
      <c r="F4125" s="195">
        <v>800</v>
      </c>
      <c r="G4125" s="197" t="s">
        <v>470</v>
      </c>
      <c r="H4125" s="197" t="s">
        <v>471</v>
      </c>
      <c r="J4125" s="195">
        <v>1</v>
      </c>
      <c r="K4125" s="204" t="s">
        <v>224</v>
      </c>
      <c r="L4125" s="199">
        <v>2</v>
      </c>
      <c r="M4125" s="200">
        <v>34</v>
      </c>
      <c r="N4125" s="201">
        <v>20</v>
      </c>
    </row>
    <row r="4126" spans="1:14">
      <c r="A4126" s="194">
        <v>41303.83090277778</v>
      </c>
      <c r="B4126" s="195">
        <v>3003</v>
      </c>
      <c r="C4126" s="194"/>
      <c r="D4126" s="194"/>
      <c r="E4126" s="196" t="s">
        <v>1507</v>
      </c>
      <c r="F4126" s="195">
        <v>800</v>
      </c>
      <c r="G4126" s="197" t="s">
        <v>470</v>
      </c>
      <c r="H4126" s="197" t="s">
        <v>471</v>
      </c>
      <c r="J4126" s="195">
        <v>1</v>
      </c>
      <c r="K4126" s="204" t="s">
        <v>224</v>
      </c>
      <c r="L4126" s="199">
        <v>2</v>
      </c>
      <c r="M4126" s="200">
        <v>34.1</v>
      </c>
      <c r="N4126" s="201">
        <v>20</v>
      </c>
    </row>
    <row r="4127" spans="1:14">
      <c r="A4127" s="194">
        <v>41280.90152777778</v>
      </c>
      <c r="B4127" s="195">
        <v>3003</v>
      </c>
      <c r="C4127" s="194"/>
      <c r="D4127" s="194"/>
      <c r="E4127" s="196" t="s">
        <v>681</v>
      </c>
      <c r="F4127" s="195">
        <v>800</v>
      </c>
      <c r="G4127" s="197" t="s">
        <v>470</v>
      </c>
      <c r="H4127" s="197" t="s">
        <v>471</v>
      </c>
      <c r="J4127" s="195">
        <v>1</v>
      </c>
      <c r="K4127" s="204" t="s">
        <v>224</v>
      </c>
      <c r="L4127" s="199">
        <v>2</v>
      </c>
      <c r="M4127" s="200">
        <v>40</v>
      </c>
      <c r="N4127" s="201">
        <v>20</v>
      </c>
    </row>
    <row r="4128" spans="1:14">
      <c r="A4128" s="194">
        <v>41300.845266203702</v>
      </c>
      <c r="B4128" s="195">
        <v>3003</v>
      </c>
      <c r="C4128" s="194"/>
      <c r="D4128" s="194"/>
      <c r="E4128" s="196" t="s">
        <v>1247</v>
      </c>
      <c r="F4128" s="195">
        <v>800</v>
      </c>
      <c r="G4128" s="197" t="s">
        <v>470</v>
      </c>
      <c r="H4128" s="197" t="s">
        <v>471</v>
      </c>
      <c r="J4128" s="195">
        <v>1</v>
      </c>
      <c r="K4128" s="204" t="s">
        <v>224</v>
      </c>
      <c r="L4128" s="199">
        <v>2</v>
      </c>
      <c r="M4128" s="200">
        <v>39.6</v>
      </c>
      <c r="N4128" s="201">
        <v>21</v>
      </c>
    </row>
    <row r="4129" spans="1:14">
      <c r="A4129" s="194">
        <v>41293.751493055555</v>
      </c>
      <c r="B4129" s="195">
        <v>3003</v>
      </c>
      <c r="C4129" s="194"/>
      <c r="D4129" s="194"/>
      <c r="E4129" s="196" t="s">
        <v>1074</v>
      </c>
      <c r="F4129" s="195">
        <v>800</v>
      </c>
      <c r="G4129" s="197" t="s">
        <v>470</v>
      </c>
      <c r="H4129" s="197" t="s">
        <v>471</v>
      </c>
      <c r="J4129" s="195">
        <v>1</v>
      </c>
      <c r="K4129" s="204" t="s">
        <v>224</v>
      </c>
      <c r="L4129" s="199">
        <v>2</v>
      </c>
      <c r="M4129" s="200">
        <v>37</v>
      </c>
      <c r="N4129" s="201">
        <v>23</v>
      </c>
    </row>
    <row r="4130" spans="1:14">
      <c r="A4130" s="194">
        <v>41304.219236111108</v>
      </c>
      <c r="B4130" s="195">
        <v>3003</v>
      </c>
      <c r="C4130" s="194"/>
      <c r="D4130" s="194"/>
      <c r="E4130" s="196" t="s">
        <v>1554</v>
      </c>
      <c r="F4130" s="195">
        <v>800</v>
      </c>
      <c r="G4130" s="197" t="s">
        <v>470</v>
      </c>
      <c r="H4130" s="197" t="s">
        <v>471</v>
      </c>
      <c r="J4130" s="195">
        <v>1</v>
      </c>
      <c r="K4130" s="204" t="s">
        <v>224</v>
      </c>
      <c r="L4130" s="199">
        <v>2</v>
      </c>
      <c r="M4130" s="200">
        <v>41</v>
      </c>
      <c r="N4130" s="201">
        <v>23</v>
      </c>
    </row>
    <row r="4131" spans="1:14">
      <c r="A4131" s="194">
        <v>41289.710150462961</v>
      </c>
      <c r="B4131" s="195">
        <v>3003</v>
      </c>
      <c r="C4131" s="194"/>
      <c r="D4131" s="194"/>
      <c r="E4131" s="196" t="s">
        <v>1032</v>
      </c>
      <c r="F4131" s="195">
        <v>800</v>
      </c>
      <c r="G4131" s="197" t="s">
        <v>470</v>
      </c>
      <c r="H4131" s="197" t="s">
        <v>471</v>
      </c>
      <c r="J4131" s="195">
        <v>1</v>
      </c>
      <c r="K4131" s="204" t="s">
        <v>224</v>
      </c>
      <c r="L4131" s="199">
        <v>1</v>
      </c>
      <c r="M4131" s="200">
        <v>41.8</v>
      </c>
      <c r="N4131" s="201">
        <v>25</v>
      </c>
    </row>
    <row r="4132" spans="1:14">
      <c r="A4132" s="194">
        <v>41279.104618055557</v>
      </c>
      <c r="B4132" s="195">
        <v>3003</v>
      </c>
      <c r="C4132" s="194"/>
      <c r="D4132" s="194"/>
      <c r="E4132" s="196" t="s">
        <v>672</v>
      </c>
      <c r="F4132" s="195">
        <v>800</v>
      </c>
      <c r="G4132" s="197" t="s">
        <v>470</v>
      </c>
      <c r="H4132" s="197" t="s">
        <v>471</v>
      </c>
      <c r="J4132" s="195">
        <v>1</v>
      </c>
      <c r="K4132" s="204" t="s">
        <v>224</v>
      </c>
      <c r="L4132" s="199">
        <v>2</v>
      </c>
      <c r="M4132" s="200">
        <v>36.5</v>
      </c>
      <c r="N4132" s="201">
        <v>27</v>
      </c>
    </row>
    <row r="4133" spans="1:14">
      <c r="A4133" s="194">
        <v>41293.21497685185</v>
      </c>
      <c r="B4133" s="195">
        <v>3003</v>
      </c>
      <c r="C4133" s="194"/>
      <c r="D4133" s="194"/>
      <c r="E4133" s="196" t="s">
        <v>1072</v>
      </c>
      <c r="F4133" s="195">
        <v>800</v>
      </c>
      <c r="G4133" s="197" t="s">
        <v>470</v>
      </c>
      <c r="H4133" s="197" t="s">
        <v>471</v>
      </c>
      <c r="J4133" s="195">
        <v>1</v>
      </c>
      <c r="K4133" s="204" t="s">
        <v>224</v>
      </c>
      <c r="L4133" s="199">
        <v>2</v>
      </c>
      <c r="M4133" s="200">
        <v>32</v>
      </c>
      <c r="N4133" s="201">
        <v>30</v>
      </c>
    </row>
    <row r="4134" spans="1:14">
      <c r="A4134" s="194">
        <v>41301.527094907404</v>
      </c>
      <c r="B4134" s="195">
        <v>3003</v>
      </c>
      <c r="C4134" s="194"/>
      <c r="D4134" s="194"/>
      <c r="E4134" s="196" t="s">
        <v>1255</v>
      </c>
      <c r="F4134" s="195">
        <v>800</v>
      </c>
      <c r="G4134" s="197" t="s">
        <v>470</v>
      </c>
      <c r="H4134" s="197" t="s">
        <v>471</v>
      </c>
      <c r="J4134" s="195">
        <v>1</v>
      </c>
      <c r="K4134" s="204" t="s">
        <v>224</v>
      </c>
      <c r="L4134" s="199">
        <v>1</v>
      </c>
      <c r="M4134" s="200">
        <v>0.3</v>
      </c>
      <c r="N4134" s="201">
        <v>33</v>
      </c>
    </row>
    <row r="4135" spans="1:14">
      <c r="A4135" s="194">
        <v>41289.237511574072</v>
      </c>
      <c r="B4135" s="195">
        <v>3003</v>
      </c>
      <c r="C4135" s="194"/>
      <c r="D4135" s="194"/>
      <c r="E4135" s="196" t="s">
        <v>1030</v>
      </c>
      <c r="F4135" s="195">
        <v>800</v>
      </c>
      <c r="G4135" s="197" t="s">
        <v>470</v>
      </c>
      <c r="H4135" s="197" t="s">
        <v>471</v>
      </c>
      <c r="J4135" s="195">
        <v>1</v>
      </c>
      <c r="K4135" s="204" t="s">
        <v>224</v>
      </c>
      <c r="L4135" s="199">
        <v>2</v>
      </c>
      <c r="M4135" s="200">
        <v>0.3</v>
      </c>
      <c r="N4135" s="201">
        <v>36</v>
      </c>
    </row>
    <row r="4136" spans="1:14">
      <c r="A4136" s="194">
        <v>41283.584710648145</v>
      </c>
      <c r="B4136" s="195">
        <v>3003</v>
      </c>
      <c r="C4136" s="194"/>
      <c r="D4136" s="194"/>
      <c r="E4136" s="198"/>
      <c r="G4136" s="202"/>
      <c r="J4136" s="195">
        <v>2</v>
      </c>
      <c r="K4136" s="204" t="s">
        <v>32</v>
      </c>
      <c r="L4136" s="199">
        <v>1</v>
      </c>
      <c r="M4136" s="200">
        <v>27.4</v>
      </c>
      <c r="N4136" s="201">
        <v>19</v>
      </c>
    </row>
    <row r="4137" spans="1:14">
      <c r="A4137" s="194">
        <v>41275.640196759261</v>
      </c>
      <c r="B4137" s="195">
        <v>3003</v>
      </c>
      <c r="C4137" s="194"/>
      <c r="D4137" s="194"/>
      <c r="E4137" s="198"/>
      <c r="G4137" s="202"/>
      <c r="J4137" s="195">
        <v>2</v>
      </c>
      <c r="K4137" s="204" t="s">
        <v>32</v>
      </c>
      <c r="L4137" s="199">
        <v>2</v>
      </c>
      <c r="M4137" s="200">
        <v>27.6</v>
      </c>
      <c r="N4137" s="201">
        <v>25</v>
      </c>
    </row>
    <row r="4138" spans="1:14">
      <c r="A4138" s="194">
        <v>41294.362523148149</v>
      </c>
      <c r="B4138" s="195">
        <v>3003</v>
      </c>
      <c r="C4138" s="194"/>
      <c r="D4138" s="194"/>
      <c r="E4138" s="198"/>
      <c r="G4138" s="202"/>
      <c r="J4138" s="195">
        <v>2</v>
      </c>
      <c r="K4138" s="204" t="s">
        <v>32</v>
      </c>
      <c r="L4138" s="199">
        <v>2</v>
      </c>
      <c r="M4138" s="200">
        <v>0.4</v>
      </c>
      <c r="N4138" s="201">
        <v>38</v>
      </c>
    </row>
    <row r="4139" spans="1:14">
      <c r="A4139" s="194">
        <v>41305.005798611113</v>
      </c>
      <c r="B4139" s="195">
        <v>3003</v>
      </c>
      <c r="C4139" s="194"/>
      <c r="D4139" s="194"/>
      <c r="E4139" s="198"/>
      <c r="G4139" s="202"/>
      <c r="J4139" s="195">
        <v>3</v>
      </c>
      <c r="K4139" s="204" t="s">
        <v>1595</v>
      </c>
      <c r="L4139" s="199">
        <v>2</v>
      </c>
      <c r="M4139" s="200">
        <v>49.8</v>
      </c>
      <c r="N4139" s="201">
        <v>15</v>
      </c>
    </row>
    <row r="4140" spans="1:14">
      <c r="A4140" s="194">
        <v>41293.720243055555</v>
      </c>
      <c r="B4140" s="195">
        <v>3003</v>
      </c>
      <c r="C4140" s="194"/>
      <c r="D4140" s="194"/>
      <c r="E4140" s="198"/>
      <c r="G4140" s="202"/>
      <c r="J4140" s="195">
        <v>3</v>
      </c>
      <c r="K4140" s="204" t="s">
        <v>1595</v>
      </c>
      <c r="L4140" s="199">
        <v>2</v>
      </c>
      <c r="M4140" s="200">
        <v>36.700000000000003</v>
      </c>
      <c r="N4140" s="201">
        <v>17</v>
      </c>
    </row>
    <row r="4141" spans="1:14">
      <c r="A4141" s="194">
        <v>41294.834791666668</v>
      </c>
      <c r="B4141" s="195">
        <v>3003</v>
      </c>
      <c r="C4141" s="194"/>
      <c r="D4141" s="194"/>
      <c r="E4141" s="198"/>
      <c r="G4141" s="202"/>
      <c r="J4141" s="195">
        <v>3</v>
      </c>
      <c r="K4141" s="204" t="s">
        <v>1595</v>
      </c>
      <c r="L4141" s="199">
        <v>2</v>
      </c>
      <c r="M4141" s="200">
        <v>34.700000000000003</v>
      </c>
      <c r="N4141" s="201">
        <v>19</v>
      </c>
    </row>
    <row r="4142" spans="1:14">
      <c r="A4142" s="194">
        <v>41282.882685185185</v>
      </c>
      <c r="B4142" s="195">
        <v>3003</v>
      </c>
      <c r="C4142" s="194"/>
      <c r="D4142" s="194"/>
      <c r="E4142" s="198"/>
      <c r="G4142" s="202"/>
      <c r="J4142" s="195">
        <v>7</v>
      </c>
      <c r="K4142" s="204" t="s">
        <v>30</v>
      </c>
      <c r="L4142" s="199">
        <v>2</v>
      </c>
      <c r="M4142" s="200">
        <v>31.5</v>
      </c>
      <c r="N4142" s="201">
        <v>18</v>
      </c>
    </row>
    <row r="4143" spans="1:14">
      <c r="A4143" s="194">
        <v>41297.313460648147</v>
      </c>
      <c r="B4143" s="195">
        <v>3003</v>
      </c>
      <c r="C4143" s="194"/>
      <c r="D4143" s="194"/>
      <c r="E4143" s="198"/>
      <c r="G4143" s="202"/>
      <c r="J4143" s="195">
        <v>15</v>
      </c>
      <c r="K4143" s="204" t="s">
        <v>4</v>
      </c>
      <c r="L4143" s="199">
        <v>2</v>
      </c>
      <c r="M4143" s="200">
        <v>0.4</v>
      </c>
      <c r="N4143" s="201">
        <v>39</v>
      </c>
    </row>
    <row r="4144" spans="1:14">
      <c r="A4144" s="194">
        <v>41294.951064814813</v>
      </c>
      <c r="B4144" s="195">
        <v>3003</v>
      </c>
      <c r="C4144" s="194"/>
      <c r="D4144" s="194"/>
      <c r="E4144" s="198"/>
      <c r="G4144" s="202"/>
      <c r="J4144" s="195">
        <v>17</v>
      </c>
      <c r="K4144" s="204" t="s">
        <v>11</v>
      </c>
      <c r="L4144" s="199">
        <v>2</v>
      </c>
      <c r="M4144" s="200">
        <v>0.2</v>
      </c>
      <c r="N4144" s="201">
        <v>-1</v>
      </c>
    </row>
    <row r="4145" spans="1:14">
      <c r="A4145" s="194">
        <v>41286.464016203703</v>
      </c>
      <c r="B4145" s="195">
        <v>3003</v>
      </c>
      <c r="C4145" s="194"/>
      <c r="D4145" s="194"/>
      <c r="E4145" s="198"/>
      <c r="G4145" s="202"/>
      <c r="J4145" s="195">
        <v>17</v>
      </c>
      <c r="K4145" s="204" t="s">
        <v>11</v>
      </c>
      <c r="L4145" s="199">
        <v>2</v>
      </c>
      <c r="M4145" s="200">
        <v>40</v>
      </c>
      <c r="N4145" s="201">
        <v>-1</v>
      </c>
    </row>
    <row r="4146" spans="1:14">
      <c r="A4146" s="194">
        <v>41276.188854166663</v>
      </c>
      <c r="B4146" s="195">
        <v>3003</v>
      </c>
      <c r="C4146" s="194"/>
      <c r="D4146" s="194"/>
      <c r="E4146" s="198"/>
      <c r="G4146" s="202"/>
      <c r="J4146" s="195">
        <v>17</v>
      </c>
      <c r="K4146" s="204" t="s">
        <v>11</v>
      </c>
      <c r="L4146" s="199">
        <v>1</v>
      </c>
      <c r="M4146" s="200">
        <v>25.4</v>
      </c>
      <c r="N4146" s="201">
        <v>15</v>
      </c>
    </row>
    <row r="4147" spans="1:14">
      <c r="A4147" s="194">
        <v>41289.819513888891</v>
      </c>
      <c r="B4147" s="195">
        <v>3003</v>
      </c>
      <c r="C4147" s="194"/>
      <c r="D4147" s="194"/>
      <c r="E4147" s="198"/>
      <c r="G4147" s="202"/>
      <c r="J4147" s="195">
        <v>17</v>
      </c>
      <c r="K4147" s="204" t="s">
        <v>11</v>
      </c>
      <c r="L4147" s="199">
        <v>2</v>
      </c>
      <c r="M4147" s="200">
        <v>40.9</v>
      </c>
      <c r="N4147" s="201">
        <v>15</v>
      </c>
    </row>
    <row r="4148" spans="1:14">
      <c r="A4148" s="194">
        <v>41285.835034722222</v>
      </c>
      <c r="B4148" s="195">
        <v>3003</v>
      </c>
      <c r="C4148" s="194"/>
      <c r="D4148" s="194"/>
      <c r="E4148" s="198"/>
      <c r="G4148" s="202"/>
      <c r="J4148" s="195">
        <v>17</v>
      </c>
      <c r="K4148" s="204" t="s">
        <v>11</v>
      </c>
      <c r="L4148" s="199">
        <v>2</v>
      </c>
      <c r="M4148" s="200">
        <v>0.2</v>
      </c>
      <c r="N4148" s="201">
        <v>17</v>
      </c>
    </row>
    <row r="4149" spans="1:14">
      <c r="A4149" s="194">
        <v>41293.178472222222</v>
      </c>
      <c r="B4149" s="195">
        <v>3003</v>
      </c>
      <c r="C4149" s="194"/>
      <c r="D4149" s="194"/>
      <c r="E4149" s="198"/>
      <c r="G4149" s="202"/>
      <c r="J4149" s="195">
        <v>17</v>
      </c>
      <c r="K4149" s="204" t="s">
        <v>11</v>
      </c>
      <c r="L4149" s="199">
        <v>1</v>
      </c>
      <c r="M4149" s="200">
        <v>27.9</v>
      </c>
      <c r="N4149" s="201">
        <v>17</v>
      </c>
    </row>
    <row r="4150" spans="1:14">
      <c r="A4150" s="194">
        <v>41289.595231481479</v>
      </c>
      <c r="B4150" s="195">
        <v>3003</v>
      </c>
      <c r="C4150" s="194"/>
      <c r="D4150" s="194"/>
      <c r="E4150" s="196" t="s">
        <v>2066</v>
      </c>
      <c r="G4150" s="202"/>
      <c r="J4150" s="195">
        <v>17</v>
      </c>
      <c r="K4150" s="204" t="s">
        <v>11</v>
      </c>
      <c r="L4150" s="199">
        <v>2</v>
      </c>
      <c r="M4150" s="200">
        <v>36</v>
      </c>
      <c r="N4150" s="201">
        <v>17</v>
      </c>
    </row>
    <row r="4151" spans="1:14">
      <c r="A4151" s="194">
        <v>41282.008750000001</v>
      </c>
      <c r="B4151" s="195">
        <v>3003</v>
      </c>
      <c r="C4151" s="194"/>
      <c r="D4151" s="194"/>
      <c r="E4151" s="198"/>
      <c r="G4151" s="202"/>
      <c r="J4151" s="195">
        <v>17</v>
      </c>
      <c r="K4151" s="204" t="s">
        <v>11</v>
      </c>
      <c r="L4151" s="199">
        <v>2</v>
      </c>
      <c r="M4151" s="200">
        <v>33.700000000000003</v>
      </c>
      <c r="N4151" s="201">
        <v>19</v>
      </c>
    </row>
    <row r="4152" spans="1:14">
      <c r="A4152" s="194">
        <v>41275.673564814817</v>
      </c>
      <c r="B4152" s="195">
        <v>3003</v>
      </c>
      <c r="C4152" s="194"/>
      <c r="D4152" s="194"/>
      <c r="E4152" s="198"/>
      <c r="G4152" s="202"/>
      <c r="J4152" s="195">
        <v>17</v>
      </c>
      <c r="K4152" s="204" t="s">
        <v>11</v>
      </c>
      <c r="L4152" s="199">
        <v>2</v>
      </c>
      <c r="M4152" s="200">
        <v>30.7</v>
      </c>
      <c r="N4152" s="201">
        <v>20</v>
      </c>
    </row>
    <row r="4153" spans="1:14">
      <c r="A4153" s="194">
        <v>41294.556273148148</v>
      </c>
      <c r="B4153" s="195">
        <v>3003</v>
      </c>
      <c r="C4153" s="194"/>
      <c r="D4153" s="194"/>
      <c r="E4153" s="198"/>
      <c r="G4153" s="202"/>
      <c r="J4153" s="195">
        <v>17</v>
      </c>
      <c r="K4153" s="204" t="s">
        <v>11</v>
      </c>
      <c r="L4153" s="199">
        <v>2</v>
      </c>
      <c r="M4153" s="200">
        <v>0.2</v>
      </c>
      <c r="N4153" s="201">
        <v>21</v>
      </c>
    </row>
    <row r="4154" spans="1:14">
      <c r="A4154" s="194">
        <v>41286.004675925928</v>
      </c>
      <c r="B4154" s="195">
        <v>3003</v>
      </c>
      <c r="C4154" s="194"/>
      <c r="D4154" s="194"/>
      <c r="E4154" s="198"/>
      <c r="G4154" s="202"/>
      <c r="J4154" s="195">
        <v>17</v>
      </c>
      <c r="K4154" s="204" t="s">
        <v>11</v>
      </c>
      <c r="L4154" s="199">
        <v>2</v>
      </c>
      <c r="M4154" s="200">
        <v>42.3</v>
      </c>
      <c r="N4154" s="201">
        <v>25</v>
      </c>
    </row>
    <row r="4155" spans="1:14">
      <c r="A4155" s="194">
        <v>41281.909386574072</v>
      </c>
      <c r="B4155" s="195">
        <v>3003</v>
      </c>
      <c r="C4155" s="194"/>
      <c r="D4155" s="194"/>
      <c r="E4155" s="198"/>
      <c r="G4155" s="202"/>
      <c r="J4155" s="195">
        <v>17</v>
      </c>
      <c r="K4155" s="204" t="s">
        <v>11</v>
      </c>
      <c r="L4155" s="199">
        <v>2</v>
      </c>
      <c r="M4155" s="200">
        <v>0.2</v>
      </c>
      <c r="N4155" s="201">
        <v>31</v>
      </c>
    </row>
    <row r="4156" spans="1:14">
      <c r="A4156" s="194">
        <v>41295.847939814812</v>
      </c>
      <c r="B4156" s="195">
        <v>3003</v>
      </c>
      <c r="C4156" s="194"/>
      <c r="D4156" s="194"/>
      <c r="E4156" s="198"/>
      <c r="G4156" s="202"/>
      <c r="J4156" s="195">
        <v>17</v>
      </c>
      <c r="K4156" s="204" t="s">
        <v>11</v>
      </c>
      <c r="L4156" s="199">
        <v>1</v>
      </c>
      <c r="M4156" s="200">
        <v>0.2</v>
      </c>
      <c r="N4156" s="201">
        <v>32</v>
      </c>
    </row>
    <row r="4157" spans="1:14">
      <c r="A4157" s="194">
        <v>41283.497939814813</v>
      </c>
      <c r="B4157" s="195">
        <v>3003</v>
      </c>
      <c r="C4157" s="194"/>
      <c r="D4157" s="194"/>
      <c r="E4157" s="198"/>
      <c r="G4157" s="202"/>
      <c r="J4157" s="195">
        <v>17</v>
      </c>
      <c r="K4157" s="204" t="s">
        <v>11</v>
      </c>
      <c r="L4157" s="199">
        <v>2</v>
      </c>
      <c r="M4157" s="200">
        <v>0.2</v>
      </c>
      <c r="N4157" s="201">
        <v>37</v>
      </c>
    </row>
    <row r="4158" spans="1:14">
      <c r="A4158" s="194">
        <v>41301.883356481485</v>
      </c>
      <c r="B4158" s="195">
        <v>3003</v>
      </c>
      <c r="C4158" s="194"/>
      <c r="D4158" s="194"/>
      <c r="E4158" s="198"/>
      <c r="G4158" s="202"/>
      <c r="J4158" s="195">
        <v>17</v>
      </c>
      <c r="K4158" s="204" t="s">
        <v>11</v>
      </c>
      <c r="L4158" s="199">
        <v>1</v>
      </c>
      <c r="M4158" s="200">
        <v>0.2</v>
      </c>
      <c r="N4158" s="201">
        <v>43</v>
      </c>
    </row>
    <row r="4159" spans="1:14">
      <c r="A4159" s="194">
        <v>41297.122939814813</v>
      </c>
      <c r="B4159" s="195">
        <v>3003</v>
      </c>
      <c r="C4159" s="194"/>
      <c r="D4159" s="194"/>
      <c r="E4159" s="198"/>
      <c r="G4159" s="202"/>
      <c r="J4159" s="195">
        <v>18</v>
      </c>
      <c r="K4159" s="204" t="s">
        <v>5</v>
      </c>
      <c r="L4159" s="199">
        <v>2</v>
      </c>
      <c r="M4159" s="200">
        <v>0.3</v>
      </c>
      <c r="N4159" s="201">
        <v>-1</v>
      </c>
    </row>
    <row r="4160" spans="1:14">
      <c r="A4160" s="194">
        <v>41295.120208333334</v>
      </c>
      <c r="B4160" s="195">
        <v>3003</v>
      </c>
      <c r="C4160" s="194"/>
      <c r="D4160" s="194"/>
      <c r="E4160" s="198"/>
      <c r="G4160" s="202"/>
      <c r="J4160" s="195">
        <v>18</v>
      </c>
      <c r="K4160" s="204" t="s">
        <v>5</v>
      </c>
      <c r="L4160" s="199">
        <v>1</v>
      </c>
      <c r="M4160" s="200">
        <v>34.200000000000003</v>
      </c>
      <c r="N4160" s="201">
        <v>15</v>
      </c>
    </row>
    <row r="4161" spans="1:14">
      <c r="A4161" s="194">
        <v>41283.748437499999</v>
      </c>
      <c r="B4161" s="195">
        <v>3003</v>
      </c>
      <c r="C4161" s="194"/>
      <c r="D4161" s="194"/>
      <c r="E4161" s="198"/>
      <c r="G4161" s="202"/>
      <c r="J4161" s="195">
        <v>18</v>
      </c>
      <c r="K4161" s="204" t="s">
        <v>5</v>
      </c>
      <c r="L4161" s="199">
        <v>2</v>
      </c>
      <c r="M4161" s="200">
        <v>19.100000000000001</v>
      </c>
      <c r="N4161" s="201">
        <v>16</v>
      </c>
    </row>
    <row r="4162" spans="1:14">
      <c r="A4162" s="194">
        <v>41302.849386574075</v>
      </c>
      <c r="B4162" s="195">
        <v>3003</v>
      </c>
      <c r="C4162" s="194"/>
      <c r="D4162" s="194"/>
      <c r="E4162" s="198"/>
      <c r="G4162" s="202"/>
      <c r="J4162" s="195">
        <v>18</v>
      </c>
      <c r="K4162" s="204" t="s">
        <v>5</v>
      </c>
      <c r="L4162" s="199">
        <v>2</v>
      </c>
      <c r="M4162" s="200">
        <v>34.799999999999997</v>
      </c>
      <c r="N4162" s="201">
        <v>16</v>
      </c>
    </row>
    <row r="4163" spans="1:14">
      <c r="A4163" s="194">
        <v>41290.811203703706</v>
      </c>
      <c r="B4163" s="195">
        <v>3003</v>
      </c>
      <c r="C4163" s="194"/>
      <c r="D4163" s="194"/>
      <c r="E4163" s="198"/>
      <c r="G4163" s="202"/>
      <c r="J4163" s="195">
        <v>18</v>
      </c>
      <c r="K4163" s="204" t="s">
        <v>5</v>
      </c>
      <c r="L4163" s="199">
        <v>2</v>
      </c>
      <c r="M4163" s="200">
        <v>41.2</v>
      </c>
      <c r="N4163" s="201">
        <v>16</v>
      </c>
    </row>
    <row r="4164" spans="1:14">
      <c r="A4164" s="194">
        <v>41282.64435185185</v>
      </c>
      <c r="B4164" s="195">
        <v>3003</v>
      </c>
      <c r="C4164" s="194"/>
      <c r="D4164" s="194"/>
      <c r="E4164" s="198"/>
      <c r="G4164" s="202"/>
      <c r="J4164" s="195">
        <v>18</v>
      </c>
      <c r="K4164" s="204" t="s">
        <v>5</v>
      </c>
      <c r="L4164" s="199">
        <v>1</v>
      </c>
      <c r="M4164" s="200">
        <v>26.2</v>
      </c>
      <c r="N4164" s="201">
        <v>17</v>
      </c>
    </row>
    <row r="4165" spans="1:14">
      <c r="A4165" s="194">
        <v>41298.000405092593</v>
      </c>
      <c r="B4165" s="195">
        <v>3003</v>
      </c>
      <c r="C4165" s="194"/>
      <c r="D4165" s="194"/>
      <c r="E4165" s="198"/>
      <c r="G4165" s="202"/>
      <c r="J4165" s="195">
        <v>18</v>
      </c>
      <c r="K4165" s="204" t="s">
        <v>5</v>
      </c>
      <c r="L4165" s="199">
        <v>2</v>
      </c>
      <c r="M4165" s="200">
        <v>33.799999999999997</v>
      </c>
      <c r="N4165" s="201">
        <v>17</v>
      </c>
    </row>
    <row r="4166" spans="1:14">
      <c r="A4166" s="194">
        <v>41296.788159722222</v>
      </c>
      <c r="B4166" s="195">
        <v>3003</v>
      </c>
      <c r="C4166" s="194"/>
      <c r="D4166" s="194"/>
      <c r="E4166" s="198"/>
      <c r="G4166" s="202"/>
      <c r="J4166" s="195">
        <v>18</v>
      </c>
      <c r="K4166" s="204" t="s">
        <v>5</v>
      </c>
      <c r="L4166" s="199">
        <v>1</v>
      </c>
      <c r="M4166" s="200">
        <v>30.7</v>
      </c>
      <c r="N4166" s="201">
        <v>18</v>
      </c>
    </row>
    <row r="4167" spans="1:14">
      <c r="A4167" s="194">
        <v>41276.979594907411</v>
      </c>
      <c r="B4167" s="195">
        <v>3003</v>
      </c>
      <c r="C4167" s="194"/>
      <c r="D4167" s="194"/>
      <c r="E4167" s="198"/>
      <c r="G4167" s="202"/>
      <c r="J4167" s="195">
        <v>18</v>
      </c>
      <c r="K4167" s="204" t="s">
        <v>5</v>
      </c>
      <c r="L4167" s="199">
        <v>2</v>
      </c>
      <c r="M4167" s="200">
        <v>34.9</v>
      </c>
      <c r="N4167" s="201">
        <v>18</v>
      </c>
    </row>
    <row r="4168" spans="1:14">
      <c r="A4168" s="194">
        <v>41296.621620370373</v>
      </c>
      <c r="B4168" s="195">
        <v>3003</v>
      </c>
      <c r="C4168" s="194"/>
      <c r="D4168" s="194"/>
      <c r="E4168" s="198"/>
      <c r="G4168" s="202"/>
      <c r="J4168" s="195">
        <v>18</v>
      </c>
      <c r="K4168" s="204" t="s">
        <v>5</v>
      </c>
      <c r="L4168" s="199">
        <v>2</v>
      </c>
      <c r="M4168" s="200">
        <v>41.9</v>
      </c>
      <c r="N4168" s="201">
        <v>18</v>
      </c>
    </row>
    <row r="4169" spans="1:14">
      <c r="A4169" s="194">
        <v>41304.562662037039</v>
      </c>
      <c r="B4169" s="195">
        <v>3003</v>
      </c>
      <c r="C4169" s="194"/>
      <c r="D4169" s="194"/>
      <c r="E4169" s="198"/>
      <c r="G4169" s="202"/>
      <c r="J4169" s="195">
        <v>18</v>
      </c>
      <c r="K4169" s="204" t="s">
        <v>5</v>
      </c>
      <c r="L4169" s="199">
        <v>1</v>
      </c>
      <c r="M4169" s="200">
        <v>12.3</v>
      </c>
      <c r="N4169" s="201">
        <v>19</v>
      </c>
    </row>
    <row r="4170" spans="1:14">
      <c r="A4170" s="194">
        <v>41305.715092592596</v>
      </c>
      <c r="B4170" s="195">
        <v>3003</v>
      </c>
      <c r="C4170" s="194"/>
      <c r="D4170" s="194"/>
      <c r="E4170" s="198"/>
      <c r="G4170" s="202"/>
      <c r="J4170" s="195">
        <v>18</v>
      </c>
      <c r="K4170" s="204" t="s">
        <v>5</v>
      </c>
      <c r="L4170" s="199">
        <v>1</v>
      </c>
      <c r="M4170" s="200">
        <v>19</v>
      </c>
      <c r="N4170" s="201">
        <v>19</v>
      </c>
    </row>
    <row r="4171" spans="1:14">
      <c r="A4171" s="194">
        <v>41297.120057870372</v>
      </c>
      <c r="B4171" s="195">
        <v>3003</v>
      </c>
      <c r="C4171" s="194"/>
      <c r="D4171" s="194"/>
      <c r="E4171" s="198"/>
      <c r="G4171" s="202"/>
      <c r="J4171" s="195">
        <v>18</v>
      </c>
      <c r="K4171" s="204" t="s">
        <v>5</v>
      </c>
      <c r="L4171" s="199">
        <v>2</v>
      </c>
      <c r="M4171" s="200">
        <v>21.2</v>
      </c>
      <c r="N4171" s="201">
        <v>19</v>
      </c>
    </row>
    <row r="4172" spans="1:14">
      <c r="A4172" s="194">
        <v>41296.747511574074</v>
      </c>
      <c r="B4172" s="195">
        <v>3003</v>
      </c>
      <c r="C4172" s="194"/>
      <c r="D4172" s="194"/>
      <c r="E4172" s="198"/>
      <c r="G4172" s="202"/>
      <c r="J4172" s="195">
        <v>18</v>
      </c>
      <c r="K4172" s="204" t="s">
        <v>5</v>
      </c>
      <c r="L4172" s="199">
        <v>1</v>
      </c>
      <c r="M4172" s="200">
        <v>28.4</v>
      </c>
      <c r="N4172" s="201">
        <v>19</v>
      </c>
    </row>
    <row r="4173" spans="1:14">
      <c r="A4173" s="194">
        <v>41297.76935185185</v>
      </c>
      <c r="B4173" s="195">
        <v>3003</v>
      </c>
      <c r="C4173" s="194"/>
      <c r="D4173" s="194"/>
      <c r="E4173" s="198"/>
      <c r="G4173" s="202"/>
      <c r="J4173" s="195">
        <v>18</v>
      </c>
      <c r="K4173" s="204" t="s">
        <v>5</v>
      </c>
      <c r="L4173" s="199">
        <v>2</v>
      </c>
      <c r="M4173" s="200">
        <v>26.5</v>
      </c>
      <c r="N4173" s="201">
        <v>20</v>
      </c>
    </row>
    <row r="4174" spans="1:14">
      <c r="A4174" s="194">
        <v>41294.867789351854</v>
      </c>
      <c r="B4174" s="195">
        <v>3003</v>
      </c>
      <c r="C4174" s="194"/>
      <c r="D4174" s="194"/>
      <c r="E4174" s="198"/>
      <c r="G4174" s="202"/>
      <c r="J4174" s="195">
        <v>18</v>
      </c>
      <c r="K4174" s="204" t="s">
        <v>5</v>
      </c>
      <c r="L4174" s="199">
        <v>1</v>
      </c>
      <c r="M4174" s="200">
        <v>5.0999999999999996</v>
      </c>
      <c r="N4174" s="201">
        <v>24</v>
      </c>
    </row>
    <row r="4175" spans="1:14">
      <c r="A4175" s="194">
        <v>41275.59946759259</v>
      </c>
      <c r="B4175" s="195">
        <v>3003</v>
      </c>
      <c r="C4175" s="194"/>
      <c r="D4175" s="194"/>
      <c r="E4175" s="196" t="s">
        <v>1667</v>
      </c>
      <c r="G4175" s="202"/>
      <c r="J4175" s="195">
        <v>24</v>
      </c>
      <c r="K4175" s="204" t="s">
        <v>25</v>
      </c>
      <c r="L4175" s="199">
        <v>2</v>
      </c>
      <c r="M4175" s="200">
        <v>43.2</v>
      </c>
      <c r="N4175" s="201">
        <v>16</v>
      </c>
    </row>
    <row r="4176" spans="1:14">
      <c r="A4176" s="194">
        <v>41304.661759259259</v>
      </c>
      <c r="B4176" s="195">
        <v>3003</v>
      </c>
      <c r="C4176" s="194"/>
      <c r="D4176" s="194"/>
      <c r="E4176" s="196" t="s">
        <v>2089</v>
      </c>
      <c r="G4176" s="202"/>
      <c r="J4176" s="195">
        <v>24</v>
      </c>
      <c r="K4176" s="204" t="s">
        <v>25</v>
      </c>
      <c r="L4176" s="199">
        <v>2</v>
      </c>
      <c r="M4176" s="200">
        <v>0.4</v>
      </c>
      <c r="N4176" s="201">
        <v>18</v>
      </c>
    </row>
    <row r="4177" spans="1:14">
      <c r="A4177" s="194">
        <v>41276.586493055554</v>
      </c>
      <c r="B4177" s="195">
        <v>3003</v>
      </c>
      <c r="C4177" s="194"/>
      <c r="D4177" s="194"/>
      <c r="E4177" s="196" t="s">
        <v>1700</v>
      </c>
      <c r="G4177" s="202"/>
      <c r="J4177" s="195">
        <v>24</v>
      </c>
      <c r="K4177" s="204" t="s">
        <v>25</v>
      </c>
      <c r="L4177" s="199">
        <v>2</v>
      </c>
      <c r="M4177" s="200">
        <v>1.1000000000000001</v>
      </c>
      <c r="N4177" s="201">
        <v>20</v>
      </c>
    </row>
    <row r="4178" spans="1:14">
      <c r="A4178" s="194">
        <v>41288.823587962965</v>
      </c>
      <c r="B4178" s="195">
        <v>3003</v>
      </c>
      <c r="C4178" s="194"/>
      <c r="D4178" s="194"/>
      <c r="E4178" s="196" t="s">
        <v>2085</v>
      </c>
      <c r="G4178" s="202"/>
      <c r="J4178" s="195">
        <v>24</v>
      </c>
      <c r="K4178" s="204" t="s">
        <v>25</v>
      </c>
      <c r="L4178" s="199">
        <v>2</v>
      </c>
      <c r="M4178" s="200">
        <v>30.6</v>
      </c>
      <c r="N4178" s="201">
        <v>20</v>
      </c>
    </row>
    <row r="4179" spans="1:14">
      <c r="A4179" s="194">
        <v>41281.536493055559</v>
      </c>
      <c r="B4179" s="195">
        <v>3003</v>
      </c>
      <c r="C4179" s="194"/>
      <c r="D4179" s="194"/>
      <c r="E4179" s="196" t="s">
        <v>2127</v>
      </c>
      <c r="G4179" s="202"/>
      <c r="J4179" s="195">
        <v>24</v>
      </c>
      <c r="K4179" s="204" t="s">
        <v>25</v>
      </c>
      <c r="L4179" s="199">
        <v>1</v>
      </c>
      <c r="M4179" s="200">
        <v>0.5</v>
      </c>
      <c r="N4179" s="201">
        <v>33</v>
      </c>
    </row>
    <row r="4180" spans="1:14">
      <c r="A4180" s="194">
        <v>41282.478148148148</v>
      </c>
      <c r="B4180" s="195">
        <v>3003</v>
      </c>
      <c r="C4180" s="194"/>
      <c r="D4180" s="194"/>
      <c r="E4180" s="196" t="s">
        <v>1654</v>
      </c>
      <c r="G4180" s="202"/>
      <c r="J4180" s="195">
        <v>24</v>
      </c>
      <c r="K4180" s="204" t="s">
        <v>25</v>
      </c>
      <c r="L4180" s="199">
        <v>2</v>
      </c>
      <c r="M4180" s="200">
        <v>0.7</v>
      </c>
      <c r="N4180" s="201">
        <v>34</v>
      </c>
    </row>
    <row r="4181" spans="1:14">
      <c r="A4181" s="194">
        <v>41277.739895833336</v>
      </c>
      <c r="B4181" s="195">
        <v>3003</v>
      </c>
      <c r="C4181" s="194"/>
      <c r="D4181" s="194"/>
      <c r="E4181" s="196" t="s">
        <v>1695</v>
      </c>
      <c r="G4181" s="202"/>
      <c r="J4181" s="195">
        <v>24</v>
      </c>
      <c r="K4181" s="204" t="s">
        <v>25</v>
      </c>
      <c r="L4181" s="199">
        <v>2</v>
      </c>
      <c r="M4181" s="200">
        <v>0.3</v>
      </c>
      <c r="N4181" s="201">
        <v>35</v>
      </c>
    </row>
    <row r="4182" spans="1:14">
      <c r="A4182" s="194">
        <v>41285.36241898148</v>
      </c>
      <c r="B4182" s="195">
        <v>3003</v>
      </c>
      <c r="C4182" s="194"/>
      <c r="D4182" s="194"/>
      <c r="E4182" s="196" t="s">
        <v>1646</v>
      </c>
      <c r="G4182" s="202"/>
      <c r="J4182" s="195">
        <v>24</v>
      </c>
      <c r="K4182" s="204" t="s">
        <v>25</v>
      </c>
      <c r="L4182" s="199">
        <v>2</v>
      </c>
      <c r="M4182" s="200">
        <v>0.6</v>
      </c>
      <c r="N4182" s="201">
        <v>35</v>
      </c>
    </row>
    <row r="4183" spans="1:14">
      <c r="A4183" s="194">
        <v>41278.787094907406</v>
      </c>
      <c r="B4183" s="195">
        <v>3003</v>
      </c>
      <c r="C4183" s="194"/>
      <c r="D4183" s="194"/>
      <c r="E4183" s="196" t="s">
        <v>1832</v>
      </c>
      <c r="G4183" s="202"/>
      <c r="J4183" s="195">
        <v>29</v>
      </c>
      <c r="K4183" s="204" t="s">
        <v>39</v>
      </c>
      <c r="L4183" s="199">
        <v>2</v>
      </c>
      <c r="M4183" s="200">
        <v>29</v>
      </c>
      <c r="N4183" s="201">
        <v>16</v>
      </c>
    </row>
    <row r="4184" spans="1:14">
      <c r="A4184" s="194">
        <v>41295.664236111108</v>
      </c>
      <c r="B4184" s="195">
        <v>3003</v>
      </c>
      <c r="C4184" s="194"/>
      <c r="D4184" s="194"/>
      <c r="E4184" s="196" t="s">
        <v>1709</v>
      </c>
      <c r="G4184" s="202"/>
      <c r="J4184" s="195">
        <v>29</v>
      </c>
      <c r="K4184" s="204" t="s">
        <v>39</v>
      </c>
      <c r="L4184" s="199">
        <v>2</v>
      </c>
      <c r="M4184" s="200">
        <v>35.1</v>
      </c>
      <c r="N4184" s="201">
        <v>16</v>
      </c>
    </row>
    <row r="4185" spans="1:14">
      <c r="A4185" s="194">
        <v>41287.313009259262</v>
      </c>
      <c r="B4185" s="195">
        <v>3003</v>
      </c>
      <c r="C4185" s="194"/>
      <c r="D4185" s="194"/>
      <c r="E4185" s="196" t="s">
        <v>1868</v>
      </c>
      <c r="G4185" s="202"/>
      <c r="J4185" s="195">
        <v>29</v>
      </c>
      <c r="K4185" s="204" t="s">
        <v>39</v>
      </c>
      <c r="L4185" s="199">
        <v>2</v>
      </c>
      <c r="M4185" s="200">
        <v>42.6</v>
      </c>
      <c r="N4185" s="201">
        <v>19</v>
      </c>
    </row>
    <row r="4186" spans="1:14">
      <c r="A4186" s="194">
        <v>41300.906689814816</v>
      </c>
      <c r="B4186" s="195">
        <v>3003</v>
      </c>
      <c r="C4186" s="194"/>
      <c r="D4186" s="194"/>
      <c r="E4186" s="196" t="s">
        <v>1660</v>
      </c>
      <c r="G4186" s="202"/>
      <c r="J4186" s="195">
        <v>29</v>
      </c>
      <c r="K4186" s="204" t="s">
        <v>39</v>
      </c>
      <c r="L4186" s="199">
        <v>2</v>
      </c>
      <c r="M4186" s="200">
        <v>36.700000000000003</v>
      </c>
      <c r="N4186" s="201">
        <v>22</v>
      </c>
    </row>
    <row r="4187" spans="1:14">
      <c r="A4187" s="194">
        <v>41280.043171296296</v>
      </c>
      <c r="B4187" s="195">
        <v>3003</v>
      </c>
      <c r="C4187" s="194"/>
      <c r="D4187" s="194"/>
      <c r="E4187" s="196" t="s">
        <v>2070</v>
      </c>
      <c r="G4187" s="202"/>
      <c r="J4187" s="195">
        <v>29</v>
      </c>
      <c r="K4187" s="204" t="s">
        <v>39</v>
      </c>
      <c r="L4187" s="199">
        <v>2</v>
      </c>
      <c r="M4187" s="200">
        <v>37.700000000000003</v>
      </c>
      <c r="N4187" s="201">
        <v>23</v>
      </c>
    </row>
    <row r="4188" spans="1:14">
      <c r="A4188" s="194">
        <v>41283.87295138889</v>
      </c>
      <c r="B4188" s="195">
        <v>3003</v>
      </c>
      <c r="C4188" s="194"/>
      <c r="D4188" s="194"/>
      <c r="E4188" s="196" t="s">
        <v>1948</v>
      </c>
      <c r="G4188" s="202"/>
      <c r="J4188" s="195">
        <v>29</v>
      </c>
      <c r="K4188" s="204" t="s">
        <v>39</v>
      </c>
      <c r="L4188" s="199">
        <v>1</v>
      </c>
      <c r="M4188" s="200">
        <v>0.7</v>
      </c>
      <c r="N4188" s="201">
        <v>38</v>
      </c>
    </row>
    <row r="4189" spans="1:14">
      <c r="A4189" s="194">
        <v>41305.75341435185</v>
      </c>
      <c r="B4189" s="195">
        <v>3003</v>
      </c>
      <c r="C4189" s="194"/>
      <c r="D4189" s="194"/>
      <c r="E4189" s="198"/>
      <c r="G4189" s="202"/>
      <c r="J4189" s="195">
        <v>6200</v>
      </c>
      <c r="K4189" s="204" t="s">
        <v>36</v>
      </c>
      <c r="L4189" s="199">
        <v>2</v>
      </c>
      <c r="M4189" s="200">
        <v>0.2</v>
      </c>
      <c r="N4189" s="201">
        <v>-1</v>
      </c>
    </row>
    <row r="4190" spans="1:14">
      <c r="A4190" s="194">
        <v>41300.331273148149</v>
      </c>
      <c r="B4190" s="195">
        <v>3003</v>
      </c>
      <c r="C4190" s="194"/>
      <c r="D4190" s="194"/>
      <c r="E4190" s="198"/>
      <c r="G4190" s="202"/>
      <c r="J4190" s="195">
        <v>6200</v>
      </c>
      <c r="K4190" s="204" t="s">
        <v>36</v>
      </c>
      <c r="L4190" s="199">
        <v>2</v>
      </c>
      <c r="M4190" s="200">
        <v>0.2</v>
      </c>
      <c r="N4190" s="201">
        <v>-1</v>
      </c>
    </row>
    <row r="4191" spans="1:14">
      <c r="A4191" s="194">
        <v>41305.545856481483</v>
      </c>
      <c r="B4191" s="195">
        <v>3003</v>
      </c>
      <c r="C4191" s="194"/>
      <c r="D4191" s="194"/>
      <c r="E4191" s="198"/>
      <c r="G4191" s="202"/>
      <c r="J4191" s="195">
        <v>6200</v>
      </c>
      <c r="K4191" s="204" t="s">
        <v>36</v>
      </c>
      <c r="L4191" s="199">
        <v>2</v>
      </c>
      <c r="M4191" s="200">
        <v>0.3</v>
      </c>
      <c r="N4191" s="201">
        <v>-1</v>
      </c>
    </row>
    <row r="4192" spans="1:14">
      <c r="A4192" s="194">
        <v>41287.800023148149</v>
      </c>
      <c r="B4192" s="195">
        <v>3003</v>
      </c>
      <c r="C4192" s="194"/>
      <c r="D4192" s="194"/>
      <c r="E4192" s="198"/>
      <c r="G4192" s="202"/>
      <c r="J4192" s="195">
        <v>6200</v>
      </c>
      <c r="K4192" s="204" t="s">
        <v>36</v>
      </c>
      <c r="L4192" s="199">
        <v>2</v>
      </c>
      <c r="M4192" s="200">
        <v>0.4</v>
      </c>
      <c r="N4192" s="201">
        <v>-1</v>
      </c>
    </row>
    <row r="4193" spans="1:14">
      <c r="A4193" s="194">
        <v>41285.673217592594</v>
      </c>
      <c r="B4193" s="195">
        <v>3003</v>
      </c>
      <c r="C4193" s="194"/>
      <c r="D4193" s="194"/>
      <c r="E4193" s="198"/>
      <c r="G4193" s="202"/>
      <c r="J4193" s="195">
        <v>6200</v>
      </c>
      <c r="K4193" s="204" t="s">
        <v>36</v>
      </c>
      <c r="L4193" s="199">
        <v>2</v>
      </c>
      <c r="M4193" s="200">
        <v>0.5</v>
      </c>
      <c r="N4193" s="201">
        <v>-1</v>
      </c>
    </row>
    <row r="4194" spans="1:14">
      <c r="A4194" s="194">
        <v>41280.372939814813</v>
      </c>
      <c r="B4194" s="195">
        <v>3003</v>
      </c>
      <c r="C4194" s="194"/>
      <c r="D4194" s="194"/>
      <c r="E4194" s="198"/>
      <c r="G4194" s="202"/>
      <c r="J4194" s="195">
        <v>6200</v>
      </c>
      <c r="K4194" s="204" t="s">
        <v>36</v>
      </c>
      <c r="L4194" s="199">
        <v>2</v>
      </c>
      <c r="M4194" s="200">
        <v>0.5</v>
      </c>
      <c r="N4194" s="201">
        <v>-1</v>
      </c>
    </row>
    <row r="4195" spans="1:14">
      <c r="A4195" s="194">
        <v>41298.766967592594</v>
      </c>
      <c r="B4195" s="195">
        <v>3003</v>
      </c>
      <c r="C4195" s="194"/>
      <c r="D4195" s="194"/>
      <c r="E4195" s="198"/>
      <c r="G4195" s="202"/>
      <c r="J4195" s="195">
        <v>6200</v>
      </c>
      <c r="K4195" s="204" t="s">
        <v>36</v>
      </c>
      <c r="L4195" s="199">
        <v>2</v>
      </c>
      <c r="M4195" s="200">
        <v>0.8</v>
      </c>
      <c r="N4195" s="201">
        <v>-1</v>
      </c>
    </row>
    <row r="4196" spans="1:14">
      <c r="A4196" s="194">
        <v>41297.04378472222</v>
      </c>
      <c r="B4196" s="195">
        <v>3003</v>
      </c>
      <c r="C4196" s="194"/>
      <c r="D4196" s="194"/>
      <c r="E4196" s="198"/>
      <c r="G4196" s="202"/>
      <c r="J4196" s="195">
        <v>6200</v>
      </c>
      <c r="K4196" s="204" t="s">
        <v>36</v>
      </c>
      <c r="L4196" s="199">
        <v>2</v>
      </c>
      <c r="M4196" s="200">
        <v>1</v>
      </c>
      <c r="N4196" s="201">
        <v>-1</v>
      </c>
    </row>
    <row r="4197" spans="1:14">
      <c r="A4197" s="194">
        <v>41299.263472222221</v>
      </c>
      <c r="B4197" s="195">
        <v>3003</v>
      </c>
      <c r="C4197" s="194"/>
      <c r="D4197" s="194"/>
      <c r="E4197" s="198"/>
      <c r="G4197" s="202"/>
      <c r="J4197" s="195">
        <v>6200</v>
      </c>
      <c r="K4197" s="204" t="s">
        <v>36</v>
      </c>
      <c r="L4197" s="199">
        <v>2</v>
      </c>
      <c r="M4197" s="200">
        <v>1.6</v>
      </c>
      <c r="N4197" s="201">
        <v>-1</v>
      </c>
    </row>
    <row r="4198" spans="1:14">
      <c r="A4198" s="194">
        <v>41299.860833333332</v>
      </c>
      <c r="B4198" s="195">
        <v>3003</v>
      </c>
      <c r="C4198" s="194"/>
      <c r="D4198" s="194"/>
      <c r="E4198" s="198"/>
      <c r="G4198" s="202"/>
      <c r="J4198" s="195">
        <v>6200</v>
      </c>
      <c r="K4198" s="204" t="s">
        <v>36</v>
      </c>
      <c r="L4198" s="199">
        <v>2</v>
      </c>
      <c r="M4198" s="200">
        <v>33.700000000000003</v>
      </c>
      <c r="N4198" s="201">
        <v>-1</v>
      </c>
    </row>
    <row r="4199" spans="1:14">
      <c r="A4199" s="194">
        <v>41299.7653125</v>
      </c>
      <c r="B4199" s="195">
        <v>3003</v>
      </c>
      <c r="C4199" s="194"/>
      <c r="D4199" s="194"/>
      <c r="E4199" s="198"/>
      <c r="G4199" s="202"/>
      <c r="J4199" s="195">
        <v>6200</v>
      </c>
      <c r="K4199" s="204" t="s">
        <v>36</v>
      </c>
      <c r="L4199" s="199">
        <v>2</v>
      </c>
      <c r="M4199" s="200">
        <v>35.700000000000003</v>
      </c>
      <c r="N4199" s="201">
        <v>-1</v>
      </c>
    </row>
    <row r="4200" spans="1:14">
      <c r="A4200" s="194">
        <v>41283.953564814816</v>
      </c>
      <c r="B4200" s="195">
        <v>3003</v>
      </c>
      <c r="C4200" s="194"/>
      <c r="D4200" s="194"/>
      <c r="E4200" s="198"/>
      <c r="G4200" s="202"/>
      <c r="J4200" s="195">
        <v>6200</v>
      </c>
      <c r="K4200" s="204" t="s">
        <v>36</v>
      </c>
      <c r="L4200" s="199">
        <v>2</v>
      </c>
      <c r="M4200" s="200">
        <v>35.799999999999997</v>
      </c>
      <c r="N4200" s="201">
        <v>-1</v>
      </c>
    </row>
    <row r="4201" spans="1:14">
      <c r="A4201" s="194">
        <v>41292.819525462961</v>
      </c>
      <c r="B4201" s="195">
        <v>3003</v>
      </c>
      <c r="C4201" s="194"/>
      <c r="D4201" s="194"/>
      <c r="E4201" s="198"/>
      <c r="G4201" s="202"/>
      <c r="J4201" s="195">
        <v>6200</v>
      </c>
      <c r="K4201" s="204" t="s">
        <v>36</v>
      </c>
      <c r="L4201" s="199">
        <v>2</v>
      </c>
      <c r="M4201" s="200">
        <v>39.6</v>
      </c>
      <c r="N4201" s="201">
        <v>-1</v>
      </c>
    </row>
    <row r="4202" spans="1:14">
      <c r="A4202" s="194">
        <v>41283.026550925926</v>
      </c>
      <c r="B4202" s="195">
        <v>3003</v>
      </c>
      <c r="C4202" s="194"/>
      <c r="D4202" s="194"/>
      <c r="E4202" s="198"/>
      <c r="G4202" s="202"/>
      <c r="J4202" s="195">
        <v>6200</v>
      </c>
      <c r="K4202" s="204" t="s">
        <v>36</v>
      </c>
      <c r="L4202" s="199">
        <v>2</v>
      </c>
      <c r="M4202" s="200">
        <v>41.7</v>
      </c>
      <c r="N4202" s="201">
        <v>-1</v>
      </c>
    </row>
    <row r="4203" spans="1:14">
      <c r="A4203" s="194">
        <v>41301.844270833331</v>
      </c>
      <c r="B4203" s="195">
        <v>3003</v>
      </c>
      <c r="C4203" s="194"/>
      <c r="D4203" s="194"/>
      <c r="E4203" s="198"/>
      <c r="G4203" s="202"/>
      <c r="J4203" s="195">
        <v>6200</v>
      </c>
      <c r="K4203" s="204" t="s">
        <v>36</v>
      </c>
      <c r="L4203" s="199">
        <v>2</v>
      </c>
      <c r="M4203" s="200">
        <v>43.3</v>
      </c>
      <c r="N4203" s="201">
        <v>-1</v>
      </c>
    </row>
    <row r="4204" spans="1:14">
      <c r="A4204" s="194">
        <v>41300.932824074072</v>
      </c>
      <c r="B4204" s="195">
        <v>3003</v>
      </c>
      <c r="C4204" s="194"/>
      <c r="D4204" s="194"/>
      <c r="E4204" s="198"/>
      <c r="G4204" s="202"/>
      <c r="J4204" s="195">
        <v>6200</v>
      </c>
      <c r="K4204" s="204" t="s">
        <v>36</v>
      </c>
      <c r="L4204" s="199">
        <v>2</v>
      </c>
      <c r="M4204" s="200">
        <v>44.9</v>
      </c>
      <c r="N4204" s="201">
        <v>-1</v>
      </c>
    </row>
    <row r="4205" spans="1:14">
      <c r="A4205" s="194">
        <v>41280.557847222219</v>
      </c>
      <c r="B4205" s="195">
        <v>3003</v>
      </c>
      <c r="C4205" s="194"/>
      <c r="D4205" s="194"/>
      <c r="E4205" s="198"/>
      <c r="G4205" s="202"/>
      <c r="J4205" s="195">
        <v>6200</v>
      </c>
      <c r="K4205" s="204" t="s">
        <v>36</v>
      </c>
      <c r="L4205" s="199">
        <v>2</v>
      </c>
      <c r="M4205" s="200">
        <v>45.6</v>
      </c>
      <c r="N4205" s="201">
        <v>-1</v>
      </c>
    </row>
    <row r="4206" spans="1:14">
      <c r="A4206" s="194">
        <v>41298.791967592595</v>
      </c>
      <c r="B4206" s="195">
        <v>3003</v>
      </c>
      <c r="C4206" s="194"/>
      <c r="D4206" s="194"/>
      <c r="E4206" s="198"/>
      <c r="G4206" s="202"/>
      <c r="J4206" s="195">
        <v>6200</v>
      </c>
      <c r="K4206" s="204" t="s">
        <v>36</v>
      </c>
      <c r="L4206" s="199">
        <v>2</v>
      </c>
      <c r="M4206" s="200">
        <v>0.2</v>
      </c>
      <c r="N4206" s="201">
        <v>15</v>
      </c>
    </row>
    <row r="4207" spans="1:14">
      <c r="A4207" s="194">
        <v>41305.557314814818</v>
      </c>
      <c r="B4207" s="195">
        <v>3003</v>
      </c>
      <c r="C4207" s="194"/>
      <c r="D4207" s="194"/>
      <c r="E4207" s="198"/>
      <c r="G4207" s="202"/>
      <c r="J4207" s="195">
        <v>6200</v>
      </c>
      <c r="K4207" s="204" t="s">
        <v>36</v>
      </c>
      <c r="L4207" s="199">
        <v>1</v>
      </c>
      <c r="M4207" s="200">
        <v>0.3</v>
      </c>
      <c r="N4207" s="201">
        <v>21</v>
      </c>
    </row>
    <row r="4208" spans="1:14">
      <c r="A4208" s="194">
        <v>41279.603854166664</v>
      </c>
      <c r="B4208" s="195">
        <v>3011</v>
      </c>
      <c r="C4208" s="194"/>
      <c r="D4208" s="194"/>
      <c r="E4208" s="196" t="s">
        <v>675</v>
      </c>
      <c r="F4208" s="195">
        <v>800</v>
      </c>
      <c r="G4208" s="197" t="s">
        <v>470</v>
      </c>
      <c r="H4208" s="197" t="s">
        <v>471</v>
      </c>
      <c r="J4208" s="195">
        <v>1</v>
      </c>
      <c r="K4208" s="204" t="s">
        <v>224</v>
      </c>
      <c r="L4208" s="199">
        <v>3</v>
      </c>
      <c r="M4208" s="200">
        <v>1.1000000000000001</v>
      </c>
      <c r="N4208" s="201">
        <v>15</v>
      </c>
    </row>
    <row r="4209" spans="1:14">
      <c r="A4209" s="194">
        <v>41279.444120370368</v>
      </c>
      <c r="B4209" s="195">
        <v>3011</v>
      </c>
      <c r="C4209" s="194"/>
      <c r="D4209" s="194"/>
      <c r="E4209" s="196" t="s">
        <v>674</v>
      </c>
      <c r="F4209" s="195">
        <v>800</v>
      </c>
      <c r="G4209" s="197" t="s">
        <v>470</v>
      </c>
      <c r="H4209" s="197" t="s">
        <v>471</v>
      </c>
      <c r="J4209" s="195">
        <v>1</v>
      </c>
      <c r="K4209" s="204" t="s">
        <v>224</v>
      </c>
      <c r="L4209" s="199">
        <v>3</v>
      </c>
      <c r="M4209" s="200">
        <v>0.5</v>
      </c>
      <c r="N4209" s="201">
        <v>16</v>
      </c>
    </row>
    <row r="4210" spans="1:14">
      <c r="A4210" s="194">
        <v>41277.37903935185</v>
      </c>
      <c r="B4210" s="195">
        <v>3011</v>
      </c>
      <c r="C4210" s="194"/>
      <c r="D4210" s="194"/>
      <c r="E4210" s="196" t="s">
        <v>546</v>
      </c>
      <c r="F4210" s="195">
        <v>800</v>
      </c>
      <c r="G4210" s="197" t="s">
        <v>470</v>
      </c>
      <c r="H4210" s="197" t="s">
        <v>471</v>
      </c>
      <c r="J4210" s="195">
        <v>1</v>
      </c>
      <c r="K4210" s="204" t="s">
        <v>224</v>
      </c>
      <c r="L4210" s="199">
        <v>3</v>
      </c>
      <c r="M4210" s="200">
        <v>1.8</v>
      </c>
      <c r="N4210" s="201">
        <v>16</v>
      </c>
    </row>
    <row r="4211" spans="1:14">
      <c r="A4211" s="194">
        <v>41286.644814814812</v>
      </c>
      <c r="B4211" s="195">
        <v>3011</v>
      </c>
      <c r="C4211" s="194"/>
      <c r="D4211" s="194"/>
      <c r="E4211" s="196" t="s">
        <v>795</v>
      </c>
      <c r="F4211" s="195">
        <v>800</v>
      </c>
      <c r="G4211" s="197" t="s">
        <v>470</v>
      </c>
      <c r="H4211" s="197" t="s">
        <v>471</v>
      </c>
      <c r="J4211" s="195">
        <v>1</v>
      </c>
      <c r="K4211" s="204" t="s">
        <v>224</v>
      </c>
      <c r="L4211" s="199">
        <v>2</v>
      </c>
      <c r="M4211" s="200">
        <v>0.5</v>
      </c>
      <c r="N4211" s="201">
        <v>17</v>
      </c>
    </row>
    <row r="4212" spans="1:14">
      <c r="A4212" s="194">
        <v>41299.617025462961</v>
      </c>
      <c r="B4212" s="195">
        <v>3011</v>
      </c>
      <c r="C4212" s="194"/>
      <c r="D4212" s="194"/>
      <c r="E4212" s="196" t="s">
        <v>1235</v>
      </c>
      <c r="F4212" s="195">
        <v>800</v>
      </c>
      <c r="G4212" s="197" t="s">
        <v>470</v>
      </c>
      <c r="H4212" s="197" t="s">
        <v>471</v>
      </c>
      <c r="J4212" s="195">
        <v>1</v>
      </c>
      <c r="K4212" s="204" t="s">
        <v>224</v>
      </c>
      <c r="L4212" s="199">
        <v>2</v>
      </c>
      <c r="M4212" s="200">
        <v>0.4</v>
      </c>
      <c r="N4212" s="201">
        <v>18</v>
      </c>
    </row>
    <row r="4213" spans="1:14">
      <c r="A4213" s="194">
        <v>41292.41982638889</v>
      </c>
      <c r="B4213" s="195">
        <v>3011</v>
      </c>
      <c r="C4213" s="194"/>
      <c r="D4213" s="194"/>
      <c r="E4213" s="196" t="s">
        <v>1068</v>
      </c>
      <c r="F4213" s="195">
        <v>800</v>
      </c>
      <c r="G4213" s="197" t="s">
        <v>470</v>
      </c>
      <c r="H4213" s="197" t="s">
        <v>471</v>
      </c>
      <c r="J4213" s="195">
        <v>1</v>
      </c>
      <c r="K4213" s="204" t="s">
        <v>224</v>
      </c>
      <c r="L4213" s="199">
        <v>2</v>
      </c>
      <c r="M4213" s="200">
        <v>0.7</v>
      </c>
      <c r="N4213" s="201">
        <v>19</v>
      </c>
    </row>
    <row r="4214" spans="1:14">
      <c r="A4214" s="194">
        <v>41288.374861111108</v>
      </c>
      <c r="B4214" s="195">
        <v>3011</v>
      </c>
      <c r="C4214" s="194"/>
      <c r="D4214" s="194"/>
      <c r="E4214" s="196" t="s">
        <v>808</v>
      </c>
      <c r="F4214" s="195">
        <v>800</v>
      </c>
      <c r="G4214" s="197" t="s">
        <v>470</v>
      </c>
      <c r="H4214" s="197" t="s">
        <v>471</v>
      </c>
      <c r="J4214" s="195">
        <v>1</v>
      </c>
      <c r="K4214" s="204" t="s">
        <v>224</v>
      </c>
      <c r="L4214" s="199">
        <v>3</v>
      </c>
      <c r="M4214" s="200">
        <v>0.4</v>
      </c>
      <c r="N4214" s="201">
        <v>20</v>
      </c>
    </row>
    <row r="4215" spans="1:14">
      <c r="A4215" s="194">
        <v>41303.847627314812</v>
      </c>
      <c r="B4215" s="195">
        <v>3011</v>
      </c>
      <c r="C4215" s="194"/>
      <c r="D4215" s="194"/>
      <c r="E4215" s="196" t="s">
        <v>1510</v>
      </c>
      <c r="F4215" s="195">
        <v>800</v>
      </c>
      <c r="G4215" s="197" t="s">
        <v>470</v>
      </c>
      <c r="H4215" s="197" t="s">
        <v>471</v>
      </c>
      <c r="J4215" s="195">
        <v>1</v>
      </c>
      <c r="K4215" s="204" t="s">
        <v>224</v>
      </c>
      <c r="L4215" s="199">
        <v>3</v>
      </c>
      <c r="M4215" s="200">
        <v>2.5</v>
      </c>
      <c r="N4215" s="201">
        <v>20</v>
      </c>
    </row>
    <row r="4216" spans="1:14">
      <c r="A4216" s="194">
        <v>41293.805231481485</v>
      </c>
      <c r="B4216" s="195">
        <v>3011</v>
      </c>
      <c r="C4216" s="194"/>
      <c r="D4216" s="194"/>
      <c r="E4216" s="196" t="s">
        <v>1075</v>
      </c>
      <c r="F4216" s="195">
        <v>800</v>
      </c>
      <c r="G4216" s="197" t="s">
        <v>470</v>
      </c>
      <c r="H4216" s="197" t="s">
        <v>471</v>
      </c>
      <c r="J4216" s="195">
        <v>1</v>
      </c>
      <c r="K4216" s="204" t="s">
        <v>224</v>
      </c>
      <c r="L4216" s="199">
        <v>2</v>
      </c>
      <c r="M4216" s="200">
        <v>0.4</v>
      </c>
      <c r="N4216" s="201">
        <v>21</v>
      </c>
    </row>
    <row r="4217" spans="1:14">
      <c r="A4217" s="194">
        <v>41297.2344212963</v>
      </c>
      <c r="B4217" s="195">
        <v>3011</v>
      </c>
      <c r="C4217" s="194"/>
      <c r="D4217" s="194"/>
      <c r="E4217" s="196" t="s">
        <v>1223</v>
      </c>
      <c r="F4217" s="195">
        <v>800</v>
      </c>
      <c r="G4217" s="197" t="s">
        <v>470</v>
      </c>
      <c r="H4217" s="197" t="s">
        <v>471</v>
      </c>
      <c r="J4217" s="195">
        <v>1</v>
      </c>
      <c r="K4217" s="204" t="s">
        <v>224</v>
      </c>
      <c r="L4217" s="199">
        <v>2</v>
      </c>
      <c r="M4217" s="200">
        <v>1.3</v>
      </c>
      <c r="N4217" s="201">
        <v>21</v>
      </c>
    </row>
    <row r="4218" spans="1:14">
      <c r="A4218" s="194">
        <v>41292.649583333332</v>
      </c>
      <c r="B4218" s="195">
        <v>3011</v>
      </c>
      <c r="C4218" s="194"/>
      <c r="D4218" s="194"/>
      <c r="E4218" s="196" t="s">
        <v>1069</v>
      </c>
      <c r="F4218" s="195">
        <v>800</v>
      </c>
      <c r="G4218" s="197" t="s">
        <v>470</v>
      </c>
      <c r="H4218" s="197" t="s">
        <v>471</v>
      </c>
      <c r="J4218" s="195">
        <v>1</v>
      </c>
      <c r="K4218" s="204" t="s">
        <v>224</v>
      </c>
      <c r="L4218" s="199">
        <v>3</v>
      </c>
      <c r="M4218" s="200">
        <v>0.8</v>
      </c>
      <c r="N4218" s="201">
        <v>22</v>
      </c>
    </row>
    <row r="4219" spans="1:14">
      <c r="A4219" s="194">
        <v>41302.464953703704</v>
      </c>
      <c r="B4219" s="195">
        <v>3011</v>
      </c>
      <c r="C4219" s="194"/>
      <c r="D4219" s="194"/>
      <c r="E4219" s="196" t="s">
        <v>1267</v>
      </c>
      <c r="F4219" s="195">
        <v>800</v>
      </c>
      <c r="G4219" s="197" t="s">
        <v>470</v>
      </c>
      <c r="H4219" s="197" t="s">
        <v>471</v>
      </c>
      <c r="J4219" s="195">
        <v>1</v>
      </c>
      <c r="K4219" s="204" t="s">
        <v>224</v>
      </c>
      <c r="L4219" s="199">
        <v>2</v>
      </c>
      <c r="M4219" s="200">
        <v>0.4</v>
      </c>
      <c r="N4219" s="201">
        <v>24</v>
      </c>
    </row>
    <row r="4220" spans="1:14">
      <c r="A4220" s="194">
        <v>41282.521192129629</v>
      </c>
      <c r="B4220" s="195">
        <v>3011</v>
      </c>
      <c r="C4220" s="194"/>
      <c r="D4220" s="194"/>
      <c r="E4220" s="196" t="s">
        <v>693</v>
      </c>
      <c r="F4220" s="195">
        <v>800</v>
      </c>
      <c r="G4220" s="197" t="s">
        <v>470</v>
      </c>
      <c r="H4220" s="197" t="s">
        <v>471</v>
      </c>
      <c r="J4220" s="195">
        <v>1</v>
      </c>
      <c r="K4220" s="204" t="s">
        <v>224</v>
      </c>
      <c r="L4220" s="199">
        <v>3</v>
      </c>
      <c r="M4220" s="200">
        <v>0.5</v>
      </c>
      <c r="N4220" s="201">
        <v>24</v>
      </c>
    </row>
    <row r="4221" spans="1:14">
      <c r="A4221" s="194">
        <v>41301.537858796299</v>
      </c>
      <c r="B4221" s="195">
        <v>3011</v>
      </c>
      <c r="C4221" s="194"/>
      <c r="D4221" s="194"/>
      <c r="E4221" s="196" t="s">
        <v>1257</v>
      </c>
      <c r="F4221" s="195">
        <v>800</v>
      </c>
      <c r="G4221" s="197" t="s">
        <v>470</v>
      </c>
      <c r="H4221" s="197" t="s">
        <v>471</v>
      </c>
      <c r="J4221" s="195">
        <v>1</v>
      </c>
      <c r="K4221" s="204" t="s">
        <v>224</v>
      </c>
      <c r="L4221" s="199">
        <v>3</v>
      </c>
      <c r="M4221" s="200">
        <v>0.3</v>
      </c>
      <c r="N4221" s="201">
        <v>25</v>
      </c>
    </row>
    <row r="4222" spans="1:14">
      <c r="A4222" s="194">
        <v>41303.963564814818</v>
      </c>
      <c r="B4222" s="195">
        <v>3011</v>
      </c>
      <c r="C4222" s="194"/>
      <c r="D4222" s="194"/>
      <c r="E4222" s="196" t="s">
        <v>1511</v>
      </c>
      <c r="F4222" s="195">
        <v>800</v>
      </c>
      <c r="G4222" s="197" t="s">
        <v>470</v>
      </c>
      <c r="H4222" s="197" t="s">
        <v>471</v>
      </c>
      <c r="J4222" s="195">
        <v>1</v>
      </c>
      <c r="K4222" s="204" t="s">
        <v>224</v>
      </c>
      <c r="L4222" s="199">
        <v>2</v>
      </c>
      <c r="M4222" s="200">
        <v>0.6</v>
      </c>
      <c r="N4222" s="201">
        <v>25</v>
      </c>
    </row>
    <row r="4223" spans="1:14">
      <c r="A4223" s="194">
        <v>41301.685787037037</v>
      </c>
      <c r="B4223" s="195">
        <v>3011</v>
      </c>
      <c r="C4223" s="194"/>
      <c r="D4223" s="194"/>
      <c r="E4223" s="196" t="s">
        <v>1258</v>
      </c>
      <c r="F4223" s="195">
        <v>800</v>
      </c>
      <c r="G4223" s="197" t="s">
        <v>470</v>
      </c>
      <c r="H4223" s="197" t="s">
        <v>471</v>
      </c>
      <c r="J4223" s="195">
        <v>1</v>
      </c>
      <c r="K4223" s="204" t="s">
        <v>224</v>
      </c>
      <c r="L4223" s="199">
        <v>2</v>
      </c>
      <c r="M4223" s="200">
        <v>1.1000000000000001</v>
      </c>
      <c r="N4223" s="201">
        <v>25</v>
      </c>
    </row>
    <row r="4224" spans="1:14">
      <c r="A4224" s="194">
        <v>41301.738576388889</v>
      </c>
      <c r="B4224" s="195">
        <v>3011</v>
      </c>
      <c r="C4224" s="194"/>
      <c r="D4224" s="194"/>
      <c r="E4224" s="196" t="s">
        <v>1259</v>
      </c>
      <c r="F4224" s="195">
        <v>800</v>
      </c>
      <c r="G4224" s="197" t="s">
        <v>470</v>
      </c>
      <c r="H4224" s="197" t="s">
        <v>471</v>
      </c>
      <c r="J4224" s="195">
        <v>1</v>
      </c>
      <c r="K4224" s="204" t="s">
        <v>224</v>
      </c>
      <c r="L4224" s="199">
        <v>3</v>
      </c>
      <c r="M4224" s="200">
        <v>0.3</v>
      </c>
      <c r="N4224" s="201">
        <v>27</v>
      </c>
    </row>
    <row r="4225" spans="1:14">
      <c r="A4225" s="194">
        <v>41280.671898148146</v>
      </c>
      <c r="B4225" s="195">
        <v>3011</v>
      </c>
      <c r="C4225" s="194"/>
      <c r="D4225" s="194"/>
      <c r="E4225" s="196" t="s">
        <v>683</v>
      </c>
      <c r="F4225" s="195">
        <v>800</v>
      </c>
      <c r="G4225" s="197" t="s">
        <v>470</v>
      </c>
      <c r="H4225" s="197" t="s">
        <v>471</v>
      </c>
      <c r="J4225" s="195">
        <v>1</v>
      </c>
      <c r="K4225" s="204" t="s">
        <v>224</v>
      </c>
      <c r="L4225" s="199">
        <v>2</v>
      </c>
      <c r="M4225" s="200">
        <v>0.9</v>
      </c>
      <c r="N4225" s="201">
        <v>27</v>
      </c>
    </row>
    <row r="4226" spans="1:14">
      <c r="A4226" s="194">
        <v>41300.601759259262</v>
      </c>
      <c r="B4226" s="195">
        <v>3011</v>
      </c>
      <c r="C4226" s="194"/>
      <c r="D4226" s="194"/>
      <c r="E4226" s="196" t="s">
        <v>1248</v>
      </c>
      <c r="F4226" s="195">
        <v>800</v>
      </c>
      <c r="G4226" s="197" t="s">
        <v>470</v>
      </c>
      <c r="H4226" s="197" t="s">
        <v>471</v>
      </c>
      <c r="J4226" s="195">
        <v>1</v>
      </c>
      <c r="K4226" s="204" t="s">
        <v>224</v>
      </c>
      <c r="L4226" s="199">
        <v>2</v>
      </c>
      <c r="M4226" s="200">
        <v>0.4</v>
      </c>
      <c r="N4226" s="201">
        <v>32</v>
      </c>
    </row>
    <row r="4227" spans="1:14">
      <c r="A4227" s="194">
        <v>41303.463553240741</v>
      </c>
      <c r="B4227" s="195">
        <v>3011</v>
      </c>
      <c r="C4227" s="194"/>
      <c r="D4227" s="194"/>
      <c r="E4227" s="196" t="s">
        <v>1509</v>
      </c>
      <c r="F4227" s="195">
        <v>800</v>
      </c>
      <c r="G4227" s="197" t="s">
        <v>470</v>
      </c>
      <c r="H4227" s="197" t="s">
        <v>471</v>
      </c>
      <c r="J4227" s="195">
        <v>1</v>
      </c>
      <c r="K4227" s="204" t="s">
        <v>224</v>
      </c>
      <c r="L4227" s="199">
        <v>2</v>
      </c>
      <c r="M4227" s="200">
        <v>0.7</v>
      </c>
      <c r="N4227" s="201">
        <v>32</v>
      </c>
    </row>
    <row r="4228" spans="1:14">
      <c r="A4228" s="194">
        <v>41281.422638888886</v>
      </c>
      <c r="B4228" s="195">
        <v>3011</v>
      </c>
      <c r="C4228" s="194"/>
      <c r="D4228" s="194"/>
      <c r="E4228" s="198"/>
      <c r="G4228" s="202"/>
      <c r="J4228" s="195">
        <v>2</v>
      </c>
      <c r="K4228" s="204" t="s">
        <v>32</v>
      </c>
      <c r="L4228" s="199">
        <v>3</v>
      </c>
      <c r="M4228" s="200">
        <v>3.4</v>
      </c>
      <c r="N4228" s="201">
        <v>15</v>
      </c>
    </row>
    <row r="4229" spans="1:14">
      <c r="A4229" s="194">
        <v>41289.403321759259</v>
      </c>
      <c r="B4229" s="195">
        <v>3011</v>
      </c>
      <c r="C4229" s="194"/>
      <c r="D4229" s="194"/>
      <c r="E4229" s="198"/>
      <c r="G4229" s="202"/>
      <c r="J4229" s="195">
        <v>2</v>
      </c>
      <c r="K4229" s="204" t="s">
        <v>32</v>
      </c>
      <c r="L4229" s="199">
        <v>2</v>
      </c>
      <c r="M4229" s="200">
        <v>0.6</v>
      </c>
      <c r="N4229" s="201">
        <v>17</v>
      </c>
    </row>
    <row r="4230" spans="1:14">
      <c r="A4230" s="194">
        <v>41302.498993055553</v>
      </c>
      <c r="B4230" s="195">
        <v>3011</v>
      </c>
      <c r="C4230" s="194"/>
      <c r="D4230" s="194"/>
      <c r="E4230" s="198"/>
      <c r="G4230" s="202"/>
      <c r="J4230" s="195">
        <v>2</v>
      </c>
      <c r="K4230" s="204" t="s">
        <v>32</v>
      </c>
      <c r="L4230" s="199">
        <v>3</v>
      </c>
      <c r="M4230" s="200">
        <v>2</v>
      </c>
      <c r="N4230" s="201">
        <v>22</v>
      </c>
    </row>
    <row r="4231" spans="1:14">
      <c r="A4231" s="194">
        <v>41294.089965277781</v>
      </c>
      <c r="B4231" s="195">
        <v>3011</v>
      </c>
      <c r="C4231" s="194"/>
      <c r="D4231" s="194"/>
      <c r="E4231" s="198"/>
      <c r="G4231" s="202"/>
      <c r="J4231" s="195">
        <v>2</v>
      </c>
      <c r="K4231" s="204" t="s">
        <v>32</v>
      </c>
      <c r="L4231" s="199">
        <v>2</v>
      </c>
      <c r="M4231" s="200">
        <v>0.3</v>
      </c>
      <c r="N4231" s="201">
        <v>32</v>
      </c>
    </row>
    <row r="4232" spans="1:14">
      <c r="A4232" s="194">
        <v>41293.608726851853</v>
      </c>
      <c r="B4232" s="195">
        <v>3011</v>
      </c>
      <c r="C4232" s="194"/>
      <c r="D4232" s="194"/>
      <c r="E4232" s="198"/>
      <c r="G4232" s="202"/>
      <c r="J4232" s="195">
        <v>3</v>
      </c>
      <c r="K4232" s="204" t="s">
        <v>1595</v>
      </c>
      <c r="L4232" s="199">
        <v>3</v>
      </c>
      <c r="M4232" s="200">
        <v>0.4</v>
      </c>
      <c r="N4232" s="201">
        <v>15</v>
      </c>
    </row>
    <row r="4233" spans="1:14">
      <c r="A4233" s="194">
        <v>41277.503842592596</v>
      </c>
      <c r="B4233" s="195">
        <v>3011</v>
      </c>
      <c r="C4233" s="194"/>
      <c r="D4233" s="194"/>
      <c r="E4233" s="198"/>
      <c r="G4233" s="202"/>
      <c r="J4233" s="195">
        <v>3</v>
      </c>
      <c r="K4233" s="204" t="s">
        <v>1595</v>
      </c>
      <c r="L4233" s="199">
        <v>2</v>
      </c>
      <c r="M4233" s="200">
        <v>0.8</v>
      </c>
      <c r="N4233" s="201">
        <v>24</v>
      </c>
    </row>
    <row r="4234" spans="1:14">
      <c r="A4234" s="194">
        <v>41292.506620370368</v>
      </c>
      <c r="B4234" s="195">
        <v>3011</v>
      </c>
      <c r="C4234" s="194"/>
      <c r="D4234" s="194"/>
      <c r="E4234" s="198"/>
      <c r="G4234" s="202"/>
      <c r="J4234" s="195">
        <v>3</v>
      </c>
      <c r="K4234" s="204" t="s">
        <v>1595</v>
      </c>
      <c r="L4234" s="199">
        <v>3</v>
      </c>
      <c r="M4234" s="200">
        <v>0.7</v>
      </c>
      <c r="N4234" s="201">
        <v>25</v>
      </c>
    </row>
    <row r="4235" spans="1:14">
      <c r="A4235" s="194">
        <v>41279.764976851853</v>
      </c>
      <c r="B4235" s="195">
        <v>3011</v>
      </c>
      <c r="C4235" s="194"/>
      <c r="D4235" s="194"/>
      <c r="E4235" s="198"/>
      <c r="G4235" s="202"/>
      <c r="J4235" s="195">
        <v>3</v>
      </c>
      <c r="K4235" s="204" t="s">
        <v>1595</v>
      </c>
      <c r="L4235" s="199">
        <v>2</v>
      </c>
      <c r="M4235" s="200">
        <v>0.5</v>
      </c>
      <c r="N4235" s="201">
        <v>28</v>
      </c>
    </row>
    <row r="4236" spans="1:14">
      <c r="A4236" s="194">
        <v>41288.508020833331</v>
      </c>
      <c r="B4236" s="195">
        <v>3011</v>
      </c>
      <c r="C4236" s="194"/>
      <c r="D4236" s="194"/>
      <c r="E4236" s="198"/>
      <c r="G4236" s="202"/>
      <c r="J4236" s="195">
        <v>3</v>
      </c>
      <c r="K4236" s="204" t="s">
        <v>1595</v>
      </c>
      <c r="L4236" s="199">
        <v>2</v>
      </c>
      <c r="M4236" s="200">
        <v>1</v>
      </c>
      <c r="N4236" s="201">
        <v>28</v>
      </c>
    </row>
    <row r="4237" spans="1:14">
      <c r="A4237" s="194">
        <v>41298.735717592594</v>
      </c>
      <c r="B4237" s="195">
        <v>3011</v>
      </c>
      <c r="C4237" s="194"/>
      <c r="D4237" s="194"/>
      <c r="E4237" s="198"/>
      <c r="G4237" s="202"/>
      <c r="J4237" s="195">
        <v>7</v>
      </c>
      <c r="K4237" s="204" t="s">
        <v>30</v>
      </c>
      <c r="L4237" s="199">
        <v>2</v>
      </c>
      <c r="M4237" s="200">
        <v>1.6</v>
      </c>
      <c r="N4237" s="201">
        <v>18</v>
      </c>
    </row>
    <row r="4238" spans="1:14">
      <c r="A4238" s="194">
        <v>41298.865023148152</v>
      </c>
      <c r="B4238" s="195">
        <v>3011</v>
      </c>
      <c r="C4238" s="194"/>
      <c r="D4238" s="194"/>
      <c r="E4238" s="198"/>
      <c r="G4238" s="202"/>
      <c r="J4238" s="195">
        <v>7</v>
      </c>
      <c r="K4238" s="204" t="s">
        <v>30</v>
      </c>
      <c r="L4238" s="199">
        <v>2</v>
      </c>
      <c r="M4238" s="200">
        <v>6.3</v>
      </c>
      <c r="N4238" s="201">
        <v>19</v>
      </c>
    </row>
    <row r="4239" spans="1:14">
      <c r="A4239" s="194">
        <v>41297.583715277775</v>
      </c>
      <c r="B4239" s="195">
        <v>3011</v>
      </c>
      <c r="C4239" s="194"/>
      <c r="D4239" s="194"/>
      <c r="E4239" s="198"/>
      <c r="G4239" s="202"/>
      <c r="J4239" s="195">
        <v>7</v>
      </c>
      <c r="K4239" s="204" t="s">
        <v>30</v>
      </c>
      <c r="L4239" s="199">
        <v>2</v>
      </c>
      <c r="M4239" s="200">
        <v>1.6</v>
      </c>
      <c r="N4239" s="201">
        <v>20</v>
      </c>
    </row>
    <row r="4240" spans="1:14">
      <c r="A4240" s="194">
        <v>41297.490671296298</v>
      </c>
      <c r="B4240" s="195">
        <v>3011</v>
      </c>
      <c r="C4240" s="194"/>
      <c r="D4240" s="194"/>
      <c r="E4240" s="198"/>
      <c r="G4240" s="202"/>
      <c r="J4240" s="195">
        <v>7</v>
      </c>
      <c r="K4240" s="204" t="s">
        <v>30</v>
      </c>
      <c r="L4240" s="199">
        <v>2</v>
      </c>
      <c r="M4240" s="200">
        <v>0.5</v>
      </c>
      <c r="N4240" s="201">
        <v>30</v>
      </c>
    </row>
    <row r="4241" spans="1:14">
      <c r="A4241" s="194">
        <v>41299.503865740742</v>
      </c>
      <c r="B4241" s="195">
        <v>3011</v>
      </c>
      <c r="C4241" s="194"/>
      <c r="D4241" s="194"/>
      <c r="E4241" s="198"/>
      <c r="G4241" s="202"/>
      <c r="J4241" s="195">
        <v>8</v>
      </c>
      <c r="K4241" s="204" t="s">
        <v>29</v>
      </c>
      <c r="L4241" s="199">
        <v>3</v>
      </c>
      <c r="M4241" s="200">
        <v>1.1000000000000001</v>
      </c>
      <c r="N4241" s="201">
        <v>30</v>
      </c>
    </row>
    <row r="4242" spans="1:14">
      <c r="A4242" s="194">
        <v>41300.824664351851</v>
      </c>
      <c r="B4242" s="195">
        <v>3011</v>
      </c>
      <c r="C4242" s="194"/>
      <c r="D4242" s="194"/>
      <c r="E4242" s="198"/>
      <c r="G4242" s="202"/>
      <c r="J4242" s="195">
        <v>8</v>
      </c>
      <c r="K4242" s="204" t="s">
        <v>29</v>
      </c>
      <c r="L4242" s="199">
        <v>2</v>
      </c>
      <c r="M4242" s="200">
        <v>0.3</v>
      </c>
      <c r="N4242" s="201">
        <v>42</v>
      </c>
    </row>
    <row r="4243" spans="1:14">
      <c r="A4243" s="194">
        <v>41277.648912037039</v>
      </c>
      <c r="B4243" s="195">
        <v>3011</v>
      </c>
      <c r="C4243" s="194"/>
      <c r="D4243" s="194"/>
      <c r="E4243" s="198"/>
      <c r="G4243" s="202"/>
      <c r="J4243" s="195">
        <v>10</v>
      </c>
      <c r="K4243" s="204" t="s">
        <v>31</v>
      </c>
      <c r="L4243" s="199">
        <v>2</v>
      </c>
      <c r="M4243" s="200">
        <v>0.8</v>
      </c>
      <c r="N4243" s="201">
        <v>22</v>
      </c>
    </row>
    <row r="4244" spans="1:14">
      <c r="A4244" s="194">
        <v>41286.446898148148</v>
      </c>
      <c r="B4244" s="195">
        <v>3011</v>
      </c>
      <c r="C4244" s="194"/>
      <c r="D4244" s="194"/>
      <c r="E4244" s="198"/>
      <c r="G4244" s="202"/>
      <c r="J4244" s="195">
        <v>10</v>
      </c>
      <c r="K4244" s="204" t="s">
        <v>31</v>
      </c>
      <c r="L4244" s="199">
        <v>2</v>
      </c>
      <c r="M4244" s="200">
        <v>0.7</v>
      </c>
      <c r="N4244" s="201">
        <v>34</v>
      </c>
    </row>
    <row r="4245" spans="1:14">
      <c r="A4245" s="194">
        <v>41279.176203703704</v>
      </c>
      <c r="B4245" s="195">
        <v>3011</v>
      </c>
      <c r="C4245" s="194"/>
      <c r="D4245" s="194"/>
      <c r="E4245" s="198"/>
      <c r="G4245" s="202"/>
      <c r="J4245" s="195">
        <v>13</v>
      </c>
      <c r="K4245" s="204" t="s">
        <v>3</v>
      </c>
      <c r="L4245" s="199">
        <v>3</v>
      </c>
      <c r="M4245" s="200">
        <v>11.7</v>
      </c>
      <c r="N4245" s="201">
        <v>15</v>
      </c>
    </row>
    <row r="4246" spans="1:14">
      <c r="A4246" s="194">
        <v>41280.612488425926</v>
      </c>
      <c r="B4246" s="195">
        <v>3011</v>
      </c>
      <c r="C4246" s="194"/>
      <c r="D4246" s="194"/>
      <c r="E4246" s="198"/>
      <c r="G4246" s="202"/>
      <c r="J4246" s="195">
        <v>13</v>
      </c>
      <c r="K4246" s="204" t="s">
        <v>3</v>
      </c>
      <c r="L4246" s="199">
        <v>3</v>
      </c>
      <c r="M4246" s="200">
        <v>26.5</v>
      </c>
      <c r="N4246" s="201">
        <v>16</v>
      </c>
    </row>
    <row r="4247" spans="1:14">
      <c r="A4247" s="194">
        <v>41303.594814814816</v>
      </c>
      <c r="B4247" s="195">
        <v>3011</v>
      </c>
      <c r="C4247" s="194"/>
      <c r="D4247" s="194"/>
      <c r="E4247" s="198"/>
      <c r="G4247" s="202"/>
      <c r="J4247" s="195">
        <v>13</v>
      </c>
      <c r="K4247" s="204" t="s">
        <v>3</v>
      </c>
      <c r="L4247" s="199">
        <v>3</v>
      </c>
      <c r="M4247" s="200">
        <v>0.4</v>
      </c>
      <c r="N4247" s="201">
        <v>23</v>
      </c>
    </row>
    <row r="4248" spans="1:14">
      <c r="A4248" s="194">
        <v>41276.485092592593</v>
      </c>
      <c r="B4248" s="195">
        <v>3011</v>
      </c>
      <c r="C4248" s="194"/>
      <c r="D4248" s="194"/>
      <c r="E4248" s="198"/>
      <c r="G4248" s="202"/>
      <c r="J4248" s="195">
        <v>17</v>
      </c>
      <c r="K4248" s="204" t="s">
        <v>11</v>
      </c>
      <c r="L4248" s="199">
        <v>1</v>
      </c>
      <c r="M4248" s="200">
        <v>0.2</v>
      </c>
      <c r="N4248" s="201">
        <v>-1</v>
      </c>
    </row>
    <row r="4249" spans="1:14">
      <c r="A4249" s="194">
        <v>41276.512858796297</v>
      </c>
      <c r="B4249" s="195">
        <v>3011</v>
      </c>
      <c r="C4249" s="194"/>
      <c r="D4249" s="194"/>
      <c r="E4249" s="198"/>
      <c r="G4249" s="202"/>
      <c r="J4249" s="195">
        <v>17</v>
      </c>
      <c r="K4249" s="204" t="s">
        <v>11</v>
      </c>
      <c r="L4249" s="199">
        <v>1</v>
      </c>
      <c r="M4249" s="200">
        <v>0.4</v>
      </c>
      <c r="N4249" s="201">
        <v>-1</v>
      </c>
    </row>
    <row r="4250" spans="1:14">
      <c r="A4250" s="194">
        <v>41276.45107638889</v>
      </c>
      <c r="B4250" s="195">
        <v>3011</v>
      </c>
      <c r="C4250" s="194"/>
      <c r="D4250" s="194"/>
      <c r="E4250" s="198"/>
      <c r="G4250" s="202"/>
      <c r="J4250" s="195">
        <v>17</v>
      </c>
      <c r="K4250" s="204" t="s">
        <v>11</v>
      </c>
      <c r="L4250" s="199">
        <v>1</v>
      </c>
      <c r="M4250" s="200">
        <v>0.9</v>
      </c>
      <c r="N4250" s="201">
        <v>-1</v>
      </c>
    </row>
    <row r="4251" spans="1:14">
      <c r="A4251" s="194">
        <v>41276.45039351852</v>
      </c>
      <c r="B4251" s="195">
        <v>3011</v>
      </c>
      <c r="C4251" s="194"/>
      <c r="D4251" s="194"/>
      <c r="E4251" s="198"/>
      <c r="G4251" s="202"/>
      <c r="J4251" s="195">
        <v>17</v>
      </c>
      <c r="K4251" s="204" t="s">
        <v>11</v>
      </c>
      <c r="L4251" s="199">
        <v>1</v>
      </c>
      <c r="M4251" s="200">
        <v>1.3</v>
      </c>
      <c r="N4251" s="201">
        <v>-1</v>
      </c>
    </row>
    <row r="4252" spans="1:14">
      <c r="A4252" s="194">
        <v>41276.519826388889</v>
      </c>
      <c r="B4252" s="195">
        <v>3011</v>
      </c>
      <c r="C4252" s="194"/>
      <c r="D4252" s="194"/>
      <c r="E4252" s="198"/>
      <c r="G4252" s="202"/>
      <c r="J4252" s="195">
        <v>17</v>
      </c>
      <c r="K4252" s="204" t="s">
        <v>11</v>
      </c>
      <c r="L4252" s="199">
        <v>1</v>
      </c>
      <c r="M4252" s="200">
        <v>1.4</v>
      </c>
      <c r="N4252" s="201">
        <v>-1</v>
      </c>
    </row>
    <row r="4253" spans="1:14">
      <c r="A4253" s="194">
        <v>41276.455949074072</v>
      </c>
      <c r="B4253" s="195">
        <v>3011</v>
      </c>
      <c r="C4253" s="194"/>
      <c r="D4253" s="194"/>
      <c r="E4253" s="198"/>
      <c r="G4253" s="202"/>
      <c r="J4253" s="195">
        <v>17</v>
      </c>
      <c r="K4253" s="204" t="s">
        <v>11</v>
      </c>
      <c r="L4253" s="199">
        <v>1</v>
      </c>
      <c r="M4253" s="200">
        <v>1.5</v>
      </c>
      <c r="N4253" s="201">
        <v>-1</v>
      </c>
    </row>
    <row r="4254" spans="1:14">
      <c r="A4254" s="194">
        <v>41276.476087962961</v>
      </c>
      <c r="B4254" s="195">
        <v>3011</v>
      </c>
      <c r="C4254" s="194"/>
      <c r="D4254" s="194"/>
      <c r="E4254" s="198"/>
      <c r="G4254" s="202"/>
      <c r="J4254" s="195">
        <v>17</v>
      </c>
      <c r="K4254" s="204" t="s">
        <v>11</v>
      </c>
      <c r="L4254" s="199">
        <v>1</v>
      </c>
      <c r="M4254" s="200">
        <v>2</v>
      </c>
      <c r="N4254" s="201">
        <v>-1</v>
      </c>
    </row>
    <row r="4255" spans="1:14">
      <c r="A4255" s="194">
        <v>41276.455254629633</v>
      </c>
      <c r="B4255" s="195">
        <v>3011</v>
      </c>
      <c r="C4255" s="194"/>
      <c r="D4255" s="194"/>
      <c r="E4255" s="198"/>
      <c r="G4255" s="202"/>
      <c r="J4255" s="195">
        <v>17</v>
      </c>
      <c r="K4255" s="204" t="s">
        <v>11</v>
      </c>
      <c r="L4255" s="199">
        <v>1</v>
      </c>
      <c r="M4255" s="200">
        <v>2.2999999999999998</v>
      </c>
      <c r="N4255" s="201">
        <v>-1</v>
      </c>
    </row>
    <row r="4256" spans="1:14">
      <c r="A4256" s="194">
        <v>41276.415879629632</v>
      </c>
      <c r="B4256" s="195">
        <v>3011</v>
      </c>
      <c r="C4256" s="194"/>
      <c r="D4256" s="194"/>
      <c r="E4256" s="198"/>
      <c r="G4256" s="202"/>
      <c r="J4256" s="195">
        <v>17</v>
      </c>
      <c r="K4256" s="204" t="s">
        <v>11</v>
      </c>
      <c r="L4256" s="199">
        <v>1</v>
      </c>
      <c r="M4256" s="200">
        <v>2.6</v>
      </c>
      <c r="N4256" s="201">
        <v>-1</v>
      </c>
    </row>
    <row r="4257" spans="1:14">
      <c r="A4257" s="194">
        <v>41276.44902777778</v>
      </c>
      <c r="B4257" s="195">
        <v>3011</v>
      </c>
      <c r="C4257" s="194"/>
      <c r="D4257" s="194"/>
      <c r="E4257" s="198"/>
      <c r="G4257" s="202"/>
      <c r="J4257" s="195">
        <v>17</v>
      </c>
      <c r="K4257" s="204" t="s">
        <v>11</v>
      </c>
      <c r="L4257" s="199">
        <v>1</v>
      </c>
      <c r="M4257" s="200">
        <v>3.2</v>
      </c>
      <c r="N4257" s="201">
        <v>-1</v>
      </c>
    </row>
    <row r="4258" spans="1:14">
      <c r="A4258" s="194">
        <v>41276.470590277779</v>
      </c>
      <c r="B4258" s="195">
        <v>3011</v>
      </c>
      <c r="C4258" s="194"/>
      <c r="D4258" s="194"/>
      <c r="E4258" s="198"/>
      <c r="G4258" s="202"/>
      <c r="J4258" s="195">
        <v>17</v>
      </c>
      <c r="K4258" s="204" t="s">
        <v>11</v>
      </c>
      <c r="L4258" s="199">
        <v>1</v>
      </c>
      <c r="M4258" s="200">
        <v>7.9</v>
      </c>
      <c r="N4258" s="201">
        <v>-1</v>
      </c>
    </row>
    <row r="4259" spans="1:14">
      <c r="A4259" s="194">
        <v>41276.469236111108</v>
      </c>
      <c r="B4259" s="195">
        <v>3011</v>
      </c>
      <c r="C4259" s="194"/>
      <c r="D4259" s="194"/>
      <c r="E4259" s="198"/>
      <c r="G4259" s="202"/>
      <c r="J4259" s="195">
        <v>17</v>
      </c>
      <c r="K4259" s="204" t="s">
        <v>11</v>
      </c>
      <c r="L4259" s="199">
        <v>1</v>
      </c>
      <c r="M4259" s="200">
        <v>9.9</v>
      </c>
      <c r="N4259" s="201">
        <v>-1</v>
      </c>
    </row>
    <row r="4260" spans="1:14">
      <c r="A4260" s="194">
        <v>41276.383321759262</v>
      </c>
      <c r="B4260" s="195">
        <v>3011</v>
      </c>
      <c r="C4260" s="194"/>
      <c r="D4260" s="194"/>
      <c r="E4260" s="198"/>
      <c r="G4260" s="202"/>
      <c r="J4260" s="195">
        <v>17</v>
      </c>
      <c r="K4260" s="204" t="s">
        <v>11</v>
      </c>
      <c r="L4260" s="199">
        <v>1</v>
      </c>
      <c r="M4260" s="200">
        <v>10.7</v>
      </c>
      <c r="N4260" s="201">
        <v>-1</v>
      </c>
    </row>
    <row r="4261" spans="1:14">
      <c r="A4261" s="194">
        <v>41276.469236111108</v>
      </c>
      <c r="B4261" s="195">
        <v>3011</v>
      </c>
      <c r="C4261" s="194"/>
      <c r="D4261" s="194"/>
      <c r="E4261" s="198"/>
      <c r="G4261" s="202"/>
      <c r="J4261" s="195">
        <v>17</v>
      </c>
      <c r="K4261" s="204" t="s">
        <v>11</v>
      </c>
      <c r="L4261" s="199">
        <v>1</v>
      </c>
      <c r="M4261" s="200">
        <v>10.8</v>
      </c>
      <c r="N4261" s="201">
        <v>-1</v>
      </c>
    </row>
    <row r="4262" spans="1:14">
      <c r="A4262" s="194">
        <v>41276.379872685182</v>
      </c>
      <c r="B4262" s="195">
        <v>3011</v>
      </c>
      <c r="C4262" s="194"/>
      <c r="D4262" s="194"/>
      <c r="E4262" s="198"/>
      <c r="G4262" s="202"/>
      <c r="J4262" s="195">
        <v>17</v>
      </c>
      <c r="K4262" s="204" t="s">
        <v>11</v>
      </c>
      <c r="L4262" s="199">
        <v>1</v>
      </c>
      <c r="M4262" s="200">
        <v>12.2</v>
      </c>
      <c r="N4262" s="201">
        <v>-1</v>
      </c>
    </row>
    <row r="4263" spans="1:14">
      <c r="A4263" s="194">
        <v>41276.379872685182</v>
      </c>
      <c r="B4263" s="195">
        <v>3011</v>
      </c>
      <c r="C4263" s="194"/>
      <c r="D4263" s="194"/>
      <c r="E4263" s="198"/>
      <c r="G4263" s="202"/>
      <c r="J4263" s="195">
        <v>17</v>
      </c>
      <c r="K4263" s="204" t="s">
        <v>11</v>
      </c>
      <c r="L4263" s="199">
        <v>1</v>
      </c>
      <c r="M4263" s="200">
        <v>12.7</v>
      </c>
      <c r="N4263" s="201">
        <v>-1</v>
      </c>
    </row>
    <row r="4264" spans="1:14">
      <c r="A4264" s="194">
        <v>41276.449143518519</v>
      </c>
      <c r="B4264" s="195">
        <v>3011</v>
      </c>
      <c r="C4264" s="194"/>
      <c r="D4264" s="194"/>
      <c r="E4264" s="198"/>
      <c r="G4264" s="202"/>
      <c r="J4264" s="195">
        <v>17</v>
      </c>
      <c r="K4264" s="204" t="s">
        <v>11</v>
      </c>
      <c r="L4264" s="199">
        <v>1</v>
      </c>
      <c r="M4264" s="200">
        <v>13.1</v>
      </c>
      <c r="N4264" s="201">
        <v>-1</v>
      </c>
    </row>
    <row r="4265" spans="1:14">
      <c r="A4265" s="194">
        <v>41276.379884259259</v>
      </c>
      <c r="B4265" s="195">
        <v>3011</v>
      </c>
      <c r="C4265" s="194"/>
      <c r="D4265" s="194"/>
      <c r="E4265" s="198"/>
      <c r="G4265" s="202"/>
      <c r="J4265" s="195">
        <v>17</v>
      </c>
      <c r="K4265" s="204" t="s">
        <v>11</v>
      </c>
      <c r="L4265" s="199">
        <v>1</v>
      </c>
      <c r="M4265" s="200">
        <v>13.9</v>
      </c>
      <c r="N4265" s="201">
        <v>-1</v>
      </c>
    </row>
    <row r="4266" spans="1:14">
      <c r="A4266" s="194">
        <v>41276.470659722225</v>
      </c>
      <c r="B4266" s="195">
        <v>3011</v>
      </c>
      <c r="C4266" s="194"/>
      <c r="D4266" s="194"/>
      <c r="E4266" s="198"/>
      <c r="G4266" s="202"/>
      <c r="J4266" s="195">
        <v>17</v>
      </c>
      <c r="K4266" s="204" t="s">
        <v>11</v>
      </c>
      <c r="L4266" s="199">
        <v>1</v>
      </c>
      <c r="M4266" s="200">
        <v>14.1</v>
      </c>
      <c r="N4266" s="201">
        <v>-1</v>
      </c>
    </row>
    <row r="4267" spans="1:14">
      <c r="A4267" s="194">
        <v>41276.470671296294</v>
      </c>
      <c r="B4267" s="195">
        <v>3011</v>
      </c>
      <c r="C4267" s="194"/>
      <c r="D4267" s="194"/>
      <c r="E4267" s="198"/>
      <c r="G4267" s="202"/>
      <c r="J4267" s="195">
        <v>17</v>
      </c>
      <c r="K4267" s="204" t="s">
        <v>11</v>
      </c>
      <c r="L4267" s="199">
        <v>1</v>
      </c>
      <c r="M4267" s="200">
        <v>14.6</v>
      </c>
      <c r="N4267" s="201">
        <v>-1</v>
      </c>
    </row>
    <row r="4268" spans="1:14">
      <c r="A4268" s="194">
        <v>41276.394479166665</v>
      </c>
      <c r="B4268" s="195">
        <v>3011</v>
      </c>
      <c r="C4268" s="194"/>
      <c r="D4268" s="194"/>
      <c r="E4268" s="198"/>
      <c r="G4268" s="202"/>
      <c r="J4268" s="195">
        <v>17</v>
      </c>
      <c r="K4268" s="204" t="s">
        <v>11</v>
      </c>
      <c r="L4268" s="199">
        <v>3</v>
      </c>
      <c r="M4268" s="200">
        <v>14.8</v>
      </c>
      <c r="N4268" s="201">
        <v>-1</v>
      </c>
    </row>
    <row r="4269" spans="1:14">
      <c r="A4269" s="194">
        <v>41276.381284722222</v>
      </c>
      <c r="B4269" s="195">
        <v>3011</v>
      </c>
      <c r="C4269" s="194"/>
      <c r="D4269" s="194"/>
      <c r="E4269" s="198"/>
      <c r="G4269" s="202"/>
      <c r="J4269" s="195">
        <v>17</v>
      </c>
      <c r="K4269" s="204" t="s">
        <v>11</v>
      </c>
      <c r="L4269" s="199">
        <v>1</v>
      </c>
      <c r="M4269" s="200">
        <v>14.8</v>
      </c>
      <c r="N4269" s="201">
        <v>-1</v>
      </c>
    </row>
    <row r="4270" spans="1:14">
      <c r="A4270" s="194">
        <v>41276.470671296294</v>
      </c>
      <c r="B4270" s="195">
        <v>3011</v>
      </c>
      <c r="C4270" s="194"/>
      <c r="D4270" s="194"/>
      <c r="E4270" s="198"/>
      <c r="G4270" s="202"/>
      <c r="J4270" s="195">
        <v>17</v>
      </c>
      <c r="K4270" s="204" t="s">
        <v>11</v>
      </c>
      <c r="L4270" s="199">
        <v>1</v>
      </c>
      <c r="M4270" s="200">
        <v>15.3</v>
      </c>
      <c r="N4270" s="201">
        <v>-1</v>
      </c>
    </row>
    <row r="4271" spans="1:14">
      <c r="A4271" s="194">
        <v>41276.449178240742</v>
      </c>
      <c r="B4271" s="195">
        <v>3011</v>
      </c>
      <c r="C4271" s="194"/>
      <c r="D4271" s="194"/>
      <c r="E4271" s="198"/>
      <c r="G4271" s="202"/>
      <c r="J4271" s="195">
        <v>17</v>
      </c>
      <c r="K4271" s="204" t="s">
        <v>11</v>
      </c>
      <c r="L4271" s="199">
        <v>1</v>
      </c>
      <c r="M4271" s="200">
        <v>16</v>
      </c>
      <c r="N4271" s="201">
        <v>-1</v>
      </c>
    </row>
    <row r="4272" spans="1:14">
      <c r="A4272" s="194">
        <v>41276.379907407405</v>
      </c>
      <c r="B4272" s="195">
        <v>3011</v>
      </c>
      <c r="C4272" s="194"/>
      <c r="D4272" s="194"/>
      <c r="E4272" s="198"/>
      <c r="G4272" s="202"/>
      <c r="J4272" s="195">
        <v>17</v>
      </c>
      <c r="K4272" s="204" t="s">
        <v>11</v>
      </c>
      <c r="L4272" s="199">
        <v>1</v>
      </c>
      <c r="M4272" s="200">
        <v>16</v>
      </c>
      <c r="N4272" s="201">
        <v>-1</v>
      </c>
    </row>
    <row r="4273" spans="1:14">
      <c r="A4273" s="194">
        <v>41276.470682870371</v>
      </c>
      <c r="B4273" s="195">
        <v>3011</v>
      </c>
      <c r="C4273" s="194"/>
      <c r="D4273" s="194"/>
      <c r="E4273" s="198"/>
      <c r="G4273" s="202"/>
      <c r="J4273" s="195">
        <v>17</v>
      </c>
      <c r="K4273" s="204" t="s">
        <v>11</v>
      </c>
      <c r="L4273" s="199">
        <v>1</v>
      </c>
      <c r="M4273" s="200">
        <v>16.2</v>
      </c>
      <c r="N4273" s="201">
        <v>-1</v>
      </c>
    </row>
    <row r="4274" spans="1:14">
      <c r="A4274" s="194">
        <v>41276.449212962965</v>
      </c>
      <c r="B4274" s="195">
        <v>3011</v>
      </c>
      <c r="C4274" s="194"/>
      <c r="D4274" s="194"/>
      <c r="E4274" s="198"/>
      <c r="G4274" s="202"/>
      <c r="J4274" s="195">
        <v>17</v>
      </c>
      <c r="K4274" s="204" t="s">
        <v>11</v>
      </c>
      <c r="L4274" s="199">
        <v>1</v>
      </c>
      <c r="M4274" s="200">
        <v>19.100000000000001</v>
      </c>
      <c r="N4274" s="201">
        <v>-1</v>
      </c>
    </row>
    <row r="4275" spans="1:14">
      <c r="A4275" s="194">
        <v>41276.468692129631</v>
      </c>
      <c r="B4275" s="195">
        <v>3011</v>
      </c>
      <c r="C4275" s="194"/>
      <c r="D4275" s="194"/>
      <c r="E4275" s="198"/>
      <c r="G4275" s="202"/>
      <c r="J4275" s="195">
        <v>17</v>
      </c>
      <c r="K4275" s="204" t="s">
        <v>11</v>
      </c>
      <c r="L4275" s="199">
        <v>1</v>
      </c>
      <c r="M4275" s="200">
        <v>23.9</v>
      </c>
      <c r="N4275" s="201">
        <v>-1</v>
      </c>
    </row>
    <row r="4276" spans="1:14">
      <c r="A4276" s="194">
        <v>41276.508981481478</v>
      </c>
      <c r="B4276" s="195">
        <v>3011</v>
      </c>
      <c r="C4276" s="194"/>
      <c r="D4276" s="194"/>
      <c r="E4276" s="198"/>
      <c r="G4276" s="202"/>
      <c r="J4276" s="195">
        <v>17</v>
      </c>
      <c r="K4276" s="204" t="s">
        <v>11</v>
      </c>
      <c r="L4276" s="199">
        <v>1</v>
      </c>
      <c r="M4276" s="200">
        <v>25.2</v>
      </c>
      <c r="N4276" s="201">
        <v>-1</v>
      </c>
    </row>
    <row r="4277" spans="1:14">
      <c r="A4277" s="194">
        <v>41276.381412037037</v>
      </c>
      <c r="B4277" s="195">
        <v>3011</v>
      </c>
      <c r="C4277" s="194"/>
      <c r="D4277" s="194"/>
      <c r="E4277" s="198"/>
      <c r="G4277" s="202"/>
      <c r="J4277" s="195">
        <v>17</v>
      </c>
      <c r="K4277" s="204" t="s">
        <v>11</v>
      </c>
      <c r="L4277" s="199">
        <v>1</v>
      </c>
      <c r="M4277" s="200">
        <v>25.9</v>
      </c>
      <c r="N4277" s="201">
        <v>-1</v>
      </c>
    </row>
    <row r="4278" spans="1:14">
      <c r="A4278" s="194">
        <v>41276.46875</v>
      </c>
      <c r="B4278" s="195">
        <v>3011</v>
      </c>
      <c r="C4278" s="194"/>
      <c r="D4278" s="194"/>
      <c r="E4278" s="198"/>
      <c r="G4278" s="202"/>
      <c r="J4278" s="195">
        <v>17</v>
      </c>
      <c r="K4278" s="204" t="s">
        <v>11</v>
      </c>
      <c r="L4278" s="199">
        <v>1</v>
      </c>
      <c r="M4278" s="200">
        <v>28.4</v>
      </c>
      <c r="N4278" s="201">
        <v>-1</v>
      </c>
    </row>
    <row r="4279" spans="1:14">
      <c r="A4279" s="194">
        <v>41276.38144675926</v>
      </c>
      <c r="B4279" s="195">
        <v>3011</v>
      </c>
      <c r="C4279" s="194"/>
      <c r="D4279" s="194"/>
      <c r="E4279" s="198"/>
      <c r="G4279" s="202"/>
      <c r="J4279" s="195">
        <v>17</v>
      </c>
      <c r="K4279" s="204" t="s">
        <v>11</v>
      </c>
      <c r="L4279" s="199">
        <v>1</v>
      </c>
      <c r="M4279" s="200">
        <v>28.9</v>
      </c>
      <c r="N4279" s="201">
        <v>-1</v>
      </c>
    </row>
    <row r="4280" spans="1:14">
      <c r="A4280" s="194">
        <v>41276.455937500003</v>
      </c>
      <c r="B4280" s="195">
        <v>3011</v>
      </c>
      <c r="C4280" s="194"/>
      <c r="D4280" s="194"/>
      <c r="E4280" s="198"/>
      <c r="G4280" s="202"/>
      <c r="J4280" s="195">
        <v>17</v>
      </c>
      <c r="K4280" s="204" t="s">
        <v>11</v>
      </c>
      <c r="L4280" s="199">
        <v>1</v>
      </c>
      <c r="M4280" s="200">
        <v>1</v>
      </c>
      <c r="N4280" s="201">
        <v>0</v>
      </c>
    </row>
    <row r="4281" spans="1:14">
      <c r="A4281" s="194">
        <v>41276.514965277776</v>
      </c>
      <c r="B4281" s="195">
        <v>3011</v>
      </c>
      <c r="C4281" s="194"/>
      <c r="D4281" s="194"/>
      <c r="E4281" s="198"/>
      <c r="G4281" s="202"/>
      <c r="J4281" s="195">
        <v>17</v>
      </c>
      <c r="K4281" s="204" t="s">
        <v>11</v>
      </c>
      <c r="L4281" s="199">
        <v>1</v>
      </c>
      <c r="M4281" s="200">
        <v>1.1000000000000001</v>
      </c>
      <c r="N4281" s="201">
        <v>0</v>
      </c>
    </row>
    <row r="4282" spans="1:14">
      <c r="A4282" s="194">
        <v>41276.455937500003</v>
      </c>
      <c r="B4282" s="195">
        <v>3011</v>
      </c>
      <c r="C4282" s="194"/>
      <c r="D4282" s="194"/>
      <c r="E4282" s="198"/>
      <c r="G4282" s="202"/>
      <c r="J4282" s="195">
        <v>17</v>
      </c>
      <c r="K4282" s="204" t="s">
        <v>11</v>
      </c>
      <c r="L4282" s="199">
        <v>1</v>
      </c>
      <c r="M4282" s="200">
        <v>1.1000000000000001</v>
      </c>
      <c r="N4282" s="201">
        <v>0</v>
      </c>
    </row>
    <row r="4283" spans="1:14">
      <c r="A4283" s="194">
        <v>41276.519837962966</v>
      </c>
      <c r="B4283" s="195">
        <v>3011</v>
      </c>
      <c r="C4283" s="194"/>
      <c r="D4283" s="194"/>
      <c r="E4283" s="198"/>
      <c r="G4283" s="202"/>
      <c r="J4283" s="195">
        <v>17</v>
      </c>
      <c r="K4283" s="204" t="s">
        <v>11</v>
      </c>
      <c r="L4283" s="199">
        <v>1</v>
      </c>
      <c r="M4283" s="200">
        <v>1.7</v>
      </c>
      <c r="N4283" s="201">
        <v>0</v>
      </c>
    </row>
    <row r="4284" spans="1:14">
      <c r="A4284" s="194">
        <v>41276.455254629633</v>
      </c>
      <c r="B4284" s="195">
        <v>3011</v>
      </c>
      <c r="C4284" s="194"/>
      <c r="D4284" s="194"/>
      <c r="E4284" s="198"/>
      <c r="G4284" s="202"/>
      <c r="J4284" s="195">
        <v>17</v>
      </c>
      <c r="K4284" s="204" t="s">
        <v>11</v>
      </c>
      <c r="L4284" s="199">
        <v>1</v>
      </c>
      <c r="M4284" s="200">
        <v>1.9</v>
      </c>
      <c r="N4284" s="201">
        <v>0</v>
      </c>
    </row>
    <row r="4285" spans="1:14">
      <c r="A4285" s="194">
        <v>41276.455254629633</v>
      </c>
      <c r="B4285" s="195">
        <v>3011</v>
      </c>
      <c r="C4285" s="194"/>
      <c r="D4285" s="194"/>
      <c r="E4285" s="198"/>
      <c r="G4285" s="202"/>
      <c r="J4285" s="195">
        <v>17</v>
      </c>
      <c r="K4285" s="204" t="s">
        <v>11</v>
      </c>
      <c r="L4285" s="199">
        <v>1</v>
      </c>
      <c r="M4285" s="200">
        <v>2</v>
      </c>
      <c r="N4285" s="201">
        <v>0</v>
      </c>
    </row>
    <row r="4286" spans="1:14">
      <c r="A4286" s="194">
        <v>41276.478171296294</v>
      </c>
      <c r="B4286" s="195">
        <v>3011</v>
      </c>
      <c r="C4286" s="194"/>
      <c r="D4286" s="194"/>
      <c r="E4286" s="198"/>
      <c r="G4286" s="202"/>
      <c r="J4286" s="195">
        <v>17</v>
      </c>
      <c r="K4286" s="204" t="s">
        <v>11</v>
      </c>
      <c r="L4286" s="199">
        <v>1</v>
      </c>
      <c r="M4286" s="200">
        <v>2.2000000000000002</v>
      </c>
      <c r="N4286" s="201">
        <v>0</v>
      </c>
    </row>
    <row r="4287" spans="1:14">
      <c r="A4287" s="194">
        <v>41276.415879629632</v>
      </c>
      <c r="B4287" s="195">
        <v>3011</v>
      </c>
      <c r="C4287" s="194"/>
      <c r="D4287" s="194"/>
      <c r="E4287" s="198"/>
      <c r="G4287" s="202"/>
      <c r="J4287" s="195">
        <v>17</v>
      </c>
      <c r="K4287" s="204" t="s">
        <v>11</v>
      </c>
      <c r="L4287" s="199">
        <v>1</v>
      </c>
      <c r="M4287" s="200">
        <v>3.1</v>
      </c>
      <c r="N4287" s="201">
        <v>0</v>
      </c>
    </row>
    <row r="4288" spans="1:14">
      <c r="A4288" s="194">
        <v>41276.415879629632</v>
      </c>
      <c r="B4288" s="195">
        <v>3011</v>
      </c>
      <c r="C4288" s="194"/>
      <c r="D4288" s="194"/>
      <c r="E4288" s="198"/>
      <c r="G4288" s="202"/>
      <c r="J4288" s="195">
        <v>17</v>
      </c>
      <c r="K4288" s="204" t="s">
        <v>11</v>
      </c>
      <c r="L4288" s="199">
        <v>1</v>
      </c>
      <c r="M4288" s="200">
        <v>3.2</v>
      </c>
      <c r="N4288" s="201">
        <v>0</v>
      </c>
    </row>
    <row r="4289" spans="1:14">
      <c r="A4289" s="194">
        <v>41276.415879629632</v>
      </c>
      <c r="B4289" s="195">
        <v>3011</v>
      </c>
      <c r="C4289" s="194"/>
      <c r="D4289" s="194"/>
      <c r="E4289" s="198"/>
      <c r="G4289" s="202"/>
      <c r="J4289" s="195">
        <v>17</v>
      </c>
      <c r="K4289" s="204" t="s">
        <v>11</v>
      </c>
      <c r="L4289" s="199">
        <v>1</v>
      </c>
      <c r="M4289" s="200">
        <v>3.4</v>
      </c>
      <c r="N4289" s="201">
        <v>0</v>
      </c>
    </row>
    <row r="4290" spans="1:14">
      <c r="A4290" s="194">
        <v>41276.413807870369</v>
      </c>
      <c r="B4290" s="195">
        <v>3011</v>
      </c>
      <c r="C4290" s="194"/>
      <c r="D4290" s="194"/>
      <c r="E4290" s="198"/>
      <c r="G4290" s="202"/>
      <c r="J4290" s="195">
        <v>17</v>
      </c>
      <c r="K4290" s="204" t="s">
        <v>11</v>
      </c>
      <c r="L4290" s="199">
        <v>1</v>
      </c>
      <c r="M4290" s="200">
        <v>4.5</v>
      </c>
      <c r="N4290" s="201">
        <v>0</v>
      </c>
    </row>
    <row r="4291" spans="1:14">
      <c r="A4291" s="194">
        <v>41276.413807870369</v>
      </c>
      <c r="B4291" s="195">
        <v>3011</v>
      </c>
      <c r="C4291" s="194"/>
      <c r="D4291" s="194"/>
      <c r="E4291" s="198"/>
      <c r="G4291" s="202"/>
      <c r="J4291" s="195">
        <v>17</v>
      </c>
      <c r="K4291" s="204" t="s">
        <v>11</v>
      </c>
      <c r="L4291" s="199">
        <v>1</v>
      </c>
      <c r="M4291" s="200">
        <v>4.8</v>
      </c>
      <c r="N4291" s="201">
        <v>0</v>
      </c>
    </row>
    <row r="4292" spans="1:14">
      <c r="A4292" s="194">
        <v>41276.397164351853</v>
      </c>
      <c r="B4292" s="195">
        <v>3011</v>
      </c>
      <c r="C4292" s="194"/>
      <c r="D4292" s="194"/>
      <c r="E4292" s="198"/>
      <c r="G4292" s="202"/>
      <c r="J4292" s="195">
        <v>17</v>
      </c>
      <c r="K4292" s="204" t="s">
        <v>11</v>
      </c>
      <c r="L4292" s="199">
        <v>1</v>
      </c>
      <c r="M4292" s="200">
        <v>6.1</v>
      </c>
      <c r="N4292" s="201">
        <v>0</v>
      </c>
    </row>
    <row r="4293" spans="1:14">
      <c r="A4293" s="194">
        <v>41276.470590277779</v>
      </c>
      <c r="B4293" s="195">
        <v>3011</v>
      </c>
      <c r="C4293" s="194"/>
      <c r="D4293" s="194"/>
      <c r="E4293" s="198"/>
      <c r="G4293" s="202"/>
      <c r="J4293" s="195">
        <v>17</v>
      </c>
      <c r="K4293" s="204" t="s">
        <v>11</v>
      </c>
      <c r="L4293" s="199">
        <v>1</v>
      </c>
      <c r="M4293" s="200">
        <v>7.4</v>
      </c>
      <c r="N4293" s="201">
        <v>0</v>
      </c>
    </row>
    <row r="4294" spans="1:14">
      <c r="A4294" s="194">
        <v>41276.470590277779</v>
      </c>
      <c r="B4294" s="195">
        <v>3011</v>
      </c>
      <c r="C4294" s="194"/>
      <c r="D4294" s="194"/>
      <c r="E4294" s="198"/>
      <c r="G4294" s="202"/>
      <c r="J4294" s="195">
        <v>17</v>
      </c>
      <c r="K4294" s="204" t="s">
        <v>11</v>
      </c>
      <c r="L4294" s="199">
        <v>1</v>
      </c>
      <c r="M4294" s="200">
        <v>7.5</v>
      </c>
      <c r="N4294" s="201">
        <v>0</v>
      </c>
    </row>
    <row r="4295" spans="1:14">
      <c r="A4295" s="194">
        <v>41276.451168981483</v>
      </c>
      <c r="B4295" s="195">
        <v>3011</v>
      </c>
      <c r="C4295" s="194"/>
      <c r="D4295" s="194"/>
      <c r="E4295" s="198"/>
      <c r="G4295" s="202"/>
      <c r="J4295" s="195">
        <v>17</v>
      </c>
      <c r="K4295" s="204" t="s">
        <v>11</v>
      </c>
      <c r="L4295" s="199">
        <v>1</v>
      </c>
      <c r="M4295" s="200">
        <v>8.5</v>
      </c>
      <c r="N4295" s="201">
        <v>0</v>
      </c>
    </row>
    <row r="4296" spans="1:14">
      <c r="A4296" s="194">
        <v>41276.444930555554</v>
      </c>
      <c r="B4296" s="195">
        <v>3011</v>
      </c>
      <c r="C4296" s="194"/>
      <c r="D4296" s="194"/>
      <c r="E4296" s="198"/>
      <c r="G4296" s="202"/>
      <c r="J4296" s="195">
        <v>17</v>
      </c>
      <c r="K4296" s="204" t="s">
        <v>11</v>
      </c>
      <c r="L4296" s="199">
        <v>1</v>
      </c>
      <c r="M4296" s="200">
        <v>8.6999999999999993</v>
      </c>
      <c r="N4296" s="201">
        <v>0</v>
      </c>
    </row>
    <row r="4297" spans="1:14">
      <c r="A4297" s="194">
        <v>41276.444930555554</v>
      </c>
      <c r="B4297" s="195">
        <v>3011</v>
      </c>
      <c r="C4297" s="194"/>
      <c r="D4297" s="194"/>
      <c r="E4297" s="198"/>
      <c r="G4297" s="202"/>
      <c r="J4297" s="195">
        <v>17</v>
      </c>
      <c r="K4297" s="204" t="s">
        <v>11</v>
      </c>
      <c r="L4297" s="199">
        <v>1</v>
      </c>
      <c r="M4297" s="200">
        <v>9</v>
      </c>
      <c r="N4297" s="201">
        <v>0</v>
      </c>
    </row>
    <row r="4298" spans="1:14">
      <c r="A4298" s="194">
        <v>41276.379884259259</v>
      </c>
      <c r="B4298" s="195">
        <v>3011</v>
      </c>
      <c r="C4298" s="194"/>
      <c r="D4298" s="194"/>
      <c r="E4298" s="198"/>
      <c r="G4298" s="202"/>
      <c r="J4298" s="195">
        <v>17</v>
      </c>
      <c r="K4298" s="204" t="s">
        <v>11</v>
      </c>
      <c r="L4298" s="199">
        <v>1</v>
      </c>
      <c r="M4298" s="200">
        <v>13.5</v>
      </c>
      <c r="N4298" s="201">
        <v>0</v>
      </c>
    </row>
    <row r="4299" spans="1:14">
      <c r="A4299" s="194">
        <v>41276.479710648149</v>
      </c>
      <c r="B4299" s="195">
        <v>3011</v>
      </c>
      <c r="C4299" s="194"/>
      <c r="D4299" s="194"/>
      <c r="E4299" s="198"/>
      <c r="G4299" s="202"/>
      <c r="J4299" s="195">
        <v>17</v>
      </c>
      <c r="K4299" s="204" t="s">
        <v>11</v>
      </c>
      <c r="L4299" s="199">
        <v>1</v>
      </c>
      <c r="M4299" s="200">
        <v>15.5</v>
      </c>
      <c r="N4299" s="201">
        <v>0</v>
      </c>
    </row>
    <row r="4300" spans="1:14">
      <c r="A4300" s="194">
        <v>41276.379907407405</v>
      </c>
      <c r="B4300" s="195">
        <v>3011</v>
      </c>
      <c r="C4300" s="194"/>
      <c r="D4300" s="194"/>
      <c r="E4300" s="198"/>
      <c r="G4300" s="202"/>
      <c r="J4300" s="195">
        <v>17</v>
      </c>
      <c r="K4300" s="204" t="s">
        <v>11</v>
      </c>
      <c r="L4300" s="199">
        <v>1</v>
      </c>
      <c r="M4300" s="200">
        <v>15.8</v>
      </c>
      <c r="N4300" s="201">
        <v>0</v>
      </c>
    </row>
    <row r="4301" spans="1:14">
      <c r="A4301" s="194">
        <v>41276.379907407405</v>
      </c>
      <c r="B4301" s="195">
        <v>3011</v>
      </c>
      <c r="C4301" s="194"/>
      <c r="D4301" s="194"/>
      <c r="E4301" s="198"/>
      <c r="G4301" s="202"/>
      <c r="J4301" s="195">
        <v>17</v>
      </c>
      <c r="K4301" s="204" t="s">
        <v>11</v>
      </c>
      <c r="L4301" s="199">
        <v>1</v>
      </c>
      <c r="M4301" s="200">
        <v>15.8</v>
      </c>
      <c r="N4301" s="201">
        <v>0</v>
      </c>
    </row>
    <row r="4302" spans="1:14">
      <c r="A4302" s="194">
        <v>41276.449178240742</v>
      </c>
      <c r="B4302" s="195">
        <v>3011</v>
      </c>
      <c r="C4302" s="194"/>
      <c r="D4302" s="194"/>
      <c r="E4302" s="198"/>
      <c r="G4302" s="202"/>
      <c r="J4302" s="195">
        <v>17</v>
      </c>
      <c r="K4302" s="204" t="s">
        <v>11</v>
      </c>
      <c r="L4302" s="199">
        <v>1</v>
      </c>
      <c r="M4302" s="200">
        <v>16.8</v>
      </c>
      <c r="N4302" s="201">
        <v>0</v>
      </c>
    </row>
    <row r="4303" spans="1:14">
      <c r="A4303" s="194">
        <v>41276.470706018517</v>
      </c>
      <c r="B4303" s="195">
        <v>3011</v>
      </c>
      <c r="C4303" s="194"/>
      <c r="D4303" s="194"/>
      <c r="E4303" s="198"/>
      <c r="G4303" s="202"/>
      <c r="J4303" s="195">
        <v>17</v>
      </c>
      <c r="K4303" s="204" t="s">
        <v>11</v>
      </c>
      <c r="L4303" s="199">
        <v>1</v>
      </c>
      <c r="M4303" s="200">
        <v>18.399999999999999</v>
      </c>
      <c r="N4303" s="201">
        <v>0</v>
      </c>
    </row>
    <row r="4304" spans="1:14">
      <c r="A4304" s="194">
        <v>41276.470706018517</v>
      </c>
      <c r="B4304" s="195">
        <v>3011</v>
      </c>
      <c r="C4304" s="194"/>
      <c r="D4304" s="194"/>
      <c r="E4304" s="198"/>
      <c r="G4304" s="202"/>
      <c r="J4304" s="195">
        <v>17</v>
      </c>
      <c r="K4304" s="204" t="s">
        <v>11</v>
      </c>
      <c r="L4304" s="199">
        <v>1</v>
      </c>
      <c r="M4304" s="200">
        <v>18.600000000000001</v>
      </c>
      <c r="N4304" s="201">
        <v>0</v>
      </c>
    </row>
    <row r="4305" spans="1:14">
      <c r="A4305" s="194">
        <v>41276.470706018517</v>
      </c>
      <c r="B4305" s="195">
        <v>3011</v>
      </c>
      <c r="C4305" s="194"/>
      <c r="D4305" s="194"/>
      <c r="E4305" s="198"/>
      <c r="G4305" s="202"/>
      <c r="J4305" s="195">
        <v>17</v>
      </c>
      <c r="K4305" s="204" t="s">
        <v>11</v>
      </c>
      <c r="L4305" s="199">
        <v>1</v>
      </c>
      <c r="M4305" s="200">
        <v>18.8</v>
      </c>
      <c r="N4305" s="201">
        <v>0</v>
      </c>
    </row>
    <row r="4306" spans="1:14">
      <c r="A4306" s="194">
        <v>41276.449212962965</v>
      </c>
      <c r="B4306" s="195">
        <v>3011</v>
      </c>
      <c r="C4306" s="194"/>
      <c r="D4306" s="194"/>
      <c r="E4306" s="198"/>
      <c r="G4306" s="202"/>
      <c r="J4306" s="195">
        <v>17</v>
      </c>
      <c r="K4306" s="204" t="s">
        <v>11</v>
      </c>
      <c r="L4306" s="199">
        <v>1</v>
      </c>
      <c r="M4306" s="200">
        <v>19.7</v>
      </c>
      <c r="N4306" s="201">
        <v>0</v>
      </c>
    </row>
    <row r="4307" spans="1:14">
      <c r="A4307" s="194">
        <v>41276.508981481478</v>
      </c>
      <c r="B4307" s="195">
        <v>3011</v>
      </c>
      <c r="C4307" s="194"/>
      <c r="D4307" s="194"/>
      <c r="E4307" s="198"/>
      <c r="G4307" s="202"/>
      <c r="J4307" s="195">
        <v>17</v>
      </c>
      <c r="K4307" s="204" t="s">
        <v>11</v>
      </c>
      <c r="L4307" s="199">
        <v>1</v>
      </c>
      <c r="M4307" s="200">
        <v>24.9</v>
      </c>
      <c r="N4307" s="201">
        <v>0</v>
      </c>
    </row>
    <row r="4308" spans="1:14">
      <c r="A4308" s="194">
        <v>41276.508981481478</v>
      </c>
      <c r="B4308" s="195">
        <v>3011</v>
      </c>
      <c r="C4308" s="194"/>
      <c r="D4308" s="194"/>
      <c r="E4308" s="198"/>
      <c r="G4308" s="202"/>
      <c r="J4308" s="195">
        <v>17</v>
      </c>
      <c r="K4308" s="204" t="s">
        <v>11</v>
      </c>
      <c r="L4308" s="199">
        <v>1</v>
      </c>
      <c r="M4308" s="200">
        <v>25</v>
      </c>
      <c r="N4308" s="201">
        <v>0</v>
      </c>
    </row>
    <row r="4309" spans="1:14">
      <c r="A4309" s="194">
        <v>41276.509004629632</v>
      </c>
      <c r="B4309" s="195">
        <v>3011</v>
      </c>
      <c r="C4309" s="194"/>
      <c r="D4309" s="194"/>
      <c r="E4309" s="198"/>
      <c r="G4309" s="202"/>
      <c r="J4309" s="195">
        <v>17</v>
      </c>
      <c r="K4309" s="204" t="s">
        <v>11</v>
      </c>
      <c r="L4309" s="199">
        <v>1</v>
      </c>
      <c r="M4309" s="200">
        <v>25.9</v>
      </c>
      <c r="N4309" s="201">
        <v>0</v>
      </c>
    </row>
    <row r="4310" spans="1:14">
      <c r="A4310" s="194">
        <v>41276.503437500003</v>
      </c>
      <c r="B4310" s="195">
        <v>3011</v>
      </c>
      <c r="C4310" s="194"/>
      <c r="D4310" s="194"/>
      <c r="E4310" s="198"/>
      <c r="G4310" s="202"/>
      <c r="J4310" s="195">
        <v>17</v>
      </c>
      <c r="K4310" s="204" t="s">
        <v>11</v>
      </c>
      <c r="L4310" s="199">
        <v>1</v>
      </c>
      <c r="M4310" s="200">
        <v>25.9</v>
      </c>
      <c r="N4310" s="201">
        <v>0</v>
      </c>
    </row>
    <row r="4311" spans="1:14">
      <c r="A4311" s="194">
        <v>41276.509004629632</v>
      </c>
      <c r="B4311" s="195">
        <v>3011</v>
      </c>
      <c r="C4311" s="194"/>
      <c r="D4311" s="194"/>
      <c r="E4311" s="198"/>
      <c r="G4311" s="202"/>
      <c r="J4311" s="195">
        <v>17</v>
      </c>
      <c r="K4311" s="204" t="s">
        <v>11</v>
      </c>
      <c r="L4311" s="199">
        <v>1</v>
      </c>
      <c r="M4311" s="200">
        <v>26</v>
      </c>
      <c r="N4311" s="201">
        <v>0</v>
      </c>
    </row>
    <row r="4312" spans="1:14">
      <c r="A4312" s="194">
        <v>41293.494837962964</v>
      </c>
      <c r="B4312" s="195">
        <v>3011</v>
      </c>
      <c r="C4312" s="194"/>
      <c r="D4312" s="194"/>
      <c r="E4312" s="198"/>
      <c r="G4312" s="202"/>
      <c r="J4312" s="195">
        <v>17</v>
      </c>
      <c r="K4312" s="204" t="s">
        <v>11</v>
      </c>
      <c r="L4312" s="199">
        <v>3</v>
      </c>
      <c r="M4312" s="200">
        <v>0.3</v>
      </c>
      <c r="N4312" s="201">
        <v>15</v>
      </c>
    </row>
    <row r="4313" spans="1:14">
      <c r="A4313" s="194">
        <v>41285.031678240739</v>
      </c>
      <c r="B4313" s="195">
        <v>3011</v>
      </c>
      <c r="C4313" s="194"/>
      <c r="D4313" s="194"/>
      <c r="E4313" s="198"/>
      <c r="G4313" s="202"/>
      <c r="J4313" s="195">
        <v>17</v>
      </c>
      <c r="K4313" s="204" t="s">
        <v>11</v>
      </c>
      <c r="L4313" s="199">
        <v>2</v>
      </c>
      <c r="M4313" s="200">
        <v>4.5999999999999996</v>
      </c>
      <c r="N4313" s="201">
        <v>15</v>
      </c>
    </row>
    <row r="4314" spans="1:14">
      <c r="A4314" s="194">
        <v>41284.358391203707</v>
      </c>
      <c r="B4314" s="195">
        <v>3011</v>
      </c>
      <c r="C4314" s="194"/>
      <c r="D4314" s="194"/>
      <c r="E4314" s="198"/>
      <c r="G4314" s="202"/>
      <c r="J4314" s="195">
        <v>17</v>
      </c>
      <c r="K4314" s="204" t="s">
        <v>11</v>
      </c>
      <c r="L4314" s="199">
        <v>3</v>
      </c>
      <c r="M4314" s="200">
        <v>15.7</v>
      </c>
      <c r="N4314" s="201">
        <v>15</v>
      </c>
    </row>
    <row r="4315" spans="1:14">
      <c r="A4315" s="194">
        <v>41304.38826388889</v>
      </c>
      <c r="B4315" s="195">
        <v>3011</v>
      </c>
      <c r="C4315" s="194"/>
      <c r="D4315" s="194"/>
      <c r="E4315" s="198"/>
      <c r="G4315" s="202"/>
      <c r="J4315" s="195">
        <v>17</v>
      </c>
      <c r="K4315" s="204" t="s">
        <v>11</v>
      </c>
      <c r="L4315" s="199">
        <v>3</v>
      </c>
      <c r="M4315" s="200">
        <v>17</v>
      </c>
      <c r="N4315" s="201">
        <v>15</v>
      </c>
    </row>
    <row r="4316" spans="1:14">
      <c r="A4316" s="194">
        <v>41291.565648148149</v>
      </c>
      <c r="B4316" s="195">
        <v>3011</v>
      </c>
      <c r="C4316" s="194"/>
      <c r="D4316" s="194"/>
      <c r="E4316" s="198"/>
      <c r="G4316" s="202"/>
      <c r="J4316" s="195">
        <v>17</v>
      </c>
      <c r="K4316" s="204" t="s">
        <v>11</v>
      </c>
      <c r="L4316" s="199">
        <v>3</v>
      </c>
      <c r="M4316" s="200">
        <v>0.5</v>
      </c>
      <c r="N4316" s="201">
        <v>16</v>
      </c>
    </row>
    <row r="4317" spans="1:14">
      <c r="A4317" s="194">
        <v>41283.667685185188</v>
      </c>
      <c r="B4317" s="195">
        <v>3011</v>
      </c>
      <c r="C4317" s="194"/>
      <c r="D4317" s="194"/>
      <c r="E4317" s="198"/>
      <c r="G4317" s="202"/>
      <c r="J4317" s="195">
        <v>17</v>
      </c>
      <c r="K4317" s="204" t="s">
        <v>11</v>
      </c>
      <c r="L4317" s="199">
        <v>2</v>
      </c>
      <c r="M4317" s="200">
        <v>3.9</v>
      </c>
      <c r="N4317" s="201">
        <v>16</v>
      </c>
    </row>
    <row r="4318" spans="1:14">
      <c r="A4318" s="194">
        <v>41301.093599537038</v>
      </c>
      <c r="B4318" s="195">
        <v>3011</v>
      </c>
      <c r="C4318" s="194"/>
      <c r="D4318" s="194"/>
      <c r="E4318" s="198"/>
      <c r="G4318" s="202"/>
      <c r="J4318" s="195">
        <v>17</v>
      </c>
      <c r="K4318" s="204" t="s">
        <v>11</v>
      </c>
      <c r="L4318" s="199">
        <v>3</v>
      </c>
      <c r="M4318" s="200">
        <v>14.8</v>
      </c>
      <c r="N4318" s="201">
        <v>16</v>
      </c>
    </row>
    <row r="4319" spans="1:14">
      <c r="A4319" s="194">
        <v>41289.622199074074</v>
      </c>
      <c r="B4319" s="195">
        <v>3011</v>
      </c>
      <c r="C4319" s="194"/>
      <c r="D4319" s="194"/>
      <c r="E4319" s="198"/>
      <c r="G4319" s="202"/>
      <c r="J4319" s="195">
        <v>17</v>
      </c>
      <c r="K4319" s="204" t="s">
        <v>11</v>
      </c>
      <c r="L4319" s="199">
        <v>3</v>
      </c>
      <c r="M4319" s="200">
        <v>27.1</v>
      </c>
      <c r="N4319" s="201">
        <v>16</v>
      </c>
    </row>
    <row r="4320" spans="1:14">
      <c r="A4320" s="194">
        <v>41293.076932870368</v>
      </c>
      <c r="B4320" s="195">
        <v>3011</v>
      </c>
      <c r="C4320" s="194"/>
      <c r="D4320" s="194"/>
      <c r="E4320" s="198"/>
      <c r="G4320" s="202"/>
      <c r="J4320" s="195">
        <v>17</v>
      </c>
      <c r="K4320" s="204" t="s">
        <v>11</v>
      </c>
      <c r="L4320" s="199">
        <v>3</v>
      </c>
      <c r="M4320" s="200">
        <v>14.7</v>
      </c>
      <c r="N4320" s="201">
        <v>17</v>
      </c>
    </row>
    <row r="4321" spans="1:14">
      <c r="A4321" s="194">
        <v>41285.962500000001</v>
      </c>
      <c r="B4321" s="195">
        <v>3011</v>
      </c>
      <c r="C4321" s="194"/>
      <c r="D4321" s="194"/>
      <c r="E4321" s="198"/>
      <c r="G4321" s="202"/>
      <c r="J4321" s="195">
        <v>17</v>
      </c>
      <c r="K4321" s="204" t="s">
        <v>11</v>
      </c>
      <c r="L4321" s="199">
        <v>2</v>
      </c>
      <c r="M4321" s="200">
        <v>27.4</v>
      </c>
      <c r="N4321" s="201">
        <v>17</v>
      </c>
    </row>
    <row r="4322" spans="1:14">
      <c r="A4322" s="194">
        <v>41297.270324074074</v>
      </c>
      <c r="B4322" s="195">
        <v>3011</v>
      </c>
      <c r="C4322" s="194"/>
      <c r="D4322" s="194"/>
      <c r="E4322" s="198"/>
      <c r="G4322" s="202"/>
      <c r="J4322" s="195">
        <v>17</v>
      </c>
      <c r="K4322" s="204" t="s">
        <v>11</v>
      </c>
      <c r="L4322" s="199">
        <v>3</v>
      </c>
      <c r="M4322" s="200">
        <v>28.4</v>
      </c>
      <c r="N4322" s="201">
        <v>18</v>
      </c>
    </row>
    <row r="4323" spans="1:14">
      <c r="A4323" s="194">
        <v>41293.483738425923</v>
      </c>
      <c r="B4323" s="195">
        <v>3011</v>
      </c>
      <c r="C4323" s="194"/>
      <c r="D4323" s="194"/>
      <c r="E4323" s="198"/>
      <c r="G4323" s="202"/>
      <c r="J4323" s="195">
        <v>17</v>
      </c>
      <c r="K4323" s="204" t="s">
        <v>11</v>
      </c>
      <c r="L4323" s="199">
        <v>2</v>
      </c>
      <c r="M4323" s="200">
        <v>1.2</v>
      </c>
      <c r="N4323" s="201">
        <v>19</v>
      </c>
    </row>
    <row r="4324" spans="1:14">
      <c r="A4324" s="194">
        <v>41276.529560185183</v>
      </c>
      <c r="B4324" s="195">
        <v>3011</v>
      </c>
      <c r="C4324" s="194"/>
      <c r="D4324" s="194"/>
      <c r="E4324" s="198"/>
      <c r="G4324" s="202"/>
      <c r="J4324" s="195">
        <v>17</v>
      </c>
      <c r="K4324" s="204" t="s">
        <v>11</v>
      </c>
      <c r="L4324" s="199">
        <v>2</v>
      </c>
      <c r="M4324" s="200">
        <v>1.8</v>
      </c>
      <c r="N4324" s="201">
        <v>19</v>
      </c>
    </row>
    <row r="4325" spans="1:14">
      <c r="A4325" s="194">
        <v>41293.824699074074</v>
      </c>
      <c r="B4325" s="195">
        <v>3011</v>
      </c>
      <c r="C4325" s="194"/>
      <c r="D4325" s="194"/>
      <c r="E4325" s="198"/>
      <c r="G4325" s="202"/>
      <c r="J4325" s="195">
        <v>17</v>
      </c>
      <c r="K4325" s="204" t="s">
        <v>11</v>
      </c>
      <c r="L4325" s="199">
        <v>2</v>
      </c>
      <c r="M4325" s="200">
        <v>2.6</v>
      </c>
      <c r="N4325" s="201">
        <v>19</v>
      </c>
    </row>
    <row r="4326" spans="1:14">
      <c r="A4326" s="194">
        <v>41299.801134259258</v>
      </c>
      <c r="B4326" s="195">
        <v>3011</v>
      </c>
      <c r="C4326" s="194"/>
      <c r="D4326" s="194"/>
      <c r="E4326" s="198"/>
      <c r="G4326" s="202"/>
      <c r="J4326" s="195">
        <v>17</v>
      </c>
      <c r="K4326" s="204" t="s">
        <v>11</v>
      </c>
      <c r="L4326" s="199">
        <v>3</v>
      </c>
      <c r="M4326" s="200">
        <v>5.7</v>
      </c>
      <c r="N4326" s="201">
        <v>19</v>
      </c>
    </row>
    <row r="4327" spans="1:14">
      <c r="A4327" s="194">
        <v>41305.277731481481</v>
      </c>
      <c r="B4327" s="195">
        <v>3011</v>
      </c>
      <c r="C4327" s="194"/>
      <c r="D4327" s="194"/>
      <c r="E4327" s="198"/>
      <c r="G4327" s="202"/>
      <c r="J4327" s="195">
        <v>17</v>
      </c>
      <c r="K4327" s="204" t="s">
        <v>11</v>
      </c>
      <c r="L4327" s="199">
        <v>3</v>
      </c>
      <c r="M4327" s="200">
        <v>8.1999999999999993</v>
      </c>
      <c r="N4327" s="201">
        <v>19</v>
      </c>
    </row>
    <row r="4328" spans="1:14">
      <c r="A4328" s="194">
        <v>41304.051342592589</v>
      </c>
      <c r="B4328" s="195">
        <v>3011</v>
      </c>
      <c r="C4328" s="194"/>
      <c r="D4328" s="194"/>
      <c r="E4328" s="198"/>
      <c r="G4328" s="202"/>
      <c r="J4328" s="195">
        <v>17</v>
      </c>
      <c r="K4328" s="204" t="s">
        <v>11</v>
      </c>
      <c r="L4328" s="199">
        <v>3</v>
      </c>
      <c r="M4328" s="200">
        <v>24.7</v>
      </c>
      <c r="N4328" s="201">
        <v>19</v>
      </c>
    </row>
    <row r="4329" spans="1:14">
      <c r="A4329" s="194">
        <v>41289.487164351849</v>
      </c>
      <c r="B4329" s="195">
        <v>3011</v>
      </c>
      <c r="C4329" s="194"/>
      <c r="D4329" s="194"/>
      <c r="E4329" s="198"/>
      <c r="G4329" s="202"/>
      <c r="J4329" s="195">
        <v>17</v>
      </c>
      <c r="K4329" s="204" t="s">
        <v>11</v>
      </c>
      <c r="L4329" s="199">
        <v>2</v>
      </c>
      <c r="M4329" s="200">
        <v>0.2</v>
      </c>
      <c r="N4329" s="201">
        <v>21</v>
      </c>
    </row>
    <row r="4330" spans="1:14">
      <c r="A4330" s="194">
        <v>41288.543425925927</v>
      </c>
      <c r="B4330" s="195">
        <v>3011</v>
      </c>
      <c r="C4330" s="194"/>
      <c r="D4330" s="194"/>
      <c r="E4330" s="198"/>
      <c r="G4330" s="202"/>
      <c r="J4330" s="195">
        <v>17</v>
      </c>
      <c r="K4330" s="204" t="s">
        <v>11</v>
      </c>
      <c r="L4330" s="199">
        <v>2</v>
      </c>
      <c r="M4330" s="200">
        <v>1023.9</v>
      </c>
      <c r="N4330" s="201">
        <v>21</v>
      </c>
    </row>
    <row r="4331" spans="1:14">
      <c r="A4331" s="194">
        <v>41276.508136574077</v>
      </c>
      <c r="B4331" s="195">
        <v>3011</v>
      </c>
      <c r="C4331" s="194"/>
      <c r="D4331" s="194"/>
      <c r="E4331" s="198"/>
      <c r="G4331" s="202"/>
      <c r="J4331" s="195">
        <v>17</v>
      </c>
      <c r="K4331" s="204" t="s">
        <v>11</v>
      </c>
      <c r="L4331" s="199">
        <v>3</v>
      </c>
      <c r="M4331" s="200">
        <v>11.5</v>
      </c>
      <c r="N4331" s="201">
        <v>22</v>
      </c>
    </row>
    <row r="4332" spans="1:14">
      <c r="A4332" s="194">
        <v>41276.477453703701</v>
      </c>
      <c r="B4332" s="195">
        <v>3011</v>
      </c>
      <c r="C4332" s="194"/>
      <c r="D4332" s="194"/>
      <c r="E4332" s="198"/>
      <c r="G4332" s="202"/>
      <c r="J4332" s="195">
        <v>17</v>
      </c>
      <c r="K4332" s="204" t="s">
        <v>11</v>
      </c>
      <c r="L4332" s="199">
        <v>2</v>
      </c>
      <c r="M4332" s="200">
        <v>0.4</v>
      </c>
      <c r="N4332" s="201">
        <v>24</v>
      </c>
    </row>
    <row r="4333" spans="1:14">
      <c r="A4333" s="194">
        <v>41290.472592592596</v>
      </c>
      <c r="B4333" s="195">
        <v>3011</v>
      </c>
      <c r="C4333" s="194"/>
      <c r="D4333" s="194"/>
      <c r="E4333" s="198"/>
      <c r="G4333" s="202"/>
      <c r="J4333" s="195">
        <v>17</v>
      </c>
      <c r="K4333" s="204" t="s">
        <v>11</v>
      </c>
      <c r="L4333" s="199">
        <v>2</v>
      </c>
      <c r="M4333" s="200">
        <v>0.3</v>
      </c>
      <c r="N4333" s="201">
        <v>28</v>
      </c>
    </row>
    <row r="4334" spans="1:14">
      <c r="A4334" s="194">
        <v>41292.649583333332</v>
      </c>
      <c r="B4334" s="195">
        <v>3011</v>
      </c>
      <c r="C4334" s="194"/>
      <c r="D4334" s="194"/>
      <c r="E4334" s="198"/>
      <c r="G4334" s="202"/>
      <c r="J4334" s="195">
        <v>17</v>
      </c>
      <c r="K4334" s="204" t="s">
        <v>11</v>
      </c>
      <c r="L4334" s="199">
        <v>2</v>
      </c>
      <c r="M4334" s="200">
        <v>0.5</v>
      </c>
      <c r="N4334" s="201">
        <v>30</v>
      </c>
    </row>
    <row r="4335" spans="1:14">
      <c r="A4335" s="194">
        <v>41303.547893518517</v>
      </c>
      <c r="B4335" s="195">
        <v>3011</v>
      </c>
      <c r="C4335" s="194"/>
      <c r="D4335" s="194"/>
      <c r="E4335" s="198"/>
      <c r="G4335" s="202"/>
      <c r="J4335" s="195">
        <v>17</v>
      </c>
      <c r="K4335" s="204" t="s">
        <v>11</v>
      </c>
      <c r="L4335" s="199">
        <v>3</v>
      </c>
      <c r="M4335" s="200">
        <v>26.2</v>
      </c>
      <c r="N4335" s="201">
        <v>36</v>
      </c>
    </row>
    <row r="4336" spans="1:14">
      <c r="A4336" s="194">
        <v>41283.502453703702</v>
      </c>
      <c r="B4336" s="195">
        <v>3011</v>
      </c>
      <c r="C4336" s="194"/>
      <c r="D4336" s="194"/>
      <c r="E4336" s="198"/>
      <c r="G4336" s="202"/>
      <c r="J4336" s="195">
        <v>17</v>
      </c>
      <c r="K4336" s="204" t="s">
        <v>11</v>
      </c>
      <c r="L4336" s="199">
        <v>2</v>
      </c>
      <c r="M4336" s="200">
        <v>0.2</v>
      </c>
      <c r="N4336" s="201">
        <v>42</v>
      </c>
    </row>
    <row r="4337" spans="1:14">
      <c r="A4337" s="194">
        <v>41276.455937500003</v>
      </c>
      <c r="B4337" s="195">
        <v>3011</v>
      </c>
      <c r="C4337" s="194"/>
      <c r="D4337" s="194"/>
      <c r="E4337" s="198"/>
      <c r="G4337" s="202"/>
      <c r="J4337" s="195">
        <v>17</v>
      </c>
      <c r="K4337" s="204" t="s">
        <v>11</v>
      </c>
      <c r="L4337" s="199">
        <v>1</v>
      </c>
      <c r="M4337" s="200">
        <v>1.4</v>
      </c>
      <c r="N4337" s="201">
        <v>63</v>
      </c>
    </row>
    <row r="4338" spans="1:14">
      <c r="A4338" s="194">
        <v>41276.519837962966</v>
      </c>
      <c r="B4338" s="195">
        <v>3011</v>
      </c>
      <c r="C4338" s="194"/>
      <c r="D4338" s="194"/>
      <c r="E4338" s="198"/>
      <c r="G4338" s="202"/>
      <c r="J4338" s="195">
        <v>17</v>
      </c>
      <c r="K4338" s="204" t="s">
        <v>11</v>
      </c>
      <c r="L4338" s="199">
        <v>1</v>
      </c>
      <c r="M4338" s="200">
        <v>2</v>
      </c>
      <c r="N4338" s="201">
        <v>63</v>
      </c>
    </row>
    <row r="4339" spans="1:14">
      <c r="A4339" s="194">
        <v>41276.385347222225</v>
      </c>
      <c r="B4339" s="195">
        <v>3011</v>
      </c>
      <c r="C4339" s="194"/>
      <c r="D4339" s="194"/>
      <c r="E4339" s="198"/>
      <c r="G4339" s="202"/>
      <c r="J4339" s="195">
        <v>17</v>
      </c>
      <c r="K4339" s="204" t="s">
        <v>11</v>
      </c>
      <c r="L4339" s="199">
        <v>1</v>
      </c>
      <c r="M4339" s="200">
        <v>5.4</v>
      </c>
      <c r="N4339" s="201">
        <v>72</v>
      </c>
    </row>
    <row r="4340" spans="1:14">
      <c r="A4340" s="194">
        <v>41276.470694444448</v>
      </c>
      <c r="B4340" s="195">
        <v>3011</v>
      </c>
      <c r="C4340" s="194"/>
      <c r="D4340" s="194"/>
      <c r="E4340" s="198"/>
      <c r="G4340" s="202"/>
      <c r="J4340" s="195">
        <v>17</v>
      </c>
      <c r="K4340" s="204" t="s">
        <v>11</v>
      </c>
      <c r="L4340" s="199">
        <v>1</v>
      </c>
      <c r="M4340" s="200">
        <v>16.5</v>
      </c>
      <c r="N4340" s="201">
        <v>72</v>
      </c>
    </row>
    <row r="4341" spans="1:14">
      <c r="A4341" s="194">
        <v>41291.37703703704</v>
      </c>
      <c r="B4341" s="195">
        <v>3011</v>
      </c>
      <c r="C4341" s="194"/>
      <c r="D4341" s="194"/>
      <c r="E4341" s="198"/>
      <c r="G4341" s="202"/>
      <c r="J4341" s="195">
        <v>18</v>
      </c>
      <c r="K4341" s="204" t="s">
        <v>5</v>
      </c>
      <c r="L4341" s="199">
        <v>2</v>
      </c>
      <c r="M4341" s="200">
        <v>9</v>
      </c>
      <c r="N4341" s="201">
        <v>15</v>
      </c>
    </row>
    <row r="4342" spans="1:14">
      <c r="A4342" s="194">
        <v>41302.653287037036</v>
      </c>
      <c r="B4342" s="195">
        <v>3011</v>
      </c>
      <c r="C4342" s="194"/>
      <c r="D4342" s="194"/>
      <c r="E4342" s="198"/>
      <c r="G4342" s="202"/>
      <c r="J4342" s="195">
        <v>18</v>
      </c>
      <c r="K4342" s="204" t="s">
        <v>5</v>
      </c>
      <c r="L4342" s="199">
        <v>3</v>
      </c>
      <c r="M4342" s="200">
        <v>20.3</v>
      </c>
      <c r="N4342" s="201">
        <v>15</v>
      </c>
    </row>
    <row r="4343" spans="1:14">
      <c r="A4343" s="194">
        <v>41277.347280092596</v>
      </c>
      <c r="B4343" s="195">
        <v>3011</v>
      </c>
      <c r="C4343" s="194"/>
      <c r="D4343" s="194"/>
      <c r="E4343" s="198"/>
      <c r="G4343" s="202"/>
      <c r="J4343" s="195">
        <v>18</v>
      </c>
      <c r="K4343" s="204" t="s">
        <v>5</v>
      </c>
      <c r="L4343" s="199">
        <v>2</v>
      </c>
      <c r="M4343" s="200">
        <v>17.8</v>
      </c>
      <c r="N4343" s="201">
        <v>16</v>
      </c>
    </row>
    <row r="4344" spans="1:14">
      <c r="A4344" s="194">
        <v>41281.968680555554</v>
      </c>
      <c r="B4344" s="195">
        <v>3011</v>
      </c>
      <c r="C4344" s="194"/>
      <c r="D4344" s="194"/>
      <c r="E4344" s="198"/>
      <c r="G4344" s="202"/>
      <c r="J4344" s="195">
        <v>18</v>
      </c>
      <c r="K4344" s="204" t="s">
        <v>5</v>
      </c>
      <c r="L4344" s="199">
        <v>2</v>
      </c>
      <c r="M4344" s="200">
        <v>22.4</v>
      </c>
      <c r="N4344" s="201">
        <v>16</v>
      </c>
    </row>
    <row r="4345" spans="1:14">
      <c r="A4345" s="194">
        <v>41283.164293981485</v>
      </c>
      <c r="B4345" s="195">
        <v>3011</v>
      </c>
      <c r="C4345" s="194"/>
      <c r="D4345" s="194"/>
      <c r="E4345" s="198"/>
      <c r="G4345" s="202"/>
      <c r="J4345" s="195">
        <v>18</v>
      </c>
      <c r="K4345" s="204" t="s">
        <v>5</v>
      </c>
      <c r="L4345" s="199">
        <v>2</v>
      </c>
      <c r="M4345" s="200">
        <v>1.3</v>
      </c>
      <c r="N4345" s="201">
        <v>17</v>
      </c>
    </row>
    <row r="4346" spans="1:14">
      <c r="A4346" s="194">
        <v>41289.570821759262</v>
      </c>
      <c r="B4346" s="195">
        <v>3011</v>
      </c>
      <c r="C4346" s="194"/>
      <c r="D4346" s="194"/>
      <c r="E4346" s="198"/>
      <c r="G4346" s="202"/>
      <c r="J4346" s="195">
        <v>18</v>
      </c>
      <c r="K4346" s="204" t="s">
        <v>5</v>
      </c>
      <c r="L4346" s="199">
        <v>2</v>
      </c>
      <c r="M4346" s="200">
        <v>27.3</v>
      </c>
      <c r="N4346" s="201">
        <v>17</v>
      </c>
    </row>
    <row r="4347" spans="1:14">
      <c r="A4347" s="194">
        <v>41294.872210648151</v>
      </c>
      <c r="B4347" s="195">
        <v>3011</v>
      </c>
      <c r="C4347" s="194"/>
      <c r="D4347" s="194"/>
      <c r="E4347" s="198"/>
      <c r="G4347" s="202"/>
      <c r="J4347" s="195">
        <v>18</v>
      </c>
      <c r="K4347" s="204" t="s">
        <v>5</v>
      </c>
      <c r="L4347" s="199">
        <v>2</v>
      </c>
      <c r="M4347" s="200">
        <v>27.7</v>
      </c>
      <c r="N4347" s="201">
        <v>21</v>
      </c>
    </row>
    <row r="4348" spans="1:14">
      <c r="A4348" s="194">
        <v>41287.267951388887</v>
      </c>
      <c r="B4348" s="195">
        <v>3011</v>
      </c>
      <c r="C4348" s="194"/>
      <c r="D4348" s="194"/>
      <c r="E4348" s="196" t="s">
        <v>1761</v>
      </c>
      <c r="G4348" s="202"/>
      <c r="J4348" s="195">
        <v>24</v>
      </c>
      <c r="K4348" s="204" t="s">
        <v>25</v>
      </c>
      <c r="L4348" s="199">
        <v>2</v>
      </c>
      <c r="M4348" s="200">
        <v>18.100000000000001</v>
      </c>
      <c r="N4348" s="201">
        <v>15</v>
      </c>
    </row>
    <row r="4349" spans="1:14">
      <c r="A4349" s="194">
        <v>41303.50105324074</v>
      </c>
      <c r="B4349" s="195">
        <v>3011</v>
      </c>
      <c r="C4349" s="194"/>
      <c r="D4349" s="194"/>
      <c r="E4349" s="196" t="s">
        <v>1975</v>
      </c>
      <c r="G4349" s="202"/>
      <c r="J4349" s="195">
        <v>24</v>
      </c>
      <c r="K4349" s="204" t="s">
        <v>25</v>
      </c>
      <c r="L4349" s="199">
        <v>3</v>
      </c>
      <c r="M4349" s="200">
        <v>0.2</v>
      </c>
      <c r="N4349" s="201">
        <v>19</v>
      </c>
    </row>
    <row r="4350" spans="1:14">
      <c r="A4350" s="194">
        <v>41294.895520833335</v>
      </c>
      <c r="B4350" s="195">
        <v>3011</v>
      </c>
      <c r="C4350" s="194"/>
      <c r="D4350" s="194"/>
      <c r="E4350" s="196" t="s">
        <v>1862</v>
      </c>
      <c r="G4350" s="202"/>
      <c r="J4350" s="195">
        <v>24</v>
      </c>
      <c r="K4350" s="204" t="s">
        <v>25</v>
      </c>
      <c r="L4350" s="199">
        <v>3</v>
      </c>
      <c r="M4350" s="200">
        <v>0.7</v>
      </c>
      <c r="N4350" s="201">
        <v>20</v>
      </c>
    </row>
    <row r="4351" spans="1:14">
      <c r="A4351" s="194">
        <v>41300.842048611114</v>
      </c>
      <c r="B4351" s="195">
        <v>3011</v>
      </c>
      <c r="C4351" s="194"/>
      <c r="D4351" s="194"/>
      <c r="E4351" s="196" t="s">
        <v>1981</v>
      </c>
      <c r="G4351" s="202"/>
      <c r="J4351" s="195">
        <v>24</v>
      </c>
      <c r="K4351" s="204" t="s">
        <v>25</v>
      </c>
      <c r="L4351" s="199">
        <v>2</v>
      </c>
      <c r="M4351" s="200">
        <v>0.8</v>
      </c>
      <c r="N4351" s="201">
        <v>20</v>
      </c>
    </row>
    <row r="4352" spans="1:14">
      <c r="A4352" s="194">
        <v>41285.093472222223</v>
      </c>
      <c r="B4352" s="195">
        <v>3011</v>
      </c>
      <c r="C4352" s="194"/>
      <c r="D4352" s="194"/>
      <c r="E4352" s="196" t="s">
        <v>1777</v>
      </c>
      <c r="G4352" s="202"/>
      <c r="J4352" s="195">
        <v>24</v>
      </c>
      <c r="K4352" s="204" t="s">
        <v>25</v>
      </c>
      <c r="L4352" s="199">
        <v>2</v>
      </c>
      <c r="M4352" s="200">
        <v>4.3</v>
      </c>
      <c r="N4352" s="201">
        <v>21</v>
      </c>
    </row>
    <row r="4353" spans="1:14">
      <c r="A4353" s="194">
        <v>41295.498981481483</v>
      </c>
      <c r="B4353" s="195">
        <v>3011</v>
      </c>
      <c r="C4353" s="194"/>
      <c r="D4353" s="194"/>
      <c r="E4353" s="196" t="s">
        <v>2046</v>
      </c>
      <c r="G4353" s="202"/>
      <c r="J4353" s="195">
        <v>24</v>
      </c>
      <c r="K4353" s="204" t="s">
        <v>25</v>
      </c>
      <c r="L4353" s="199">
        <v>2</v>
      </c>
      <c r="M4353" s="200">
        <v>1.2</v>
      </c>
      <c r="N4353" s="201">
        <v>22</v>
      </c>
    </row>
    <row r="4354" spans="1:14">
      <c r="A4354" s="194">
        <v>41301.576747685183</v>
      </c>
      <c r="B4354" s="195">
        <v>3011</v>
      </c>
      <c r="C4354" s="194"/>
      <c r="D4354" s="194"/>
      <c r="E4354" s="196" t="s">
        <v>1638</v>
      </c>
      <c r="G4354" s="202"/>
      <c r="J4354" s="195">
        <v>29</v>
      </c>
      <c r="K4354" s="204" t="s">
        <v>39</v>
      </c>
      <c r="L4354" s="199">
        <v>3</v>
      </c>
      <c r="M4354" s="200">
        <v>0.4</v>
      </c>
      <c r="N4354" s="201">
        <v>23</v>
      </c>
    </row>
    <row r="4355" spans="1:14">
      <c r="A4355" s="194">
        <v>41278.503865740742</v>
      </c>
      <c r="B4355" s="195">
        <v>3011</v>
      </c>
      <c r="C4355" s="194"/>
      <c r="D4355" s="194"/>
      <c r="E4355" s="196" t="s">
        <v>1639</v>
      </c>
      <c r="G4355" s="202"/>
      <c r="J4355" s="195">
        <v>29</v>
      </c>
      <c r="K4355" s="204" t="s">
        <v>39</v>
      </c>
      <c r="L4355" s="199">
        <v>2</v>
      </c>
      <c r="M4355" s="200">
        <v>0.8</v>
      </c>
      <c r="N4355" s="201">
        <v>24</v>
      </c>
    </row>
    <row r="4356" spans="1:14">
      <c r="A4356" s="194">
        <v>41278.532314814816</v>
      </c>
      <c r="B4356" s="195">
        <v>3011</v>
      </c>
      <c r="C4356" s="194"/>
      <c r="D4356" s="194"/>
      <c r="E4356" s="198"/>
      <c r="G4356" s="202"/>
      <c r="J4356" s="195">
        <v>6200</v>
      </c>
      <c r="K4356" s="204" t="s">
        <v>36</v>
      </c>
      <c r="L4356" s="199">
        <v>3</v>
      </c>
      <c r="M4356" s="200">
        <v>0.3</v>
      </c>
      <c r="N4356" s="201">
        <v>15</v>
      </c>
    </row>
    <row r="4357" spans="1:14">
      <c r="A4357" s="194">
        <v>41289.454780092594</v>
      </c>
      <c r="B4357" s="195">
        <v>3011</v>
      </c>
      <c r="C4357" s="194"/>
      <c r="D4357" s="194"/>
      <c r="E4357" s="198"/>
      <c r="G4357" s="202"/>
      <c r="J4357" s="195">
        <v>6200</v>
      </c>
      <c r="K4357" s="204" t="s">
        <v>36</v>
      </c>
      <c r="L4357" s="199">
        <v>3</v>
      </c>
      <c r="M4357" s="200">
        <v>21.7</v>
      </c>
      <c r="N4357" s="201">
        <v>15</v>
      </c>
    </row>
    <row r="4358" spans="1:14">
      <c r="A4358" s="194">
        <v>41298.374872685185</v>
      </c>
      <c r="B4358" s="195">
        <v>3011</v>
      </c>
      <c r="C4358" s="194"/>
      <c r="D4358" s="194"/>
      <c r="E4358" s="198"/>
      <c r="G4358" s="202"/>
      <c r="J4358" s="195">
        <v>6200</v>
      </c>
      <c r="K4358" s="204" t="s">
        <v>36</v>
      </c>
      <c r="L4358" s="199">
        <v>3</v>
      </c>
      <c r="M4358" s="200">
        <v>0.2</v>
      </c>
      <c r="N4358" s="201">
        <v>16</v>
      </c>
    </row>
    <row r="4359" spans="1:14">
      <c r="A4359" s="194">
        <v>41284.560810185183</v>
      </c>
      <c r="B4359" s="195">
        <v>3011</v>
      </c>
      <c r="C4359" s="194"/>
      <c r="D4359" s="194"/>
      <c r="E4359" s="198"/>
      <c r="G4359" s="202"/>
      <c r="J4359" s="195">
        <v>6200</v>
      </c>
      <c r="K4359" s="204" t="s">
        <v>36</v>
      </c>
      <c r="L4359" s="199">
        <v>2</v>
      </c>
      <c r="M4359" s="200">
        <v>0.4</v>
      </c>
      <c r="N4359" s="201">
        <v>17</v>
      </c>
    </row>
    <row r="4360" spans="1:14">
      <c r="A4360" s="194">
        <v>41284.498993055553</v>
      </c>
      <c r="B4360" s="195">
        <v>3011</v>
      </c>
      <c r="C4360" s="194"/>
      <c r="D4360" s="194"/>
      <c r="E4360" s="198"/>
      <c r="G4360" s="202"/>
      <c r="J4360" s="195">
        <v>6200</v>
      </c>
      <c r="K4360" s="204" t="s">
        <v>36</v>
      </c>
      <c r="L4360" s="199">
        <v>2</v>
      </c>
      <c r="M4360" s="200">
        <v>0.5</v>
      </c>
      <c r="N4360" s="201">
        <v>17</v>
      </c>
    </row>
    <row r="4361" spans="1:14">
      <c r="A4361" s="194">
        <v>41296.533703703702</v>
      </c>
      <c r="B4361" s="195">
        <v>3011</v>
      </c>
      <c r="C4361" s="194"/>
      <c r="D4361" s="194"/>
      <c r="E4361" s="198"/>
      <c r="G4361" s="202"/>
      <c r="J4361" s="195">
        <v>6200</v>
      </c>
      <c r="K4361" s="204" t="s">
        <v>36</v>
      </c>
      <c r="L4361" s="199">
        <v>2</v>
      </c>
      <c r="M4361" s="200">
        <v>1</v>
      </c>
      <c r="N4361" s="201">
        <v>17</v>
      </c>
    </row>
    <row r="4362" spans="1:14">
      <c r="A4362" s="194">
        <v>41278.621192129627</v>
      </c>
      <c r="B4362" s="195">
        <v>3011</v>
      </c>
      <c r="C4362" s="194"/>
      <c r="D4362" s="194"/>
      <c r="E4362" s="198"/>
      <c r="G4362" s="202"/>
      <c r="J4362" s="195">
        <v>6200</v>
      </c>
      <c r="K4362" s="204" t="s">
        <v>36</v>
      </c>
      <c r="L4362" s="199">
        <v>3</v>
      </c>
      <c r="M4362" s="200">
        <v>0.2</v>
      </c>
      <c r="N4362" s="201">
        <v>19</v>
      </c>
    </row>
    <row r="4363" spans="1:14">
      <c r="A4363" s="194">
        <v>41292.512175925927</v>
      </c>
      <c r="B4363" s="195">
        <v>3011</v>
      </c>
      <c r="C4363" s="194"/>
      <c r="D4363" s="194"/>
      <c r="E4363" s="198"/>
      <c r="G4363" s="202"/>
      <c r="J4363" s="195">
        <v>6200</v>
      </c>
      <c r="K4363" s="204" t="s">
        <v>36</v>
      </c>
      <c r="L4363" s="199">
        <v>2</v>
      </c>
      <c r="M4363" s="200">
        <v>0.2</v>
      </c>
      <c r="N4363" s="201">
        <v>22</v>
      </c>
    </row>
    <row r="4364" spans="1:14">
      <c r="A4364" s="194">
        <v>41302.703067129631</v>
      </c>
      <c r="B4364" s="195">
        <v>3011</v>
      </c>
      <c r="C4364" s="194"/>
      <c r="D4364" s="194"/>
      <c r="E4364" s="198"/>
      <c r="G4364" s="202"/>
      <c r="J4364" s="195">
        <v>6200</v>
      </c>
      <c r="K4364" s="204" t="s">
        <v>36</v>
      </c>
      <c r="L4364" s="199">
        <v>3</v>
      </c>
      <c r="M4364" s="200">
        <v>0.7</v>
      </c>
      <c r="N4364" s="201">
        <v>22</v>
      </c>
    </row>
    <row r="4365" spans="1:14">
      <c r="A4365" s="194">
        <v>41292.680150462962</v>
      </c>
      <c r="B4365" s="195">
        <v>3011</v>
      </c>
      <c r="C4365" s="194"/>
      <c r="D4365" s="194"/>
      <c r="E4365" s="198"/>
      <c r="G4365" s="202"/>
      <c r="J4365" s="195">
        <v>6200</v>
      </c>
      <c r="K4365" s="204" t="s">
        <v>36</v>
      </c>
      <c r="L4365" s="199">
        <v>2</v>
      </c>
      <c r="M4365" s="200">
        <v>0.2</v>
      </c>
      <c r="N4365" s="201">
        <v>24</v>
      </c>
    </row>
    <row r="4366" spans="1:14">
      <c r="A4366" s="194">
        <v>41300.08390046296</v>
      </c>
      <c r="B4366" s="195">
        <v>3011</v>
      </c>
      <c r="C4366" s="194"/>
      <c r="D4366" s="194"/>
      <c r="E4366" s="198"/>
      <c r="G4366" s="202"/>
      <c r="J4366" s="195">
        <v>6200</v>
      </c>
      <c r="K4366" s="204" t="s">
        <v>36</v>
      </c>
      <c r="L4366" s="199">
        <v>3</v>
      </c>
      <c r="M4366" s="200">
        <v>17.899999999999999</v>
      </c>
      <c r="N4366" s="201">
        <v>25</v>
      </c>
    </row>
    <row r="4367" spans="1:14">
      <c r="A4367" s="194">
        <v>41282.603136574071</v>
      </c>
      <c r="B4367" s="195">
        <v>3011</v>
      </c>
      <c r="C4367" s="194"/>
      <c r="D4367" s="194"/>
      <c r="E4367" s="198"/>
      <c r="G4367" s="202"/>
      <c r="J4367" s="195">
        <v>6200</v>
      </c>
      <c r="K4367" s="204" t="s">
        <v>36</v>
      </c>
      <c r="L4367" s="199">
        <v>3</v>
      </c>
      <c r="M4367" s="200">
        <v>0.3</v>
      </c>
      <c r="N4367" s="201">
        <v>36</v>
      </c>
    </row>
    <row r="4368" spans="1:14">
      <c r="A4368" s="194">
        <v>41279.64340277778</v>
      </c>
      <c r="B4368" s="195">
        <v>3034</v>
      </c>
      <c r="C4368" s="194"/>
      <c r="D4368" s="194"/>
      <c r="E4368" s="196" t="s">
        <v>419</v>
      </c>
      <c r="F4368" s="195">
        <v>466</v>
      </c>
      <c r="G4368" s="197" t="s">
        <v>142</v>
      </c>
      <c r="H4368" s="197" t="s">
        <v>223</v>
      </c>
      <c r="I4368" s="196" t="s">
        <v>402</v>
      </c>
      <c r="J4368" s="195">
        <v>1</v>
      </c>
      <c r="K4368" s="204" t="s">
        <v>224</v>
      </c>
      <c r="L4368" s="199">
        <v>4</v>
      </c>
      <c r="M4368" s="200">
        <v>0.8</v>
      </c>
      <c r="N4368" s="201">
        <v>15</v>
      </c>
    </row>
    <row r="4369" spans="1:14">
      <c r="A4369" s="194">
        <v>41300.821898148148</v>
      </c>
      <c r="B4369" s="195">
        <v>3034</v>
      </c>
      <c r="C4369" s="194"/>
      <c r="D4369" s="194"/>
      <c r="E4369" s="196" t="s">
        <v>453</v>
      </c>
      <c r="F4369" s="195">
        <v>466</v>
      </c>
      <c r="G4369" s="197" t="s">
        <v>142</v>
      </c>
      <c r="H4369" s="197" t="s">
        <v>223</v>
      </c>
      <c r="I4369" s="196" t="s">
        <v>402</v>
      </c>
      <c r="J4369" s="195">
        <v>1</v>
      </c>
      <c r="K4369" s="204" t="s">
        <v>224</v>
      </c>
      <c r="L4369" s="199">
        <v>4</v>
      </c>
      <c r="M4369" s="200">
        <v>1.3</v>
      </c>
      <c r="N4369" s="201">
        <v>15</v>
      </c>
    </row>
    <row r="4370" spans="1:14">
      <c r="A4370" s="194">
        <v>41299.464282407411</v>
      </c>
      <c r="B4370" s="195">
        <v>3034</v>
      </c>
      <c r="C4370" s="194"/>
      <c r="D4370" s="194"/>
      <c r="E4370" s="196" t="s">
        <v>452</v>
      </c>
      <c r="F4370" s="195">
        <v>466</v>
      </c>
      <c r="G4370" s="197" t="s">
        <v>142</v>
      </c>
      <c r="H4370" s="197" t="s">
        <v>223</v>
      </c>
      <c r="I4370" s="196" t="s">
        <v>402</v>
      </c>
      <c r="J4370" s="195">
        <v>1</v>
      </c>
      <c r="K4370" s="204" t="s">
        <v>224</v>
      </c>
      <c r="L4370" s="199">
        <v>4</v>
      </c>
      <c r="M4370" s="200">
        <v>2.1</v>
      </c>
      <c r="N4370" s="201">
        <v>15</v>
      </c>
    </row>
    <row r="4371" spans="1:14">
      <c r="A4371" s="194">
        <v>41291.980891203704</v>
      </c>
      <c r="B4371" s="195">
        <v>3034</v>
      </c>
      <c r="C4371" s="194"/>
      <c r="D4371" s="194"/>
      <c r="E4371" s="196" t="s">
        <v>436</v>
      </c>
      <c r="F4371" s="195">
        <v>466</v>
      </c>
      <c r="G4371" s="197" t="s">
        <v>142</v>
      </c>
      <c r="H4371" s="197" t="s">
        <v>223</v>
      </c>
      <c r="I4371" s="196" t="s">
        <v>402</v>
      </c>
      <c r="J4371" s="195">
        <v>1</v>
      </c>
      <c r="K4371" s="204" t="s">
        <v>224</v>
      </c>
      <c r="L4371" s="199">
        <v>4</v>
      </c>
      <c r="M4371" s="200">
        <v>0.4</v>
      </c>
      <c r="N4371" s="201">
        <v>16</v>
      </c>
    </row>
    <row r="4372" spans="1:14">
      <c r="A4372" s="194">
        <v>41298.531608796293</v>
      </c>
      <c r="B4372" s="195">
        <v>3034</v>
      </c>
      <c r="C4372" s="194"/>
      <c r="D4372" s="194"/>
      <c r="E4372" s="196" t="s">
        <v>450</v>
      </c>
      <c r="F4372" s="195">
        <v>466</v>
      </c>
      <c r="G4372" s="197" t="s">
        <v>142</v>
      </c>
      <c r="H4372" s="197" t="s">
        <v>223</v>
      </c>
      <c r="I4372" s="196" t="s">
        <v>402</v>
      </c>
      <c r="J4372" s="195">
        <v>1</v>
      </c>
      <c r="K4372" s="204" t="s">
        <v>224</v>
      </c>
      <c r="L4372" s="199">
        <v>4</v>
      </c>
      <c r="M4372" s="200">
        <v>0.7</v>
      </c>
      <c r="N4372" s="201">
        <v>19</v>
      </c>
    </row>
    <row r="4373" spans="1:14">
      <c r="A4373" s="194">
        <v>41282.610752314817</v>
      </c>
      <c r="B4373" s="195">
        <v>3034</v>
      </c>
      <c r="C4373" s="194"/>
      <c r="D4373" s="194"/>
      <c r="E4373" s="196" t="s">
        <v>424</v>
      </c>
      <c r="F4373" s="195">
        <v>466</v>
      </c>
      <c r="G4373" s="197" t="s">
        <v>142</v>
      </c>
      <c r="H4373" s="197" t="s">
        <v>223</v>
      </c>
      <c r="I4373" s="196" t="s">
        <v>402</v>
      </c>
      <c r="J4373" s="195">
        <v>1</v>
      </c>
      <c r="K4373" s="204" t="s">
        <v>224</v>
      </c>
      <c r="L4373" s="199">
        <v>2</v>
      </c>
      <c r="M4373" s="200">
        <v>0.3</v>
      </c>
      <c r="N4373" s="201">
        <v>30</v>
      </c>
    </row>
    <row r="4374" spans="1:14">
      <c r="A4374" s="194">
        <v>41282.552430555559</v>
      </c>
      <c r="B4374" s="195">
        <v>3034</v>
      </c>
      <c r="C4374" s="194"/>
      <c r="D4374" s="194"/>
      <c r="E4374" s="196" t="s">
        <v>423</v>
      </c>
      <c r="F4374" s="195">
        <v>466</v>
      </c>
      <c r="G4374" s="197" t="s">
        <v>142</v>
      </c>
      <c r="H4374" s="197" t="s">
        <v>223</v>
      </c>
      <c r="I4374" s="196" t="s">
        <v>402</v>
      </c>
      <c r="J4374" s="195">
        <v>1</v>
      </c>
      <c r="K4374" s="204" t="s">
        <v>224</v>
      </c>
      <c r="L4374" s="199">
        <v>1</v>
      </c>
      <c r="M4374" s="200">
        <v>0.2</v>
      </c>
      <c r="N4374" s="201">
        <v>32</v>
      </c>
    </row>
    <row r="4375" spans="1:14">
      <c r="A4375" s="194">
        <v>41276.72115740741</v>
      </c>
      <c r="B4375" s="195">
        <v>3034</v>
      </c>
      <c r="C4375" s="194"/>
      <c r="D4375" s="194"/>
      <c r="E4375" s="196" t="s">
        <v>534</v>
      </c>
      <c r="F4375" s="195">
        <v>800</v>
      </c>
      <c r="G4375" s="197" t="s">
        <v>470</v>
      </c>
      <c r="H4375" s="197" t="s">
        <v>471</v>
      </c>
      <c r="J4375" s="195">
        <v>1</v>
      </c>
      <c r="K4375" s="204" t="s">
        <v>224</v>
      </c>
      <c r="L4375" s="199">
        <v>4</v>
      </c>
      <c r="M4375" s="200">
        <v>0.3</v>
      </c>
      <c r="N4375" s="201">
        <v>15</v>
      </c>
    </row>
    <row r="4376" spans="1:14">
      <c r="A4376" s="194">
        <v>41300.474016203705</v>
      </c>
      <c r="B4376" s="195">
        <v>3034</v>
      </c>
      <c r="C4376" s="194"/>
      <c r="D4376" s="194"/>
      <c r="E4376" s="196" t="s">
        <v>1249</v>
      </c>
      <c r="F4376" s="195">
        <v>800</v>
      </c>
      <c r="G4376" s="197" t="s">
        <v>470</v>
      </c>
      <c r="H4376" s="197" t="s">
        <v>471</v>
      </c>
      <c r="J4376" s="195">
        <v>1</v>
      </c>
      <c r="K4376" s="204" t="s">
        <v>224</v>
      </c>
      <c r="L4376" s="199">
        <v>4</v>
      </c>
      <c r="M4376" s="200">
        <v>0.3</v>
      </c>
      <c r="N4376" s="201">
        <v>15</v>
      </c>
    </row>
    <row r="4377" spans="1:14">
      <c r="A4377" s="194">
        <v>41302.457268518519</v>
      </c>
      <c r="B4377" s="195">
        <v>3034</v>
      </c>
      <c r="C4377" s="194"/>
      <c r="D4377" s="194"/>
      <c r="E4377" s="196" t="s">
        <v>1304</v>
      </c>
      <c r="F4377" s="195">
        <v>800</v>
      </c>
      <c r="G4377" s="197" t="s">
        <v>470</v>
      </c>
      <c r="H4377" s="197" t="s">
        <v>471</v>
      </c>
      <c r="J4377" s="195">
        <v>1</v>
      </c>
      <c r="K4377" s="204" t="s">
        <v>224</v>
      </c>
      <c r="L4377" s="199">
        <v>4</v>
      </c>
      <c r="M4377" s="200">
        <v>0.3</v>
      </c>
      <c r="N4377" s="201">
        <v>15</v>
      </c>
    </row>
    <row r="4378" spans="1:14">
      <c r="A4378" s="194">
        <v>41279.691331018519</v>
      </c>
      <c r="B4378" s="195">
        <v>3034</v>
      </c>
      <c r="C4378" s="194"/>
      <c r="D4378" s="194"/>
      <c r="E4378" s="196" t="s">
        <v>684</v>
      </c>
      <c r="F4378" s="195">
        <v>800</v>
      </c>
      <c r="G4378" s="197" t="s">
        <v>470</v>
      </c>
      <c r="H4378" s="197" t="s">
        <v>471</v>
      </c>
      <c r="J4378" s="195">
        <v>1</v>
      </c>
      <c r="K4378" s="204" t="s">
        <v>224</v>
      </c>
      <c r="L4378" s="199">
        <v>4</v>
      </c>
      <c r="M4378" s="200">
        <v>0.4</v>
      </c>
      <c r="N4378" s="201">
        <v>15</v>
      </c>
    </row>
    <row r="4379" spans="1:14">
      <c r="A4379" s="194">
        <v>41303.376087962963</v>
      </c>
      <c r="B4379" s="195">
        <v>3034</v>
      </c>
      <c r="C4379" s="194"/>
      <c r="D4379" s="194"/>
      <c r="E4379" s="196" t="s">
        <v>1515</v>
      </c>
      <c r="F4379" s="195">
        <v>800</v>
      </c>
      <c r="G4379" s="197" t="s">
        <v>470</v>
      </c>
      <c r="H4379" s="197" t="s">
        <v>471</v>
      </c>
      <c r="J4379" s="195">
        <v>1</v>
      </c>
      <c r="K4379" s="204" t="s">
        <v>224</v>
      </c>
      <c r="L4379" s="199">
        <v>4</v>
      </c>
      <c r="M4379" s="200">
        <v>0.4</v>
      </c>
      <c r="N4379" s="201">
        <v>15</v>
      </c>
    </row>
    <row r="4380" spans="1:14">
      <c r="A4380" s="194">
        <v>41303.773333333331</v>
      </c>
      <c r="B4380" s="195">
        <v>3034</v>
      </c>
      <c r="C4380" s="194"/>
      <c r="D4380" s="194"/>
      <c r="E4380" s="196" t="s">
        <v>1526</v>
      </c>
      <c r="F4380" s="195">
        <v>800</v>
      </c>
      <c r="G4380" s="197" t="s">
        <v>470</v>
      </c>
      <c r="H4380" s="197" t="s">
        <v>471</v>
      </c>
      <c r="J4380" s="195">
        <v>1</v>
      </c>
      <c r="K4380" s="204" t="s">
        <v>224</v>
      </c>
      <c r="L4380" s="199">
        <v>4</v>
      </c>
      <c r="M4380" s="200">
        <v>0.4</v>
      </c>
      <c r="N4380" s="201">
        <v>15</v>
      </c>
    </row>
    <row r="4381" spans="1:14">
      <c r="A4381" s="194">
        <v>41279.666331018518</v>
      </c>
      <c r="B4381" s="195">
        <v>3034</v>
      </c>
      <c r="C4381" s="194"/>
      <c r="D4381" s="194"/>
      <c r="E4381" s="196" t="s">
        <v>682</v>
      </c>
      <c r="F4381" s="195">
        <v>800</v>
      </c>
      <c r="G4381" s="197" t="s">
        <v>470</v>
      </c>
      <c r="H4381" s="197" t="s">
        <v>471</v>
      </c>
      <c r="J4381" s="195">
        <v>1</v>
      </c>
      <c r="K4381" s="204" t="s">
        <v>224</v>
      </c>
      <c r="L4381" s="199">
        <v>4</v>
      </c>
      <c r="M4381" s="200">
        <v>0.5</v>
      </c>
      <c r="N4381" s="201">
        <v>15</v>
      </c>
    </row>
    <row r="4382" spans="1:14">
      <c r="A4382" s="194">
        <v>41284.60733796296</v>
      </c>
      <c r="B4382" s="195">
        <v>3034</v>
      </c>
      <c r="C4382" s="194"/>
      <c r="D4382" s="194"/>
      <c r="E4382" s="196" t="s">
        <v>699</v>
      </c>
      <c r="F4382" s="195">
        <v>800</v>
      </c>
      <c r="G4382" s="197" t="s">
        <v>470</v>
      </c>
      <c r="H4382" s="197" t="s">
        <v>471</v>
      </c>
      <c r="J4382" s="195">
        <v>1</v>
      </c>
      <c r="K4382" s="204" t="s">
        <v>224</v>
      </c>
      <c r="L4382" s="199">
        <v>4</v>
      </c>
      <c r="M4382" s="200">
        <v>0.5</v>
      </c>
      <c r="N4382" s="201">
        <v>15</v>
      </c>
    </row>
    <row r="4383" spans="1:14">
      <c r="A4383" s="194">
        <v>41291.559398148151</v>
      </c>
      <c r="B4383" s="195">
        <v>3034</v>
      </c>
      <c r="C4383" s="194"/>
      <c r="D4383" s="194"/>
      <c r="E4383" s="196" t="s">
        <v>966</v>
      </c>
      <c r="F4383" s="195">
        <v>800</v>
      </c>
      <c r="G4383" s="197" t="s">
        <v>470</v>
      </c>
      <c r="H4383" s="197" t="s">
        <v>471</v>
      </c>
      <c r="J4383" s="195">
        <v>1</v>
      </c>
      <c r="K4383" s="204" t="s">
        <v>224</v>
      </c>
      <c r="L4383" s="199">
        <v>4</v>
      </c>
      <c r="M4383" s="200">
        <v>0.5</v>
      </c>
      <c r="N4383" s="201">
        <v>15</v>
      </c>
    </row>
    <row r="4384" spans="1:14">
      <c r="A4384" s="194">
        <v>41305.501759259256</v>
      </c>
      <c r="B4384" s="195">
        <v>3034</v>
      </c>
      <c r="C4384" s="194"/>
      <c r="D4384" s="194"/>
      <c r="E4384" s="196" t="s">
        <v>1518</v>
      </c>
      <c r="F4384" s="195">
        <v>800</v>
      </c>
      <c r="G4384" s="197" t="s">
        <v>470</v>
      </c>
      <c r="H4384" s="197" t="s">
        <v>471</v>
      </c>
      <c r="J4384" s="195">
        <v>1</v>
      </c>
      <c r="K4384" s="204" t="s">
        <v>224</v>
      </c>
      <c r="L4384" s="199">
        <v>4</v>
      </c>
      <c r="M4384" s="200">
        <v>0.5</v>
      </c>
      <c r="N4384" s="201">
        <v>15</v>
      </c>
    </row>
    <row r="4385" spans="1:14">
      <c r="A4385" s="194">
        <v>41303.588576388887</v>
      </c>
      <c r="B4385" s="195">
        <v>3034</v>
      </c>
      <c r="C4385" s="194"/>
      <c r="D4385" s="194"/>
      <c r="E4385" s="196" t="s">
        <v>1519</v>
      </c>
      <c r="F4385" s="195">
        <v>800</v>
      </c>
      <c r="G4385" s="197" t="s">
        <v>470</v>
      </c>
      <c r="H4385" s="197" t="s">
        <v>471</v>
      </c>
      <c r="J4385" s="195">
        <v>1</v>
      </c>
      <c r="K4385" s="204" t="s">
        <v>224</v>
      </c>
      <c r="L4385" s="199">
        <v>4</v>
      </c>
      <c r="M4385" s="200">
        <v>0.5</v>
      </c>
      <c r="N4385" s="201">
        <v>15</v>
      </c>
    </row>
    <row r="4386" spans="1:14">
      <c r="A4386" s="194">
        <v>41278.787164351852</v>
      </c>
      <c r="B4386" s="195">
        <v>3034</v>
      </c>
      <c r="C4386" s="194"/>
      <c r="D4386" s="194"/>
      <c r="E4386" s="196" t="s">
        <v>661</v>
      </c>
      <c r="F4386" s="195">
        <v>800</v>
      </c>
      <c r="G4386" s="197" t="s">
        <v>470</v>
      </c>
      <c r="H4386" s="197" t="s">
        <v>471</v>
      </c>
      <c r="J4386" s="195">
        <v>1</v>
      </c>
      <c r="K4386" s="204" t="s">
        <v>224</v>
      </c>
      <c r="L4386" s="199">
        <v>4</v>
      </c>
      <c r="M4386" s="200">
        <v>0.6</v>
      </c>
      <c r="N4386" s="201">
        <v>15</v>
      </c>
    </row>
    <row r="4387" spans="1:14">
      <c r="A4387" s="194">
        <v>41288.565636574072</v>
      </c>
      <c r="B4387" s="195">
        <v>3034</v>
      </c>
      <c r="C4387" s="194"/>
      <c r="D4387" s="194"/>
      <c r="E4387" s="196" t="s">
        <v>872</v>
      </c>
      <c r="F4387" s="195">
        <v>800</v>
      </c>
      <c r="G4387" s="197" t="s">
        <v>470</v>
      </c>
      <c r="H4387" s="197" t="s">
        <v>471</v>
      </c>
      <c r="J4387" s="195">
        <v>1</v>
      </c>
      <c r="K4387" s="204" t="s">
        <v>224</v>
      </c>
      <c r="L4387" s="199">
        <v>4</v>
      </c>
      <c r="M4387" s="200">
        <v>0.6</v>
      </c>
      <c r="N4387" s="201">
        <v>15</v>
      </c>
    </row>
    <row r="4388" spans="1:14">
      <c r="A4388" s="194">
        <v>41291.551759259259</v>
      </c>
      <c r="B4388" s="195">
        <v>3034</v>
      </c>
      <c r="C4388" s="194"/>
      <c r="D4388" s="194"/>
      <c r="E4388" s="196" t="s">
        <v>965</v>
      </c>
      <c r="F4388" s="195">
        <v>800</v>
      </c>
      <c r="G4388" s="197" t="s">
        <v>470</v>
      </c>
      <c r="H4388" s="197" t="s">
        <v>471</v>
      </c>
      <c r="J4388" s="195">
        <v>1</v>
      </c>
      <c r="K4388" s="204" t="s">
        <v>224</v>
      </c>
      <c r="L4388" s="199">
        <v>4</v>
      </c>
      <c r="M4388" s="200">
        <v>0.6</v>
      </c>
      <c r="N4388" s="201">
        <v>15</v>
      </c>
    </row>
    <row r="4389" spans="1:14">
      <c r="A4389" s="194">
        <v>41289.73233796296</v>
      </c>
      <c r="B4389" s="195">
        <v>3034</v>
      </c>
      <c r="C4389" s="194"/>
      <c r="D4389" s="194"/>
      <c r="E4389" s="196" t="s">
        <v>1034</v>
      </c>
      <c r="F4389" s="195">
        <v>800</v>
      </c>
      <c r="G4389" s="197" t="s">
        <v>470</v>
      </c>
      <c r="H4389" s="197" t="s">
        <v>471</v>
      </c>
      <c r="J4389" s="195">
        <v>1</v>
      </c>
      <c r="K4389" s="204" t="s">
        <v>224</v>
      </c>
      <c r="L4389" s="199">
        <v>4</v>
      </c>
      <c r="M4389" s="200">
        <v>0.6</v>
      </c>
      <c r="N4389" s="201">
        <v>15</v>
      </c>
    </row>
    <row r="4390" spans="1:14">
      <c r="A4390" s="194">
        <v>41285.631597222222</v>
      </c>
      <c r="B4390" s="195">
        <v>3034</v>
      </c>
      <c r="C4390" s="194"/>
      <c r="D4390" s="194"/>
      <c r="E4390" s="196" t="s">
        <v>791</v>
      </c>
      <c r="F4390" s="195">
        <v>800</v>
      </c>
      <c r="G4390" s="197" t="s">
        <v>470</v>
      </c>
      <c r="H4390" s="197" t="s">
        <v>471</v>
      </c>
      <c r="J4390" s="195">
        <v>1</v>
      </c>
      <c r="K4390" s="204" t="s">
        <v>224</v>
      </c>
      <c r="L4390" s="199">
        <v>4</v>
      </c>
      <c r="M4390" s="200">
        <v>0.7</v>
      </c>
      <c r="N4390" s="201">
        <v>15</v>
      </c>
    </row>
    <row r="4391" spans="1:14">
      <c r="A4391" s="194">
        <v>41299.595520833333</v>
      </c>
      <c r="B4391" s="195">
        <v>3034</v>
      </c>
      <c r="C4391" s="194"/>
      <c r="D4391" s="194"/>
      <c r="E4391" s="196" t="s">
        <v>1239</v>
      </c>
      <c r="F4391" s="195">
        <v>800</v>
      </c>
      <c r="G4391" s="197" t="s">
        <v>470</v>
      </c>
      <c r="H4391" s="197" t="s">
        <v>471</v>
      </c>
      <c r="J4391" s="195">
        <v>1</v>
      </c>
      <c r="K4391" s="204" t="s">
        <v>224</v>
      </c>
      <c r="L4391" s="199">
        <v>4</v>
      </c>
      <c r="M4391" s="200">
        <v>0.7</v>
      </c>
      <c r="N4391" s="201">
        <v>15</v>
      </c>
    </row>
    <row r="4392" spans="1:14">
      <c r="A4392" s="194">
        <v>41278.514270833337</v>
      </c>
      <c r="B4392" s="195">
        <v>3034</v>
      </c>
      <c r="C4392" s="194"/>
      <c r="D4392" s="194"/>
      <c r="E4392" s="196" t="s">
        <v>651</v>
      </c>
      <c r="F4392" s="195">
        <v>800</v>
      </c>
      <c r="G4392" s="197" t="s">
        <v>470</v>
      </c>
      <c r="H4392" s="197" t="s">
        <v>471</v>
      </c>
      <c r="J4392" s="195">
        <v>1</v>
      </c>
      <c r="K4392" s="204" t="s">
        <v>224</v>
      </c>
      <c r="L4392" s="199">
        <v>4</v>
      </c>
      <c r="M4392" s="200">
        <v>0.8</v>
      </c>
      <c r="N4392" s="201">
        <v>15</v>
      </c>
    </row>
    <row r="4393" spans="1:14">
      <c r="A4393" s="194">
        <v>41285.857986111114</v>
      </c>
      <c r="B4393" s="195">
        <v>3034</v>
      </c>
      <c r="C4393" s="194"/>
      <c r="D4393" s="194"/>
      <c r="E4393" s="196" t="s">
        <v>792</v>
      </c>
      <c r="F4393" s="195">
        <v>800</v>
      </c>
      <c r="G4393" s="197" t="s">
        <v>470</v>
      </c>
      <c r="H4393" s="197" t="s">
        <v>471</v>
      </c>
      <c r="J4393" s="195">
        <v>1</v>
      </c>
      <c r="K4393" s="204" t="s">
        <v>224</v>
      </c>
      <c r="L4393" s="199">
        <v>4</v>
      </c>
      <c r="M4393" s="200">
        <v>0.8</v>
      </c>
      <c r="N4393" s="201">
        <v>15</v>
      </c>
    </row>
    <row r="4394" spans="1:14">
      <c r="A4394" s="194">
        <v>41279.765659722223</v>
      </c>
      <c r="B4394" s="195">
        <v>3034</v>
      </c>
      <c r="C4394" s="194"/>
      <c r="D4394" s="194"/>
      <c r="E4394" s="196" t="s">
        <v>685</v>
      </c>
      <c r="F4394" s="195">
        <v>800</v>
      </c>
      <c r="G4394" s="197" t="s">
        <v>470</v>
      </c>
      <c r="H4394" s="197" t="s">
        <v>471</v>
      </c>
      <c r="J4394" s="195">
        <v>1</v>
      </c>
      <c r="K4394" s="204" t="s">
        <v>224</v>
      </c>
      <c r="L4394" s="199">
        <v>4</v>
      </c>
      <c r="M4394" s="200">
        <v>0.9</v>
      </c>
      <c r="N4394" s="201">
        <v>15</v>
      </c>
    </row>
    <row r="4395" spans="1:14">
      <c r="A4395" s="194">
        <v>41303.619143518517</v>
      </c>
      <c r="B4395" s="195">
        <v>3034</v>
      </c>
      <c r="C4395" s="194"/>
      <c r="D4395" s="194"/>
      <c r="E4395" s="196" t="s">
        <v>1524</v>
      </c>
      <c r="F4395" s="195">
        <v>800</v>
      </c>
      <c r="G4395" s="197" t="s">
        <v>470</v>
      </c>
      <c r="H4395" s="197" t="s">
        <v>471</v>
      </c>
      <c r="J4395" s="195">
        <v>1</v>
      </c>
      <c r="K4395" s="204" t="s">
        <v>224</v>
      </c>
      <c r="L4395" s="199">
        <v>4</v>
      </c>
      <c r="M4395" s="200">
        <v>0.9</v>
      </c>
      <c r="N4395" s="201">
        <v>15</v>
      </c>
    </row>
    <row r="4396" spans="1:14">
      <c r="A4396" s="194">
        <v>41305.674004629633</v>
      </c>
      <c r="B4396" s="195">
        <v>3034</v>
      </c>
      <c r="C4396" s="194"/>
      <c r="D4396" s="194"/>
      <c r="E4396" s="196" t="s">
        <v>1520</v>
      </c>
      <c r="F4396" s="195">
        <v>800</v>
      </c>
      <c r="G4396" s="197" t="s">
        <v>470</v>
      </c>
      <c r="H4396" s="197" t="s">
        <v>471</v>
      </c>
      <c r="J4396" s="195">
        <v>1</v>
      </c>
      <c r="K4396" s="204" t="s">
        <v>224</v>
      </c>
      <c r="L4396" s="199">
        <v>4</v>
      </c>
      <c r="M4396" s="200">
        <v>1</v>
      </c>
      <c r="N4396" s="201">
        <v>15</v>
      </c>
    </row>
    <row r="4397" spans="1:14">
      <c r="A4397" s="194">
        <v>41290.693414351852</v>
      </c>
      <c r="B4397" s="195">
        <v>3034</v>
      </c>
      <c r="C4397" s="194"/>
      <c r="D4397" s="194"/>
      <c r="E4397" s="196" t="s">
        <v>1062</v>
      </c>
      <c r="F4397" s="195">
        <v>800</v>
      </c>
      <c r="G4397" s="197" t="s">
        <v>470</v>
      </c>
      <c r="H4397" s="197" t="s">
        <v>471</v>
      </c>
      <c r="J4397" s="195">
        <v>1</v>
      </c>
      <c r="K4397" s="204" t="s">
        <v>224</v>
      </c>
      <c r="L4397" s="199">
        <v>4</v>
      </c>
      <c r="M4397" s="200">
        <v>1.2</v>
      </c>
      <c r="N4397" s="201">
        <v>15</v>
      </c>
    </row>
    <row r="4398" spans="1:14">
      <c r="A4398" s="194">
        <v>41299.564270833333</v>
      </c>
      <c r="B4398" s="195">
        <v>3034</v>
      </c>
      <c r="C4398" s="194"/>
      <c r="D4398" s="194"/>
      <c r="E4398" s="196" t="s">
        <v>1238</v>
      </c>
      <c r="F4398" s="195">
        <v>800</v>
      </c>
      <c r="G4398" s="197" t="s">
        <v>470</v>
      </c>
      <c r="H4398" s="197" t="s">
        <v>471</v>
      </c>
      <c r="J4398" s="195">
        <v>1</v>
      </c>
      <c r="K4398" s="204" t="s">
        <v>224</v>
      </c>
      <c r="L4398" s="199">
        <v>4</v>
      </c>
      <c r="M4398" s="200">
        <v>1.4</v>
      </c>
      <c r="N4398" s="201">
        <v>15</v>
      </c>
    </row>
    <row r="4399" spans="1:14">
      <c r="A4399" s="194">
        <v>41275.619108796294</v>
      </c>
      <c r="B4399" s="195">
        <v>3034</v>
      </c>
      <c r="C4399" s="194"/>
      <c r="D4399" s="194"/>
      <c r="E4399" s="196" t="s">
        <v>472</v>
      </c>
      <c r="F4399" s="195">
        <v>800</v>
      </c>
      <c r="G4399" s="197" t="s">
        <v>470</v>
      </c>
      <c r="H4399" s="197" t="s">
        <v>471</v>
      </c>
      <c r="J4399" s="195">
        <v>1</v>
      </c>
      <c r="K4399" s="204" t="s">
        <v>224</v>
      </c>
      <c r="L4399" s="199">
        <v>4</v>
      </c>
      <c r="M4399" s="200">
        <v>1.9</v>
      </c>
      <c r="N4399" s="201">
        <v>15</v>
      </c>
    </row>
    <row r="4400" spans="1:14">
      <c r="A4400" s="194">
        <v>41286.380219907405</v>
      </c>
      <c r="B4400" s="195">
        <v>3034</v>
      </c>
      <c r="C4400" s="194"/>
      <c r="D4400" s="194"/>
      <c r="E4400" s="196" t="s">
        <v>796</v>
      </c>
      <c r="F4400" s="195">
        <v>800</v>
      </c>
      <c r="G4400" s="197" t="s">
        <v>470</v>
      </c>
      <c r="H4400" s="197" t="s">
        <v>471</v>
      </c>
      <c r="J4400" s="195">
        <v>1</v>
      </c>
      <c r="K4400" s="204" t="s">
        <v>224</v>
      </c>
      <c r="L4400" s="199">
        <v>4</v>
      </c>
      <c r="M4400" s="200">
        <v>1.9</v>
      </c>
      <c r="N4400" s="201">
        <v>15</v>
      </c>
    </row>
    <row r="4401" spans="1:14">
      <c r="A4401" s="194">
        <v>41290.67050925926</v>
      </c>
      <c r="B4401" s="195">
        <v>3034</v>
      </c>
      <c r="C4401" s="194"/>
      <c r="D4401" s="194"/>
      <c r="E4401" s="196" t="s">
        <v>1061</v>
      </c>
      <c r="F4401" s="195">
        <v>800</v>
      </c>
      <c r="G4401" s="197" t="s">
        <v>470</v>
      </c>
      <c r="H4401" s="197" t="s">
        <v>471</v>
      </c>
      <c r="J4401" s="195">
        <v>1</v>
      </c>
      <c r="K4401" s="204" t="s">
        <v>224</v>
      </c>
      <c r="L4401" s="199">
        <v>4</v>
      </c>
      <c r="M4401" s="200">
        <v>2.1</v>
      </c>
      <c r="N4401" s="201">
        <v>15</v>
      </c>
    </row>
    <row r="4402" spans="1:14">
      <c r="A4402" s="194">
        <v>41300.706643518519</v>
      </c>
      <c r="B4402" s="195">
        <v>3034</v>
      </c>
      <c r="C4402" s="194"/>
      <c r="D4402" s="194"/>
      <c r="E4402" s="196" t="s">
        <v>1250</v>
      </c>
      <c r="F4402" s="195">
        <v>800</v>
      </c>
      <c r="G4402" s="197" t="s">
        <v>470</v>
      </c>
      <c r="H4402" s="197" t="s">
        <v>471</v>
      </c>
      <c r="J4402" s="195">
        <v>1</v>
      </c>
      <c r="K4402" s="204" t="s">
        <v>224</v>
      </c>
      <c r="L4402" s="199">
        <v>4</v>
      </c>
      <c r="M4402" s="200">
        <v>2.1</v>
      </c>
      <c r="N4402" s="201">
        <v>15</v>
      </c>
    </row>
    <row r="4403" spans="1:14">
      <c r="A4403" s="194">
        <v>41284.578888888886</v>
      </c>
      <c r="B4403" s="195">
        <v>3034</v>
      </c>
      <c r="C4403" s="194"/>
      <c r="D4403" s="194"/>
      <c r="E4403" s="196" t="s">
        <v>698</v>
      </c>
      <c r="F4403" s="195">
        <v>800</v>
      </c>
      <c r="G4403" s="197" t="s">
        <v>470</v>
      </c>
      <c r="H4403" s="197" t="s">
        <v>471</v>
      </c>
      <c r="J4403" s="195">
        <v>1</v>
      </c>
      <c r="K4403" s="204" t="s">
        <v>224</v>
      </c>
      <c r="L4403" s="199">
        <v>4</v>
      </c>
      <c r="M4403" s="200">
        <v>2.2000000000000002</v>
      </c>
      <c r="N4403" s="201">
        <v>15</v>
      </c>
    </row>
    <row r="4404" spans="1:14">
      <c r="A4404" s="194">
        <v>41288.384421296294</v>
      </c>
      <c r="B4404" s="195">
        <v>3034</v>
      </c>
      <c r="C4404" s="194"/>
      <c r="D4404" s="194"/>
      <c r="E4404" s="196" t="s">
        <v>811</v>
      </c>
      <c r="F4404" s="195">
        <v>800</v>
      </c>
      <c r="G4404" s="197" t="s">
        <v>470</v>
      </c>
      <c r="H4404" s="197" t="s">
        <v>471</v>
      </c>
      <c r="J4404" s="195">
        <v>1</v>
      </c>
      <c r="K4404" s="204" t="s">
        <v>224</v>
      </c>
      <c r="L4404" s="199">
        <v>4</v>
      </c>
      <c r="M4404" s="200">
        <v>3.6</v>
      </c>
      <c r="N4404" s="201">
        <v>15</v>
      </c>
    </row>
    <row r="4405" spans="1:14">
      <c r="A4405" s="194">
        <v>41279.566331018519</v>
      </c>
      <c r="B4405" s="195">
        <v>3034</v>
      </c>
      <c r="C4405" s="194"/>
      <c r="D4405" s="194"/>
      <c r="E4405" s="196" t="s">
        <v>676</v>
      </c>
      <c r="F4405" s="195">
        <v>800</v>
      </c>
      <c r="G4405" s="197" t="s">
        <v>470</v>
      </c>
      <c r="H4405" s="197" t="s">
        <v>471</v>
      </c>
      <c r="J4405" s="195">
        <v>1</v>
      </c>
      <c r="K4405" s="204" t="s">
        <v>224</v>
      </c>
      <c r="L4405" s="199">
        <v>4</v>
      </c>
      <c r="M4405" s="200">
        <v>0.3</v>
      </c>
      <c r="N4405" s="201">
        <v>16</v>
      </c>
    </row>
    <row r="4406" spans="1:14">
      <c r="A4406" s="194">
        <v>41298.808680555558</v>
      </c>
      <c r="B4406" s="195">
        <v>3034</v>
      </c>
      <c r="C4406" s="194"/>
      <c r="D4406" s="194"/>
      <c r="E4406" s="196" t="s">
        <v>1230</v>
      </c>
      <c r="F4406" s="195">
        <v>800</v>
      </c>
      <c r="G4406" s="197" t="s">
        <v>470</v>
      </c>
      <c r="H4406" s="197" t="s">
        <v>471</v>
      </c>
      <c r="J4406" s="195">
        <v>1</v>
      </c>
      <c r="K4406" s="204" t="s">
        <v>224</v>
      </c>
      <c r="L4406" s="199">
        <v>4</v>
      </c>
      <c r="M4406" s="200">
        <v>0.3</v>
      </c>
      <c r="N4406" s="201">
        <v>16</v>
      </c>
    </row>
    <row r="4407" spans="1:14">
      <c r="A4407" s="194">
        <v>41276.807974537034</v>
      </c>
      <c r="B4407" s="195">
        <v>3034</v>
      </c>
      <c r="C4407" s="194"/>
      <c r="D4407" s="194"/>
      <c r="E4407" s="196" t="s">
        <v>536</v>
      </c>
      <c r="F4407" s="195">
        <v>800</v>
      </c>
      <c r="G4407" s="197" t="s">
        <v>470</v>
      </c>
      <c r="H4407" s="197" t="s">
        <v>471</v>
      </c>
      <c r="J4407" s="195">
        <v>1</v>
      </c>
      <c r="K4407" s="204" t="s">
        <v>224</v>
      </c>
      <c r="L4407" s="199">
        <v>4</v>
      </c>
      <c r="M4407" s="200">
        <v>0.4</v>
      </c>
      <c r="N4407" s="201">
        <v>16</v>
      </c>
    </row>
    <row r="4408" spans="1:14">
      <c r="A4408" s="194">
        <v>41291.563564814816</v>
      </c>
      <c r="B4408" s="195">
        <v>3034</v>
      </c>
      <c r="C4408" s="194"/>
      <c r="D4408" s="194"/>
      <c r="E4408" s="196" t="s">
        <v>967</v>
      </c>
      <c r="F4408" s="195">
        <v>800</v>
      </c>
      <c r="G4408" s="197" t="s">
        <v>470</v>
      </c>
      <c r="H4408" s="197" t="s">
        <v>471</v>
      </c>
      <c r="J4408" s="195">
        <v>1</v>
      </c>
      <c r="K4408" s="204" t="s">
        <v>224</v>
      </c>
      <c r="L4408" s="199">
        <v>4</v>
      </c>
      <c r="M4408" s="200">
        <v>0.6</v>
      </c>
      <c r="N4408" s="201">
        <v>16</v>
      </c>
    </row>
    <row r="4409" spans="1:14">
      <c r="A4409" s="194">
        <v>41277.51489583333</v>
      </c>
      <c r="B4409" s="195">
        <v>3034</v>
      </c>
      <c r="C4409" s="194"/>
      <c r="D4409" s="194"/>
      <c r="E4409" s="196" t="s">
        <v>549</v>
      </c>
      <c r="F4409" s="195">
        <v>800</v>
      </c>
      <c r="G4409" s="197" t="s">
        <v>470</v>
      </c>
      <c r="H4409" s="197" t="s">
        <v>471</v>
      </c>
      <c r="J4409" s="195">
        <v>1</v>
      </c>
      <c r="K4409" s="204" t="s">
        <v>224</v>
      </c>
      <c r="L4409" s="199">
        <v>4</v>
      </c>
      <c r="M4409" s="200">
        <v>0.8</v>
      </c>
      <c r="N4409" s="201">
        <v>16</v>
      </c>
    </row>
    <row r="4410" spans="1:14">
      <c r="A4410" s="194">
        <v>41285.392025462963</v>
      </c>
      <c r="B4410" s="195">
        <v>3034</v>
      </c>
      <c r="C4410" s="194"/>
      <c r="D4410" s="194"/>
      <c r="E4410" s="196" t="s">
        <v>788</v>
      </c>
      <c r="F4410" s="195">
        <v>800</v>
      </c>
      <c r="G4410" s="197" t="s">
        <v>470</v>
      </c>
      <c r="H4410" s="197" t="s">
        <v>471</v>
      </c>
      <c r="J4410" s="195">
        <v>1</v>
      </c>
      <c r="K4410" s="204" t="s">
        <v>224</v>
      </c>
      <c r="L4410" s="199">
        <v>4</v>
      </c>
      <c r="M4410" s="200">
        <v>0.8</v>
      </c>
      <c r="N4410" s="201">
        <v>16</v>
      </c>
    </row>
    <row r="4411" spans="1:14">
      <c r="A4411" s="194">
        <v>41288.492731481485</v>
      </c>
      <c r="B4411" s="195">
        <v>3034</v>
      </c>
      <c r="C4411" s="194"/>
      <c r="D4411" s="194"/>
      <c r="E4411" s="196" t="s">
        <v>813</v>
      </c>
      <c r="F4411" s="195">
        <v>800</v>
      </c>
      <c r="G4411" s="197" t="s">
        <v>470</v>
      </c>
      <c r="H4411" s="197" t="s">
        <v>471</v>
      </c>
      <c r="J4411" s="195">
        <v>1</v>
      </c>
      <c r="K4411" s="204" t="s">
        <v>224</v>
      </c>
      <c r="L4411" s="199">
        <v>4</v>
      </c>
      <c r="M4411" s="200">
        <v>0.8</v>
      </c>
      <c r="N4411" s="201">
        <v>16</v>
      </c>
    </row>
    <row r="4412" spans="1:14">
      <c r="A4412" s="194">
        <v>41288.833692129629</v>
      </c>
      <c r="B4412" s="195">
        <v>3034</v>
      </c>
      <c r="C4412" s="194"/>
      <c r="D4412" s="194"/>
      <c r="E4412" s="196" t="s">
        <v>874</v>
      </c>
      <c r="F4412" s="195">
        <v>800</v>
      </c>
      <c r="G4412" s="197" t="s">
        <v>470</v>
      </c>
      <c r="H4412" s="197" t="s">
        <v>471</v>
      </c>
      <c r="J4412" s="195">
        <v>1</v>
      </c>
      <c r="K4412" s="204" t="s">
        <v>224</v>
      </c>
      <c r="L4412" s="199">
        <v>4</v>
      </c>
      <c r="M4412" s="200">
        <v>0.8</v>
      </c>
      <c r="N4412" s="201">
        <v>16</v>
      </c>
    </row>
    <row r="4413" spans="1:14">
      <c r="A4413" s="194">
        <v>41303.595532407409</v>
      </c>
      <c r="B4413" s="195">
        <v>3034</v>
      </c>
      <c r="C4413" s="194"/>
      <c r="D4413" s="194"/>
      <c r="E4413" s="196" t="s">
        <v>1522</v>
      </c>
      <c r="F4413" s="195">
        <v>800</v>
      </c>
      <c r="G4413" s="197" t="s">
        <v>470</v>
      </c>
      <c r="H4413" s="197" t="s">
        <v>471</v>
      </c>
      <c r="J4413" s="195">
        <v>1</v>
      </c>
      <c r="K4413" s="204" t="s">
        <v>224</v>
      </c>
      <c r="L4413" s="199">
        <v>4</v>
      </c>
      <c r="M4413" s="200">
        <v>0.8</v>
      </c>
      <c r="N4413" s="201">
        <v>16</v>
      </c>
    </row>
    <row r="4414" spans="1:14">
      <c r="A4414" s="194">
        <v>41298.775358796294</v>
      </c>
      <c r="B4414" s="195">
        <v>3034</v>
      </c>
      <c r="C4414" s="194"/>
      <c r="D4414" s="194"/>
      <c r="E4414" s="196" t="s">
        <v>1229</v>
      </c>
      <c r="F4414" s="195">
        <v>800</v>
      </c>
      <c r="G4414" s="197" t="s">
        <v>470</v>
      </c>
      <c r="H4414" s="197" t="s">
        <v>471</v>
      </c>
      <c r="J4414" s="195">
        <v>1</v>
      </c>
      <c r="K4414" s="204" t="s">
        <v>224</v>
      </c>
      <c r="L4414" s="199">
        <v>3</v>
      </c>
      <c r="M4414" s="200">
        <v>1</v>
      </c>
      <c r="N4414" s="201">
        <v>16</v>
      </c>
    </row>
    <row r="4415" spans="1:14">
      <c r="A4415" s="194">
        <v>41305.477465277778</v>
      </c>
      <c r="B4415" s="195">
        <v>3034</v>
      </c>
      <c r="C4415" s="194"/>
      <c r="D4415" s="194"/>
      <c r="E4415" s="196" t="s">
        <v>1517</v>
      </c>
      <c r="F4415" s="195">
        <v>800</v>
      </c>
      <c r="G4415" s="197" t="s">
        <v>470</v>
      </c>
      <c r="H4415" s="197" t="s">
        <v>471</v>
      </c>
      <c r="J4415" s="195">
        <v>1</v>
      </c>
      <c r="K4415" s="204" t="s">
        <v>224</v>
      </c>
      <c r="L4415" s="199">
        <v>4</v>
      </c>
      <c r="M4415" s="200">
        <v>1.2</v>
      </c>
      <c r="N4415" s="201">
        <v>16</v>
      </c>
    </row>
    <row r="4416" spans="1:14">
      <c r="A4416" s="194">
        <v>41276.88853009259</v>
      </c>
      <c r="B4416" s="195">
        <v>3034</v>
      </c>
      <c r="C4416" s="194"/>
      <c r="D4416" s="194"/>
      <c r="E4416" s="196" t="s">
        <v>538</v>
      </c>
      <c r="F4416" s="195">
        <v>800</v>
      </c>
      <c r="G4416" s="197" t="s">
        <v>470</v>
      </c>
      <c r="H4416" s="197" t="s">
        <v>471</v>
      </c>
      <c r="J4416" s="195">
        <v>1</v>
      </c>
      <c r="K4416" s="204" t="s">
        <v>224</v>
      </c>
      <c r="L4416" s="199">
        <v>4</v>
      </c>
      <c r="M4416" s="200">
        <v>1.5</v>
      </c>
      <c r="N4416" s="201">
        <v>16</v>
      </c>
    </row>
    <row r="4417" spans="1:14">
      <c r="A4417" s="194">
        <v>41301.685844907406</v>
      </c>
      <c r="B4417" s="195">
        <v>3034</v>
      </c>
      <c r="C4417" s="194"/>
      <c r="D4417" s="194"/>
      <c r="E4417" s="196" t="s">
        <v>1263</v>
      </c>
      <c r="F4417" s="195">
        <v>800</v>
      </c>
      <c r="G4417" s="197" t="s">
        <v>470</v>
      </c>
      <c r="H4417" s="197" t="s">
        <v>471</v>
      </c>
      <c r="J4417" s="195">
        <v>1</v>
      </c>
      <c r="K4417" s="204" t="s">
        <v>224</v>
      </c>
      <c r="L4417" s="199">
        <v>4</v>
      </c>
      <c r="M4417" s="200">
        <v>1.6</v>
      </c>
      <c r="N4417" s="201">
        <v>16</v>
      </c>
    </row>
    <row r="4418" spans="1:14">
      <c r="A4418" s="194">
        <v>41281.483668981484</v>
      </c>
      <c r="B4418" s="195">
        <v>3034</v>
      </c>
      <c r="C4418" s="194"/>
      <c r="D4418" s="194"/>
      <c r="E4418" s="196" t="s">
        <v>572</v>
      </c>
      <c r="F4418" s="195">
        <v>800</v>
      </c>
      <c r="G4418" s="197" t="s">
        <v>470</v>
      </c>
      <c r="H4418" s="197" t="s">
        <v>471</v>
      </c>
      <c r="J4418" s="195">
        <v>1</v>
      </c>
      <c r="K4418" s="204" t="s">
        <v>224</v>
      </c>
      <c r="L4418" s="199">
        <v>4</v>
      </c>
      <c r="M4418" s="200">
        <v>0.2</v>
      </c>
      <c r="N4418" s="201">
        <v>17</v>
      </c>
    </row>
    <row r="4419" spans="1:14">
      <c r="A4419" s="194">
        <v>41285.898252314815</v>
      </c>
      <c r="B4419" s="195">
        <v>3034</v>
      </c>
      <c r="C4419" s="194"/>
      <c r="D4419" s="194"/>
      <c r="E4419" s="196" t="s">
        <v>793</v>
      </c>
      <c r="F4419" s="195">
        <v>800</v>
      </c>
      <c r="G4419" s="197" t="s">
        <v>470</v>
      </c>
      <c r="H4419" s="197" t="s">
        <v>471</v>
      </c>
      <c r="J4419" s="195">
        <v>1</v>
      </c>
      <c r="K4419" s="204" t="s">
        <v>224</v>
      </c>
      <c r="L4419" s="199">
        <v>4</v>
      </c>
      <c r="M4419" s="200">
        <v>0.3</v>
      </c>
      <c r="N4419" s="201">
        <v>17</v>
      </c>
    </row>
    <row r="4420" spans="1:14">
      <c r="A4420" s="194">
        <v>41287.729502314818</v>
      </c>
      <c r="B4420" s="195">
        <v>3034</v>
      </c>
      <c r="C4420" s="194"/>
      <c r="D4420" s="194"/>
      <c r="E4420" s="196" t="s">
        <v>810</v>
      </c>
      <c r="F4420" s="195">
        <v>800</v>
      </c>
      <c r="G4420" s="197" t="s">
        <v>470</v>
      </c>
      <c r="H4420" s="197" t="s">
        <v>471</v>
      </c>
      <c r="J4420" s="195">
        <v>1</v>
      </c>
      <c r="K4420" s="204" t="s">
        <v>224</v>
      </c>
      <c r="L4420" s="199">
        <v>4</v>
      </c>
      <c r="M4420" s="200">
        <v>0.3</v>
      </c>
      <c r="N4420" s="201">
        <v>17</v>
      </c>
    </row>
    <row r="4421" spans="1:14">
      <c r="A4421" s="194">
        <v>41301.692777777775</v>
      </c>
      <c r="B4421" s="195">
        <v>3034</v>
      </c>
      <c r="C4421" s="194"/>
      <c r="D4421" s="194"/>
      <c r="E4421" s="196" t="s">
        <v>1264</v>
      </c>
      <c r="F4421" s="195">
        <v>800</v>
      </c>
      <c r="G4421" s="197" t="s">
        <v>470</v>
      </c>
      <c r="H4421" s="197" t="s">
        <v>471</v>
      </c>
      <c r="J4421" s="195">
        <v>1</v>
      </c>
      <c r="K4421" s="204" t="s">
        <v>224</v>
      </c>
      <c r="L4421" s="199">
        <v>4</v>
      </c>
      <c r="M4421" s="200">
        <v>0.3</v>
      </c>
      <c r="N4421" s="201">
        <v>17</v>
      </c>
    </row>
    <row r="4422" spans="1:14">
      <c r="A4422" s="194">
        <v>41278.970486111109</v>
      </c>
      <c r="B4422" s="195">
        <v>3034</v>
      </c>
      <c r="C4422" s="194"/>
      <c r="D4422" s="194"/>
      <c r="E4422" s="196" t="s">
        <v>666</v>
      </c>
      <c r="F4422" s="195">
        <v>800</v>
      </c>
      <c r="G4422" s="197" t="s">
        <v>470</v>
      </c>
      <c r="H4422" s="197" t="s">
        <v>471</v>
      </c>
      <c r="J4422" s="195">
        <v>1</v>
      </c>
      <c r="K4422" s="204" t="s">
        <v>224</v>
      </c>
      <c r="L4422" s="199">
        <v>4</v>
      </c>
      <c r="M4422" s="200">
        <v>0.4</v>
      </c>
      <c r="N4422" s="201">
        <v>17</v>
      </c>
    </row>
    <row r="4423" spans="1:14">
      <c r="A4423" s="194">
        <v>41279.85869212963</v>
      </c>
      <c r="B4423" s="195">
        <v>3034</v>
      </c>
      <c r="C4423" s="194"/>
      <c r="D4423" s="194"/>
      <c r="E4423" s="196" t="s">
        <v>686</v>
      </c>
      <c r="F4423" s="195">
        <v>800</v>
      </c>
      <c r="G4423" s="197" t="s">
        <v>470</v>
      </c>
      <c r="H4423" s="197" t="s">
        <v>471</v>
      </c>
      <c r="J4423" s="195">
        <v>1</v>
      </c>
      <c r="K4423" s="204" t="s">
        <v>224</v>
      </c>
      <c r="L4423" s="199">
        <v>4</v>
      </c>
      <c r="M4423" s="200">
        <v>0.4</v>
      </c>
      <c r="N4423" s="201">
        <v>17</v>
      </c>
    </row>
    <row r="4424" spans="1:14">
      <c r="A4424" s="194">
        <v>41286.574629629627</v>
      </c>
      <c r="B4424" s="195">
        <v>3034</v>
      </c>
      <c r="C4424" s="194"/>
      <c r="D4424" s="194"/>
      <c r="E4424" s="196" t="s">
        <v>801</v>
      </c>
      <c r="F4424" s="195">
        <v>800</v>
      </c>
      <c r="G4424" s="197" t="s">
        <v>470</v>
      </c>
      <c r="H4424" s="197" t="s">
        <v>471</v>
      </c>
      <c r="J4424" s="195">
        <v>1</v>
      </c>
      <c r="K4424" s="204" t="s">
        <v>224</v>
      </c>
      <c r="L4424" s="199">
        <v>4</v>
      </c>
      <c r="M4424" s="200">
        <v>0.7</v>
      </c>
      <c r="N4424" s="201">
        <v>17</v>
      </c>
    </row>
    <row r="4425" spans="1:14">
      <c r="A4425" s="194">
        <v>41298.713541666664</v>
      </c>
      <c r="B4425" s="195">
        <v>3034</v>
      </c>
      <c r="C4425" s="194"/>
      <c r="D4425" s="194"/>
      <c r="E4425" s="196" t="s">
        <v>1228</v>
      </c>
      <c r="F4425" s="195">
        <v>800</v>
      </c>
      <c r="G4425" s="197" t="s">
        <v>470</v>
      </c>
      <c r="H4425" s="197" t="s">
        <v>471</v>
      </c>
      <c r="J4425" s="195">
        <v>1</v>
      </c>
      <c r="K4425" s="204" t="s">
        <v>224</v>
      </c>
      <c r="L4425" s="199">
        <v>4</v>
      </c>
      <c r="M4425" s="200">
        <v>0.7</v>
      </c>
      <c r="N4425" s="201">
        <v>17</v>
      </c>
    </row>
    <row r="4426" spans="1:14">
      <c r="A4426" s="194">
        <v>41277.667696759258</v>
      </c>
      <c r="B4426" s="195">
        <v>3034</v>
      </c>
      <c r="C4426" s="194"/>
      <c r="D4426" s="194"/>
      <c r="E4426" s="196" t="s">
        <v>550</v>
      </c>
      <c r="F4426" s="195">
        <v>800</v>
      </c>
      <c r="G4426" s="197" t="s">
        <v>470</v>
      </c>
      <c r="H4426" s="197" t="s">
        <v>471</v>
      </c>
      <c r="J4426" s="195">
        <v>1</v>
      </c>
      <c r="K4426" s="204" t="s">
        <v>224</v>
      </c>
      <c r="L4426" s="199">
        <v>4</v>
      </c>
      <c r="M4426" s="200">
        <v>0.8</v>
      </c>
      <c r="N4426" s="201">
        <v>17</v>
      </c>
    </row>
    <row r="4427" spans="1:14">
      <c r="A4427" s="194">
        <v>41298.495509259257</v>
      </c>
      <c r="B4427" s="195">
        <v>3034</v>
      </c>
      <c r="C4427" s="194"/>
      <c r="D4427" s="194"/>
      <c r="E4427" s="196" t="s">
        <v>1227</v>
      </c>
      <c r="F4427" s="195">
        <v>800</v>
      </c>
      <c r="G4427" s="197" t="s">
        <v>470</v>
      </c>
      <c r="H4427" s="197" t="s">
        <v>471</v>
      </c>
      <c r="J4427" s="195">
        <v>1</v>
      </c>
      <c r="K4427" s="204" t="s">
        <v>224</v>
      </c>
      <c r="L4427" s="199">
        <v>4</v>
      </c>
      <c r="M4427" s="200">
        <v>1</v>
      </c>
      <c r="N4427" s="201">
        <v>17</v>
      </c>
    </row>
    <row r="4428" spans="1:14">
      <c r="A4428" s="194">
        <v>41277.726076388892</v>
      </c>
      <c r="B4428" s="195">
        <v>3034</v>
      </c>
      <c r="C4428" s="194"/>
      <c r="D4428" s="194"/>
      <c r="E4428" s="196" t="s">
        <v>551</v>
      </c>
      <c r="F4428" s="195">
        <v>800</v>
      </c>
      <c r="G4428" s="197" t="s">
        <v>470</v>
      </c>
      <c r="H4428" s="197" t="s">
        <v>471</v>
      </c>
      <c r="J4428" s="195">
        <v>1</v>
      </c>
      <c r="K4428" s="204" t="s">
        <v>224</v>
      </c>
      <c r="L4428" s="199">
        <v>4</v>
      </c>
      <c r="M4428" s="200">
        <v>1.2</v>
      </c>
      <c r="N4428" s="201">
        <v>17</v>
      </c>
    </row>
    <row r="4429" spans="1:14">
      <c r="A4429" s="194">
        <v>41304.458055555559</v>
      </c>
      <c r="B4429" s="195">
        <v>3034</v>
      </c>
      <c r="C4429" s="194"/>
      <c r="D4429" s="194"/>
      <c r="E4429" s="196" t="s">
        <v>1556</v>
      </c>
      <c r="F4429" s="195">
        <v>800</v>
      </c>
      <c r="G4429" s="197" t="s">
        <v>470</v>
      </c>
      <c r="H4429" s="197" t="s">
        <v>471</v>
      </c>
      <c r="J4429" s="195">
        <v>1</v>
      </c>
      <c r="K4429" s="204" t="s">
        <v>224</v>
      </c>
      <c r="L4429" s="199">
        <v>4</v>
      </c>
      <c r="M4429" s="200">
        <v>1.5</v>
      </c>
      <c r="N4429" s="201">
        <v>17</v>
      </c>
    </row>
    <row r="4430" spans="1:14">
      <c r="A4430" s="194">
        <v>41301.594837962963</v>
      </c>
      <c r="B4430" s="195">
        <v>3034</v>
      </c>
      <c r="C4430" s="194"/>
      <c r="D4430" s="194"/>
      <c r="E4430" s="196" t="s">
        <v>1261</v>
      </c>
      <c r="F4430" s="195">
        <v>800</v>
      </c>
      <c r="G4430" s="197" t="s">
        <v>470</v>
      </c>
      <c r="H4430" s="197" t="s">
        <v>471</v>
      </c>
      <c r="J4430" s="195">
        <v>1</v>
      </c>
      <c r="K4430" s="204" t="s">
        <v>224</v>
      </c>
      <c r="L4430" s="199">
        <v>4</v>
      </c>
      <c r="M4430" s="200">
        <v>1.7</v>
      </c>
      <c r="N4430" s="201">
        <v>17</v>
      </c>
    </row>
    <row r="4431" spans="1:14">
      <c r="A4431" s="194">
        <v>41286.506585648145</v>
      </c>
      <c r="B4431" s="195">
        <v>3034</v>
      </c>
      <c r="C4431" s="194"/>
      <c r="D4431" s="194"/>
      <c r="E4431" s="196" t="s">
        <v>797</v>
      </c>
      <c r="F4431" s="195">
        <v>800</v>
      </c>
      <c r="G4431" s="197" t="s">
        <v>470</v>
      </c>
      <c r="H4431" s="197" t="s">
        <v>471</v>
      </c>
      <c r="J4431" s="195">
        <v>1</v>
      </c>
      <c r="K4431" s="204" t="s">
        <v>224</v>
      </c>
      <c r="L4431" s="199">
        <v>4</v>
      </c>
      <c r="M4431" s="200">
        <v>2</v>
      </c>
      <c r="N4431" s="201">
        <v>17</v>
      </c>
    </row>
    <row r="4432" spans="1:14">
      <c r="A4432" s="194">
        <v>41301.765694444446</v>
      </c>
      <c r="B4432" s="195">
        <v>3034</v>
      </c>
      <c r="C4432" s="194"/>
      <c r="D4432" s="194"/>
      <c r="E4432" s="196" t="s">
        <v>1265</v>
      </c>
      <c r="F4432" s="195">
        <v>800</v>
      </c>
      <c r="G4432" s="197" t="s">
        <v>470</v>
      </c>
      <c r="H4432" s="197" t="s">
        <v>471</v>
      </c>
      <c r="J4432" s="195">
        <v>1</v>
      </c>
      <c r="K4432" s="204" t="s">
        <v>224</v>
      </c>
      <c r="L4432" s="199">
        <v>4</v>
      </c>
      <c r="M4432" s="200">
        <v>0.3</v>
      </c>
      <c r="N4432" s="201">
        <v>18</v>
      </c>
    </row>
    <row r="4433" spans="1:14">
      <c r="A4433" s="194">
        <v>41301.821238425924</v>
      </c>
      <c r="B4433" s="195">
        <v>3034</v>
      </c>
      <c r="C4433" s="194"/>
      <c r="D4433" s="194"/>
      <c r="E4433" s="196" t="s">
        <v>1266</v>
      </c>
      <c r="F4433" s="195">
        <v>800</v>
      </c>
      <c r="G4433" s="197" t="s">
        <v>470</v>
      </c>
      <c r="H4433" s="197" t="s">
        <v>471</v>
      </c>
      <c r="J4433" s="195">
        <v>1</v>
      </c>
      <c r="K4433" s="204" t="s">
        <v>224</v>
      </c>
      <c r="L4433" s="199">
        <v>4</v>
      </c>
      <c r="M4433" s="200">
        <v>0.3</v>
      </c>
      <c r="N4433" s="201">
        <v>18</v>
      </c>
    </row>
    <row r="4434" spans="1:14">
      <c r="A4434" s="194">
        <v>41288.489953703705</v>
      </c>
      <c r="B4434" s="195">
        <v>3034</v>
      </c>
      <c r="C4434" s="194"/>
      <c r="D4434" s="194"/>
      <c r="E4434" s="196" t="s">
        <v>812</v>
      </c>
      <c r="F4434" s="195">
        <v>800</v>
      </c>
      <c r="G4434" s="197" t="s">
        <v>470</v>
      </c>
      <c r="H4434" s="197" t="s">
        <v>471</v>
      </c>
      <c r="J4434" s="195">
        <v>1</v>
      </c>
      <c r="K4434" s="204" t="s">
        <v>224</v>
      </c>
      <c r="L4434" s="199">
        <v>4</v>
      </c>
      <c r="M4434" s="200">
        <v>0.4</v>
      </c>
      <c r="N4434" s="201">
        <v>18</v>
      </c>
    </row>
    <row r="4435" spans="1:14">
      <c r="A4435" s="194">
        <v>41291.871886574074</v>
      </c>
      <c r="B4435" s="195">
        <v>3034</v>
      </c>
      <c r="C4435" s="194"/>
      <c r="D4435" s="194"/>
      <c r="E4435" s="196" t="s">
        <v>972</v>
      </c>
      <c r="F4435" s="195">
        <v>800</v>
      </c>
      <c r="G4435" s="197" t="s">
        <v>470</v>
      </c>
      <c r="H4435" s="197" t="s">
        <v>471</v>
      </c>
      <c r="J4435" s="195">
        <v>1</v>
      </c>
      <c r="K4435" s="204" t="s">
        <v>224</v>
      </c>
      <c r="L4435" s="199">
        <v>4</v>
      </c>
      <c r="M4435" s="200">
        <v>0.5</v>
      </c>
      <c r="N4435" s="201">
        <v>18</v>
      </c>
    </row>
    <row r="4436" spans="1:14">
      <c r="A4436" s="194">
        <v>41286.5315625</v>
      </c>
      <c r="B4436" s="195">
        <v>3034</v>
      </c>
      <c r="C4436" s="194"/>
      <c r="D4436" s="194"/>
      <c r="E4436" s="196" t="s">
        <v>798</v>
      </c>
      <c r="F4436" s="195">
        <v>800</v>
      </c>
      <c r="G4436" s="197" t="s">
        <v>470</v>
      </c>
      <c r="H4436" s="197" t="s">
        <v>471</v>
      </c>
      <c r="J4436" s="195">
        <v>1</v>
      </c>
      <c r="K4436" s="204" t="s">
        <v>224</v>
      </c>
      <c r="L4436" s="199">
        <v>4</v>
      </c>
      <c r="M4436" s="200">
        <v>0.6</v>
      </c>
      <c r="N4436" s="201">
        <v>18</v>
      </c>
    </row>
    <row r="4437" spans="1:14">
      <c r="A4437" s="194">
        <v>41285.621180555558</v>
      </c>
      <c r="B4437" s="195">
        <v>3034</v>
      </c>
      <c r="C4437" s="194"/>
      <c r="D4437" s="194"/>
      <c r="E4437" s="196" t="s">
        <v>790</v>
      </c>
      <c r="F4437" s="195">
        <v>800</v>
      </c>
      <c r="G4437" s="197" t="s">
        <v>470</v>
      </c>
      <c r="H4437" s="197" t="s">
        <v>471</v>
      </c>
      <c r="J4437" s="195">
        <v>1</v>
      </c>
      <c r="K4437" s="204" t="s">
        <v>224</v>
      </c>
      <c r="L4437" s="199">
        <v>4</v>
      </c>
      <c r="M4437" s="200">
        <v>0.7</v>
      </c>
      <c r="N4437" s="201">
        <v>18</v>
      </c>
    </row>
    <row r="4438" spans="1:14">
      <c r="A4438" s="194">
        <v>41299.098252314812</v>
      </c>
      <c r="B4438" s="195">
        <v>3034</v>
      </c>
      <c r="C4438" s="194"/>
      <c r="D4438" s="194"/>
      <c r="E4438" s="196" t="s">
        <v>1237</v>
      </c>
      <c r="F4438" s="195">
        <v>800</v>
      </c>
      <c r="G4438" s="197" t="s">
        <v>470</v>
      </c>
      <c r="H4438" s="197" t="s">
        <v>471</v>
      </c>
      <c r="J4438" s="195">
        <v>1</v>
      </c>
      <c r="K4438" s="204" t="s">
        <v>224</v>
      </c>
      <c r="L4438" s="199">
        <v>4</v>
      </c>
      <c r="M4438" s="200">
        <v>0.7</v>
      </c>
      <c r="N4438" s="201">
        <v>18</v>
      </c>
    </row>
    <row r="4439" spans="1:14">
      <c r="A4439" s="194">
        <v>41286.571851851855</v>
      </c>
      <c r="B4439" s="195">
        <v>3034</v>
      </c>
      <c r="C4439" s="194"/>
      <c r="D4439" s="194"/>
      <c r="E4439" s="196" t="s">
        <v>800</v>
      </c>
      <c r="F4439" s="195">
        <v>800</v>
      </c>
      <c r="G4439" s="197" t="s">
        <v>470</v>
      </c>
      <c r="H4439" s="197" t="s">
        <v>471</v>
      </c>
      <c r="J4439" s="195">
        <v>1</v>
      </c>
      <c r="K4439" s="204" t="s">
        <v>224</v>
      </c>
      <c r="L4439" s="199">
        <v>4</v>
      </c>
      <c r="M4439" s="200">
        <v>1.5</v>
      </c>
      <c r="N4439" s="201">
        <v>18</v>
      </c>
    </row>
    <row r="4440" spans="1:14">
      <c r="A4440" s="194">
        <v>41277.503101851849</v>
      </c>
      <c r="B4440" s="195">
        <v>3034</v>
      </c>
      <c r="C4440" s="194"/>
      <c r="D4440" s="194"/>
      <c r="E4440" s="196" t="s">
        <v>548</v>
      </c>
      <c r="F4440" s="195">
        <v>800</v>
      </c>
      <c r="G4440" s="197" t="s">
        <v>470</v>
      </c>
      <c r="H4440" s="197" t="s">
        <v>471</v>
      </c>
      <c r="J4440" s="195">
        <v>1</v>
      </c>
      <c r="K4440" s="204" t="s">
        <v>224</v>
      </c>
      <c r="L4440" s="199">
        <v>4</v>
      </c>
      <c r="M4440" s="200">
        <v>1.7</v>
      </c>
      <c r="N4440" s="201">
        <v>18</v>
      </c>
    </row>
    <row r="4441" spans="1:14">
      <c r="A4441" s="194">
        <v>41303.669861111113</v>
      </c>
      <c r="B4441" s="195">
        <v>3034</v>
      </c>
      <c r="C4441" s="194"/>
      <c r="D4441" s="194"/>
      <c r="E4441" s="196" t="s">
        <v>1525</v>
      </c>
      <c r="F4441" s="195">
        <v>800</v>
      </c>
      <c r="G4441" s="197" t="s">
        <v>470</v>
      </c>
      <c r="H4441" s="197" t="s">
        <v>471</v>
      </c>
      <c r="J4441" s="195">
        <v>1</v>
      </c>
      <c r="K4441" s="204" t="s">
        <v>224</v>
      </c>
      <c r="L4441" s="199">
        <v>4</v>
      </c>
      <c r="M4441" s="200">
        <v>2.1</v>
      </c>
      <c r="N4441" s="201">
        <v>18</v>
      </c>
    </row>
    <row r="4442" spans="1:14">
      <c r="A4442" s="194">
        <v>41291.807997685188</v>
      </c>
      <c r="B4442" s="195">
        <v>3034</v>
      </c>
      <c r="C4442" s="194"/>
      <c r="D4442" s="194"/>
      <c r="E4442" s="196" t="s">
        <v>968</v>
      </c>
      <c r="F4442" s="195">
        <v>800</v>
      </c>
      <c r="G4442" s="197" t="s">
        <v>470</v>
      </c>
      <c r="H4442" s="197" t="s">
        <v>471</v>
      </c>
      <c r="J4442" s="195">
        <v>1</v>
      </c>
      <c r="K4442" s="204" t="s">
        <v>224</v>
      </c>
      <c r="L4442" s="199">
        <v>4</v>
      </c>
      <c r="M4442" s="200">
        <v>0.4</v>
      </c>
      <c r="N4442" s="201">
        <v>19</v>
      </c>
    </row>
    <row r="4443" spans="1:14">
      <c r="A4443" s="194">
        <v>41290.458692129629</v>
      </c>
      <c r="B4443" s="195">
        <v>3034</v>
      </c>
      <c r="C4443" s="194"/>
      <c r="D4443" s="194"/>
      <c r="E4443" s="196" t="s">
        <v>1059</v>
      </c>
      <c r="F4443" s="195">
        <v>800</v>
      </c>
      <c r="G4443" s="197" t="s">
        <v>470</v>
      </c>
      <c r="H4443" s="197" t="s">
        <v>471</v>
      </c>
      <c r="J4443" s="195">
        <v>1</v>
      </c>
      <c r="K4443" s="204" t="s">
        <v>224</v>
      </c>
      <c r="L4443" s="199">
        <v>2</v>
      </c>
      <c r="M4443" s="200">
        <v>0.5</v>
      </c>
      <c r="N4443" s="201">
        <v>19</v>
      </c>
    </row>
    <row r="4444" spans="1:14">
      <c r="A4444" s="194">
        <v>41277.383680555555</v>
      </c>
      <c r="B4444" s="195">
        <v>3034</v>
      </c>
      <c r="C4444" s="194"/>
      <c r="D4444" s="194"/>
      <c r="E4444" s="196" t="s">
        <v>547</v>
      </c>
      <c r="F4444" s="195">
        <v>800</v>
      </c>
      <c r="G4444" s="197" t="s">
        <v>470</v>
      </c>
      <c r="H4444" s="197" t="s">
        <v>471</v>
      </c>
      <c r="J4444" s="195">
        <v>1</v>
      </c>
      <c r="K4444" s="204" t="s">
        <v>224</v>
      </c>
      <c r="L4444" s="199">
        <v>4</v>
      </c>
      <c r="M4444" s="200">
        <v>1.5</v>
      </c>
      <c r="N4444" s="201">
        <v>19</v>
      </c>
    </row>
    <row r="4445" spans="1:14">
      <c r="A4445" s="194">
        <v>41286.557256944441</v>
      </c>
      <c r="B4445" s="195">
        <v>3034</v>
      </c>
      <c r="C4445" s="194"/>
      <c r="D4445" s="194"/>
      <c r="E4445" s="196" t="s">
        <v>799</v>
      </c>
      <c r="F4445" s="195">
        <v>800</v>
      </c>
      <c r="G4445" s="197" t="s">
        <v>470</v>
      </c>
      <c r="H4445" s="197" t="s">
        <v>471</v>
      </c>
      <c r="J4445" s="195">
        <v>1</v>
      </c>
      <c r="K4445" s="204" t="s">
        <v>224</v>
      </c>
      <c r="L4445" s="199">
        <v>4</v>
      </c>
      <c r="M4445" s="200">
        <v>0.4</v>
      </c>
      <c r="N4445" s="201">
        <v>20</v>
      </c>
    </row>
    <row r="4446" spans="1:14">
      <c r="A4446" s="194">
        <v>41285.589201388888</v>
      </c>
      <c r="B4446" s="195">
        <v>3034</v>
      </c>
      <c r="C4446" s="194"/>
      <c r="D4446" s="194"/>
      <c r="E4446" s="196" t="s">
        <v>789</v>
      </c>
      <c r="F4446" s="195">
        <v>800</v>
      </c>
      <c r="G4446" s="197" t="s">
        <v>470</v>
      </c>
      <c r="H4446" s="197" t="s">
        <v>471</v>
      </c>
      <c r="J4446" s="195">
        <v>1</v>
      </c>
      <c r="K4446" s="204" t="s">
        <v>224</v>
      </c>
      <c r="L4446" s="199">
        <v>4</v>
      </c>
      <c r="M4446" s="200">
        <v>1.1000000000000001</v>
      </c>
      <c r="N4446" s="201">
        <v>20</v>
      </c>
    </row>
    <row r="4447" spans="1:14">
      <c r="A4447" s="194">
        <v>41301.631655092591</v>
      </c>
      <c r="B4447" s="195">
        <v>3034</v>
      </c>
      <c r="C4447" s="194"/>
      <c r="D4447" s="194"/>
      <c r="E4447" s="196" t="s">
        <v>1262</v>
      </c>
      <c r="F4447" s="195">
        <v>800</v>
      </c>
      <c r="G4447" s="197" t="s">
        <v>470</v>
      </c>
      <c r="H4447" s="197" t="s">
        <v>471</v>
      </c>
      <c r="J4447" s="195">
        <v>1</v>
      </c>
      <c r="K4447" s="204" t="s">
        <v>224</v>
      </c>
      <c r="L4447" s="199">
        <v>3</v>
      </c>
      <c r="M4447" s="200">
        <v>1.2</v>
      </c>
      <c r="N4447" s="201">
        <v>20</v>
      </c>
    </row>
    <row r="4448" spans="1:14">
      <c r="A4448" s="194">
        <v>41278.843425925923</v>
      </c>
      <c r="B4448" s="195">
        <v>3034</v>
      </c>
      <c r="C4448" s="194"/>
      <c r="D4448" s="194"/>
      <c r="E4448" s="196" t="s">
        <v>664</v>
      </c>
      <c r="F4448" s="195">
        <v>800</v>
      </c>
      <c r="G4448" s="197" t="s">
        <v>470</v>
      </c>
      <c r="H4448" s="197" t="s">
        <v>471</v>
      </c>
      <c r="J4448" s="195">
        <v>1</v>
      </c>
      <c r="K4448" s="204" t="s">
        <v>224</v>
      </c>
      <c r="L4448" s="199">
        <v>4</v>
      </c>
      <c r="M4448" s="200">
        <v>1.7</v>
      </c>
      <c r="N4448" s="201">
        <v>20</v>
      </c>
    </row>
    <row r="4449" spans="1:14">
      <c r="A4449" s="194">
        <v>41303.429571759261</v>
      </c>
      <c r="B4449" s="195">
        <v>3034</v>
      </c>
      <c r="C4449" s="194"/>
      <c r="D4449" s="194"/>
      <c r="E4449" s="196" t="s">
        <v>1516</v>
      </c>
      <c r="F4449" s="195">
        <v>800</v>
      </c>
      <c r="G4449" s="197" t="s">
        <v>470</v>
      </c>
      <c r="H4449" s="197" t="s">
        <v>471</v>
      </c>
      <c r="J4449" s="195">
        <v>1</v>
      </c>
      <c r="K4449" s="204" t="s">
        <v>224</v>
      </c>
      <c r="L4449" s="199">
        <v>4</v>
      </c>
      <c r="M4449" s="200">
        <v>0.5</v>
      </c>
      <c r="N4449" s="201">
        <v>21</v>
      </c>
    </row>
    <row r="4450" spans="1:14">
      <c r="A4450" s="194">
        <v>41278.547592592593</v>
      </c>
      <c r="B4450" s="195">
        <v>3034</v>
      </c>
      <c r="C4450" s="194"/>
      <c r="D4450" s="194"/>
      <c r="E4450" s="196" t="s">
        <v>652</v>
      </c>
      <c r="F4450" s="195">
        <v>800</v>
      </c>
      <c r="G4450" s="197" t="s">
        <v>470</v>
      </c>
      <c r="H4450" s="197" t="s">
        <v>471</v>
      </c>
      <c r="J4450" s="195">
        <v>1</v>
      </c>
      <c r="K4450" s="204" t="s">
        <v>224</v>
      </c>
      <c r="L4450" s="199">
        <v>4</v>
      </c>
      <c r="M4450" s="200">
        <v>0.7</v>
      </c>
      <c r="N4450" s="201">
        <v>21</v>
      </c>
    </row>
    <row r="4451" spans="1:14">
      <c r="A4451" s="194">
        <v>41288.533032407409</v>
      </c>
      <c r="B4451" s="195">
        <v>3034</v>
      </c>
      <c r="C4451" s="194"/>
      <c r="D4451" s="194"/>
      <c r="E4451" s="196" t="s">
        <v>871</v>
      </c>
      <c r="F4451" s="195">
        <v>800</v>
      </c>
      <c r="G4451" s="197" t="s">
        <v>470</v>
      </c>
      <c r="H4451" s="197" t="s">
        <v>471</v>
      </c>
      <c r="J4451" s="195">
        <v>1</v>
      </c>
      <c r="K4451" s="204" t="s">
        <v>224</v>
      </c>
      <c r="L4451" s="199">
        <v>3</v>
      </c>
      <c r="M4451" s="200">
        <v>3</v>
      </c>
      <c r="N4451" s="201">
        <v>21</v>
      </c>
    </row>
    <row r="4452" spans="1:14">
      <c r="A4452" s="194">
        <v>41284.612893518519</v>
      </c>
      <c r="B4452" s="195">
        <v>3034</v>
      </c>
      <c r="C4452" s="194"/>
      <c r="D4452" s="194"/>
      <c r="E4452" s="196" t="s">
        <v>700</v>
      </c>
      <c r="F4452" s="195">
        <v>800</v>
      </c>
      <c r="G4452" s="197" t="s">
        <v>470</v>
      </c>
      <c r="H4452" s="197" t="s">
        <v>471</v>
      </c>
      <c r="J4452" s="195">
        <v>1</v>
      </c>
      <c r="K4452" s="204" t="s">
        <v>224</v>
      </c>
      <c r="L4452" s="199">
        <v>4</v>
      </c>
      <c r="M4452" s="200">
        <v>0.5</v>
      </c>
      <c r="N4452" s="201">
        <v>22</v>
      </c>
    </row>
    <row r="4453" spans="1:14">
      <c r="A4453" s="194">
        <v>41305.731620370374</v>
      </c>
      <c r="B4453" s="195">
        <v>3034</v>
      </c>
      <c r="C4453" s="194"/>
      <c r="D4453" s="194"/>
      <c r="E4453" s="196" t="s">
        <v>1523</v>
      </c>
      <c r="F4453" s="195">
        <v>800</v>
      </c>
      <c r="G4453" s="197" t="s">
        <v>470</v>
      </c>
      <c r="H4453" s="197" t="s">
        <v>471</v>
      </c>
      <c r="J4453" s="195">
        <v>1</v>
      </c>
      <c r="K4453" s="204" t="s">
        <v>224</v>
      </c>
      <c r="L4453" s="199">
        <v>3</v>
      </c>
      <c r="M4453" s="200">
        <v>0.6</v>
      </c>
      <c r="N4453" s="201">
        <v>22</v>
      </c>
    </row>
    <row r="4454" spans="1:14">
      <c r="A4454" s="194">
        <v>41276.786435185182</v>
      </c>
      <c r="B4454" s="195">
        <v>3034</v>
      </c>
      <c r="C4454" s="194"/>
      <c r="D4454" s="194"/>
      <c r="E4454" s="196" t="s">
        <v>535</v>
      </c>
      <c r="F4454" s="195">
        <v>800</v>
      </c>
      <c r="G4454" s="197" t="s">
        <v>470</v>
      </c>
      <c r="H4454" s="197" t="s">
        <v>471</v>
      </c>
      <c r="J4454" s="195">
        <v>1</v>
      </c>
      <c r="K4454" s="204" t="s">
        <v>224</v>
      </c>
      <c r="L4454" s="199">
        <v>3</v>
      </c>
      <c r="M4454" s="200">
        <v>0.7</v>
      </c>
      <c r="N4454" s="201">
        <v>23</v>
      </c>
    </row>
    <row r="4455" spans="1:14">
      <c r="A4455" s="194">
        <v>41279.567719907405</v>
      </c>
      <c r="B4455" s="195">
        <v>3034</v>
      </c>
      <c r="C4455" s="194"/>
      <c r="D4455" s="194"/>
      <c r="E4455" s="196" t="s">
        <v>678</v>
      </c>
      <c r="F4455" s="195">
        <v>800</v>
      </c>
      <c r="G4455" s="197" t="s">
        <v>470</v>
      </c>
      <c r="H4455" s="197" t="s">
        <v>471</v>
      </c>
      <c r="J4455" s="195">
        <v>1</v>
      </c>
      <c r="K4455" s="204" t="s">
        <v>224</v>
      </c>
      <c r="L4455" s="199">
        <v>4</v>
      </c>
      <c r="M4455" s="200">
        <v>0.5</v>
      </c>
      <c r="N4455" s="201">
        <v>24</v>
      </c>
    </row>
    <row r="4456" spans="1:14">
      <c r="A4456" s="194">
        <v>41305.696226851855</v>
      </c>
      <c r="B4456" s="195">
        <v>3034</v>
      </c>
      <c r="C4456" s="194"/>
      <c r="D4456" s="194"/>
      <c r="E4456" s="196" t="s">
        <v>1521</v>
      </c>
      <c r="F4456" s="195">
        <v>800</v>
      </c>
      <c r="G4456" s="197" t="s">
        <v>470</v>
      </c>
      <c r="H4456" s="197" t="s">
        <v>471</v>
      </c>
      <c r="J4456" s="195">
        <v>1</v>
      </c>
      <c r="K4456" s="204" t="s">
        <v>224</v>
      </c>
      <c r="L4456" s="199">
        <v>2</v>
      </c>
      <c r="M4456" s="200">
        <v>1.1000000000000001</v>
      </c>
      <c r="N4456" s="201">
        <v>25</v>
      </c>
    </row>
    <row r="4457" spans="1:14">
      <c r="A4457" s="194">
        <v>41289.521921296298</v>
      </c>
      <c r="B4457" s="195">
        <v>3034</v>
      </c>
      <c r="C4457" s="194"/>
      <c r="D4457" s="194"/>
      <c r="E4457" s="196" t="s">
        <v>1033</v>
      </c>
      <c r="F4457" s="195">
        <v>800</v>
      </c>
      <c r="G4457" s="197" t="s">
        <v>470</v>
      </c>
      <c r="H4457" s="197" t="s">
        <v>471</v>
      </c>
      <c r="J4457" s="195">
        <v>1</v>
      </c>
      <c r="K4457" s="204" t="s">
        <v>224</v>
      </c>
      <c r="L4457" s="199">
        <v>3</v>
      </c>
      <c r="M4457" s="200">
        <v>0.3</v>
      </c>
      <c r="N4457" s="201">
        <v>29</v>
      </c>
    </row>
    <row r="4458" spans="1:14">
      <c r="A4458" s="194">
        <v>41287.67392361111</v>
      </c>
      <c r="B4458" s="195">
        <v>3034</v>
      </c>
      <c r="C4458" s="194"/>
      <c r="D4458" s="194"/>
      <c r="E4458" s="196" t="s">
        <v>809</v>
      </c>
      <c r="F4458" s="195">
        <v>800</v>
      </c>
      <c r="G4458" s="197" t="s">
        <v>470</v>
      </c>
      <c r="H4458" s="197" t="s">
        <v>471</v>
      </c>
      <c r="J4458" s="195">
        <v>1</v>
      </c>
      <c r="K4458" s="204" t="s">
        <v>224</v>
      </c>
      <c r="L4458" s="199">
        <v>2</v>
      </c>
      <c r="M4458" s="200">
        <v>0.6</v>
      </c>
      <c r="N4458" s="201">
        <v>31</v>
      </c>
    </row>
    <row r="4459" spans="1:14">
      <c r="A4459" s="194">
        <v>41278.777453703704</v>
      </c>
      <c r="B4459" s="195">
        <v>3034</v>
      </c>
      <c r="C4459" s="194"/>
      <c r="D4459" s="194"/>
      <c r="E4459" s="196" t="s">
        <v>654</v>
      </c>
      <c r="F4459" s="195">
        <v>800</v>
      </c>
      <c r="G4459" s="197" t="s">
        <v>470</v>
      </c>
      <c r="H4459" s="197" t="s">
        <v>471</v>
      </c>
      <c r="J4459" s="195">
        <v>1</v>
      </c>
      <c r="K4459" s="204" t="s">
        <v>224</v>
      </c>
      <c r="L4459" s="199">
        <v>3</v>
      </c>
      <c r="M4459" s="200">
        <v>1</v>
      </c>
      <c r="N4459" s="201">
        <v>32</v>
      </c>
    </row>
    <row r="4460" spans="1:14">
      <c r="A4460" s="194">
        <v>41299.081574074073</v>
      </c>
      <c r="B4460" s="195">
        <v>3034</v>
      </c>
      <c r="C4460" s="194"/>
      <c r="D4460" s="194"/>
      <c r="E4460" s="196" t="s">
        <v>1236</v>
      </c>
      <c r="F4460" s="195">
        <v>800</v>
      </c>
      <c r="G4460" s="197" t="s">
        <v>470</v>
      </c>
      <c r="H4460" s="197" t="s">
        <v>471</v>
      </c>
      <c r="J4460" s="195">
        <v>1</v>
      </c>
      <c r="K4460" s="204" t="s">
        <v>224</v>
      </c>
      <c r="L4460" s="199">
        <v>2</v>
      </c>
      <c r="M4460" s="200">
        <v>0.4</v>
      </c>
      <c r="N4460" s="201">
        <v>34</v>
      </c>
    </row>
    <row r="4461" spans="1:14">
      <c r="A4461" s="194">
        <v>41281.58153935185</v>
      </c>
      <c r="B4461" s="195">
        <v>3034</v>
      </c>
      <c r="C4461" s="194"/>
      <c r="D4461" s="194"/>
      <c r="E4461" s="196" t="s">
        <v>573</v>
      </c>
      <c r="F4461" s="195">
        <v>800</v>
      </c>
      <c r="G4461" s="197" t="s">
        <v>470</v>
      </c>
      <c r="H4461" s="197" t="s">
        <v>471</v>
      </c>
      <c r="J4461" s="195">
        <v>1</v>
      </c>
      <c r="K4461" s="204" t="s">
        <v>224</v>
      </c>
      <c r="L4461" s="199">
        <v>3</v>
      </c>
      <c r="M4461" s="200">
        <v>0.4</v>
      </c>
      <c r="N4461" s="201">
        <v>36</v>
      </c>
    </row>
    <row r="4462" spans="1:14">
      <c r="A4462" s="194">
        <v>41290.623263888891</v>
      </c>
      <c r="B4462" s="195">
        <v>3034</v>
      </c>
      <c r="C4462" s="194"/>
      <c r="D4462" s="194"/>
      <c r="E4462" s="196" t="s">
        <v>1060</v>
      </c>
      <c r="F4462" s="195">
        <v>800</v>
      </c>
      <c r="G4462" s="197" t="s">
        <v>470</v>
      </c>
      <c r="H4462" s="197" t="s">
        <v>471</v>
      </c>
      <c r="J4462" s="195">
        <v>1</v>
      </c>
      <c r="K4462" s="204" t="s">
        <v>224</v>
      </c>
      <c r="L4462" s="199">
        <v>3</v>
      </c>
      <c r="M4462" s="200">
        <v>0.3</v>
      </c>
      <c r="N4462" s="201">
        <v>37</v>
      </c>
    </row>
    <row r="4463" spans="1:14">
      <c r="A4463" s="194">
        <v>41302.821817129632</v>
      </c>
      <c r="B4463" s="195">
        <v>3034</v>
      </c>
      <c r="C4463" s="194"/>
      <c r="D4463" s="194"/>
      <c r="E4463" s="196" t="s">
        <v>1305</v>
      </c>
      <c r="F4463" s="195">
        <v>800</v>
      </c>
      <c r="G4463" s="197" t="s">
        <v>470</v>
      </c>
      <c r="H4463" s="197" t="s">
        <v>471</v>
      </c>
      <c r="J4463" s="195">
        <v>1</v>
      </c>
      <c r="K4463" s="204" t="s">
        <v>224</v>
      </c>
      <c r="L4463" s="199">
        <v>2</v>
      </c>
      <c r="M4463" s="200">
        <v>1</v>
      </c>
      <c r="N4463" s="201">
        <v>40</v>
      </c>
    </row>
    <row r="4464" spans="1:14">
      <c r="A4464" s="194">
        <v>41290.677430555559</v>
      </c>
      <c r="B4464" s="195">
        <v>3034</v>
      </c>
      <c r="C4464" s="194"/>
      <c r="D4464" s="194"/>
      <c r="E4464" s="198"/>
      <c r="G4464" s="202"/>
      <c r="J4464" s="195">
        <v>2</v>
      </c>
      <c r="K4464" s="204" t="s">
        <v>32</v>
      </c>
      <c r="L4464" s="199">
        <v>4</v>
      </c>
      <c r="M4464" s="200">
        <v>0.2</v>
      </c>
      <c r="N4464" s="201">
        <v>15</v>
      </c>
    </row>
    <row r="4465" spans="1:14">
      <c r="A4465" s="194">
        <v>41275.103101851855</v>
      </c>
      <c r="B4465" s="195">
        <v>3034</v>
      </c>
      <c r="C4465" s="194"/>
      <c r="D4465" s="194"/>
      <c r="E4465" s="198"/>
      <c r="G4465" s="202"/>
      <c r="J4465" s="195">
        <v>2</v>
      </c>
      <c r="K4465" s="204" t="s">
        <v>32</v>
      </c>
      <c r="L4465" s="199">
        <v>4</v>
      </c>
      <c r="M4465" s="200">
        <v>2.6</v>
      </c>
      <c r="N4465" s="201">
        <v>15</v>
      </c>
    </row>
    <row r="4466" spans="1:14">
      <c r="A4466" s="194">
        <v>41305.514270833337</v>
      </c>
      <c r="B4466" s="195">
        <v>3034</v>
      </c>
      <c r="C4466" s="194"/>
      <c r="D4466" s="194"/>
      <c r="E4466" s="198"/>
      <c r="G4466" s="202"/>
      <c r="J4466" s="195">
        <v>2</v>
      </c>
      <c r="K4466" s="204" t="s">
        <v>32</v>
      </c>
      <c r="L4466" s="199">
        <v>4</v>
      </c>
      <c r="M4466" s="200">
        <v>1.5</v>
      </c>
      <c r="N4466" s="201">
        <v>16</v>
      </c>
    </row>
    <row r="4467" spans="1:14">
      <c r="A4467" s="194">
        <v>41301.710833333331</v>
      </c>
      <c r="B4467" s="195">
        <v>3034</v>
      </c>
      <c r="C4467" s="194"/>
      <c r="D4467" s="194"/>
      <c r="E4467" s="196" t="s">
        <v>2015</v>
      </c>
      <c r="G4467" s="202"/>
      <c r="J4467" s="195">
        <v>2</v>
      </c>
      <c r="K4467" s="204" t="s">
        <v>32</v>
      </c>
      <c r="L4467" s="199">
        <v>2</v>
      </c>
      <c r="M4467" s="200">
        <v>0.2</v>
      </c>
      <c r="N4467" s="201">
        <v>37</v>
      </c>
    </row>
    <row r="4468" spans="1:14">
      <c r="A4468" s="194">
        <v>41283.726006944446</v>
      </c>
      <c r="B4468" s="195">
        <v>3034</v>
      </c>
      <c r="C4468" s="194"/>
      <c r="D4468" s="194"/>
      <c r="E4468" s="198"/>
      <c r="G4468" s="202"/>
      <c r="J4468" s="195">
        <v>3</v>
      </c>
      <c r="K4468" s="204" t="s">
        <v>1595</v>
      </c>
      <c r="L4468" s="199">
        <v>4</v>
      </c>
      <c r="M4468" s="200">
        <v>0.3</v>
      </c>
      <c r="N4468" s="201">
        <v>15</v>
      </c>
    </row>
    <row r="4469" spans="1:14">
      <c r="A4469" s="194">
        <v>41275.630196759259</v>
      </c>
      <c r="B4469" s="195">
        <v>3034</v>
      </c>
      <c r="C4469" s="194"/>
      <c r="D4469" s="194"/>
      <c r="E4469" s="198"/>
      <c r="G4469" s="202"/>
      <c r="J4469" s="195">
        <v>3</v>
      </c>
      <c r="K4469" s="204" t="s">
        <v>1595</v>
      </c>
      <c r="L4469" s="199">
        <v>4</v>
      </c>
      <c r="M4469" s="200">
        <v>0.5</v>
      </c>
      <c r="N4469" s="201">
        <v>15</v>
      </c>
    </row>
    <row r="4470" spans="1:14">
      <c r="A4470" s="194">
        <v>41285.939236111109</v>
      </c>
      <c r="B4470" s="195">
        <v>3034</v>
      </c>
      <c r="C4470" s="194"/>
      <c r="D4470" s="194"/>
      <c r="E4470" s="198"/>
      <c r="G4470" s="202"/>
      <c r="J4470" s="195">
        <v>3</v>
      </c>
      <c r="K4470" s="204" t="s">
        <v>1595</v>
      </c>
      <c r="L4470" s="199">
        <v>4</v>
      </c>
      <c r="M4470" s="200">
        <v>3</v>
      </c>
      <c r="N4470" s="201">
        <v>15</v>
      </c>
    </row>
    <row r="4471" spans="1:14">
      <c r="A4471" s="194">
        <v>41282.666342592594</v>
      </c>
      <c r="B4471" s="195">
        <v>3034</v>
      </c>
      <c r="C4471" s="194"/>
      <c r="D4471" s="194"/>
      <c r="E4471" s="198"/>
      <c r="G4471" s="202"/>
      <c r="J4471" s="195">
        <v>3</v>
      </c>
      <c r="K4471" s="204" t="s">
        <v>1595</v>
      </c>
      <c r="L4471" s="199">
        <v>4</v>
      </c>
      <c r="M4471" s="200">
        <v>3.3</v>
      </c>
      <c r="N4471" s="201">
        <v>16</v>
      </c>
    </row>
    <row r="4472" spans="1:14">
      <c r="A4472" s="194">
        <v>41304.601782407408</v>
      </c>
      <c r="B4472" s="195">
        <v>3034</v>
      </c>
      <c r="C4472" s="194"/>
      <c r="D4472" s="194"/>
      <c r="E4472" s="198"/>
      <c r="G4472" s="202"/>
      <c r="J4472" s="195">
        <v>3</v>
      </c>
      <c r="K4472" s="204" t="s">
        <v>1595</v>
      </c>
      <c r="L4472" s="199">
        <v>4</v>
      </c>
      <c r="M4472" s="200">
        <v>0.3</v>
      </c>
      <c r="N4472" s="201">
        <v>17</v>
      </c>
    </row>
    <row r="4473" spans="1:14">
      <c r="A4473" s="194">
        <v>41299.770520833335</v>
      </c>
      <c r="B4473" s="195">
        <v>3034</v>
      </c>
      <c r="C4473" s="194"/>
      <c r="D4473" s="194"/>
      <c r="E4473" s="198"/>
      <c r="G4473" s="202"/>
      <c r="J4473" s="195">
        <v>3</v>
      </c>
      <c r="K4473" s="204" t="s">
        <v>1595</v>
      </c>
      <c r="L4473" s="199">
        <v>4</v>
      </c>
      <c r="M4473" s="200">
        <v>0.7</v>
      </c>
      <c r="N4473" s="201">
        <v>17</v>
      </c>
    </row>
    <row r="4474" spans="1:14">
      <c r="A4474" s="194">
        <v>41286.564212962963</v>
      </c>
      <c r="B4474" s="195">
        <v>3034</v>
      </c>
      <c r="C4474" s="194"/>
      <c r="D4474" s="194"/>
      <c r="E4474" s="198"/>
      <c r="G4474" s="202"/>
      <c r="J4474" s="195">
        <v>3</v>
      </c>
      <c r="K4474" s="204" t="s">
        <v>1595</v>
      </c>
      <c r="L4474" s="199">
        <v>4</v>
      </c>
      <c r="M4474" s="200">
        <v>1.6</v>
      </c>
      <c r="N4474" s="201">
        <v>17</v>
      </c>
    </row>
    <row r="4475" spans="1:14">
      <c r="A4475" s="194">
        <v>41301.673321759263</v>
      </c>
      <c r="B4475" s="195">
        <v>3034</v>
      </c>
      <c r="C4475" s="194"/>
      <c r="D4475" s="194"/>
      <c r="E4475" s="198"/>
      <c r="G4475" s="202"/>
      <c r="J4475" s="195">
        <v>3</v>
      </c>
      <c r="K4475" s="204" t="s">
        <v>1595</v>
      </c>
      <c r="L4475" s="199">
        <v>1</v>
      </c>
      <c r="M4475" s="200">
        <v>0.4</v>
      </c>
      <c r="N4475" s="201">
        <v>30</v>
      </c>
    </row>
    <row r="4476" spans="1:14">
      <c r="A4476" s="194">
        <v>41303.846944444442</v>
      </c>
      <c r="B4476" s="195">
        <v>3034</v>
      </c>
      <c r="C4476" s="194"/>
      <c r="D4476" s="194"/>
      <c r="E4476" s="198"/>
      <c r="G4476" s="202"/>
      <c r="J4476" s="195">
        <v>3</v>
      </c>
      <c r="K4476" s="204" t="s">
        <v>1595</v>
      </c>
      <c r="L4476" s="199">
        <v>3</v>
      </c>
      <c r="M4476" s="200">
        <v>1</v>
      </c>
      <c r="N4476" s="201">
        <v>34</v>
      </c>
    </row>
    <row r="4477" spans="1:14">
      <c r="A4477" s="194">
        <v>41283.515613425923</v>
      </c>
      <c r="B4477" s="195">
        <v>3034</v>
      </c>
      <c r="C4477" s="194"/>
      <c r="D4477" s="194"/>
      <c r="E4477" s="198"/>
      <c r="G4477" s="202"/>
      <c r="J4477" s="195">
        <v>17</v>
      </c>
      <c r="K4477" s="204" t="s">
        <v>11</v>
      </c>
      <c r="L4477" s="199">
        <v>3</v>
      </c>
      <c r="M4477" s="200">
        <v>0.2</v>
      </c>
      <c r="N4477" s="201">
        <v>-1</v>
      </c>
    </row>
    <row r="4478" spans="1:14">
      <c r="A4478" s="194">
        <v>41299.815659722219</v>
      </c>
      <c r="B4478" s="195">
        <v>3034</v>
      </c>
      <c r="C4478" s="194"/>
      <c r="D4478" s="194"/>
      <c r="E4478" s="198"/>
      <c r="G4478" s="202"/>
      <c r="J4478" s="195">
        <v>17</v>
      </c>
      <c r="K4478" s="204" t="s">
        <v>11</v>
      </c>
      <c r="L4478" s="199">
        <v>4</v>
      </c>
      <c r="M4478" s="200">
        <v>0.2</v>
      </c>
      <c r="N4478" s="201">
        <v>15</v>
      </c>
    </row>
    <row r="4479" spans="1:14">
      <c r="A4479" s="194">
        <v>41299.456631944442</v>
      </c>
      <c r="B4479" s="195">
        <v>3034</v>
      </c>
      <c r="C4479" s="194"/>
      <c r="D4479" s="194"/>
      <c r="E4479" s="198"/>
      <c r="G4479" s="202"/>
      <c r="J4479" s="195">
        <v>17</v>
      </c>
      <c r="K4479" s="204" t="s">
        <v>11</v>
      </c>
      <c r="L4479" s="199">
        <v>4</v>
      </c>
      <c r="M4479" s="200">
        <v>0.2</v>
      </c>
      <c r="N4479" s="201">
        <v>15</v>
      </c>
    </row>
    <row r="4480" spans="1:14">
      <c r="A4480" s="194">
        <v>41290.488530092596</v>
      </c>
      <c r="B4480" s="195">
        <v>3034</v>
      </c>
      <c r="C4480" s="194"/>
      <c r="D4480" s="194"/>
      <c r="E4480" s="198"/>
      <c r="G4480" s="202"/>
      <c r="J4480" s="195">
        <v>17</v>
      </c>
      <c r="K4480" s="204" t="s">
        <v>11</v>
      </c>
      <c r="L4480" s="199">
        <v>4</v>
      </c>
      <c r="M4480" s="200">
        <v>0.2</v>
      </c>
      <c r="N4480" s="201">
        <v>15</v>
      </c>
    </row>
    <row r="4481" spans="1:14">
      <c r="A4481" s="194">
        <v>41287.679479166669</v>
      </c>
      <c r="B4481" s="195">
        <v>3034</v>
      </c>
      <c r="C4481" s="194"/>
      <c r="D4481" s="194"/>
      <c r="E4481" s="198"/>
      <c r="G4481" s="202"/>
      <c r="J4481" s="195">
        <v>17</v>
      </c>
      <c r="K4481" s="204" t="s">
        <v>11</v>
      </c>
      <c r="L4481" s="199">
        <v>4</v>
      </c>
      <c r="M4481" s="200">
        <v>0.2</v>
      </c>
      <c r="N4481" s="201">
        <v>15</v>
      </c>
    </row>
    <row r="4482" spans="1:14">
      <c r="A4482" s="194">
        <v>41285.321909722225</v>
      </c>
      <c r="B4482" s="195">
        <v>3034</v>
      </c>
      <c r="C4482" s="194"/>
      <c r="D4482" s="194"/>
      <c r="E4482" s="198"/>
      <c r="G4482" s="202"/>
      <c r="J4482" s="195">
        <v>17</v>
      </c>
      <c r="K4482" s="204" t="s">
        <v>11</v>
      </c>
      <c r="L4482" s="199">
        <v>4</v>
      </c>
      <c r="M4482" s="200">
        <v>0.2</v>
      </c>
      <c r="N4482" s="201">
        <v>15</v>
      </c>
    </row>
    <row r="4483" spans="1:14">
      <c r="A4483" s="194">
        <v>41283.807939814818</v>
      </c>
      <c r="B4483" s="195">
        <v>3034</v>
      </c>
      <c r="C4483" s="194"/>
      <c r="D4483" s="194"/>
      <c r="E4483" s="198"/>
      <c r="G4483" s="202"/>
      <c r="J4483" s="195">
        <v>17</v>
      </c>
      <c r="K4483" s="204" t="s">
        <v>11</v>
      </c>
      <c r="L4483" s="199">
        <v>4</v>
      </c>
      <c r="M4483" s="200">
        <v>0.2</v>
      </c>
      <c r="N4483" s="201">
        <v>15</v>
      </c>
    </row>
    <row r="4484" spans="1:14">
      <c r="A4484" s="194">
        <v>41279.630208333336</v>
      </c>
      <c r="B4484" s="195">
        <v>3034</v>
      </c>
      <c r="C4484" s="194"/>
      <c r="D4484" s="194"/>
      <c r="E4484" s="198"/>
      <c r="G4484" s="202"/>
      <c r="J4484" s="195">
        <v>17</v>
      </c>
      <c r="K4484" s="204" t="s">
        <v>11</v>
      </c>
      <c r="L4484" s="199">
        <v>4</v>
      </c>
      <c r="M4484" s="200">
        <v>0.2</v>
      </c>
      <c r="N4484" s="201">
        <v>15</v>
      </c>
    </row>
    <row r="4485" spans="1:14">
      <c r="A4485" s="194">
        <v>41279.383703703701</v>
      </c>
      <c r="B4485" s="195">
        <v>3034</v>
      </c>
      <c r="C4485" s="194"/>
      <c r="D4485" s="194"/>
      <c r="E4485" s="198"/>
      <c r="G4485" s="202"/>
      <c r="J4485" s="195">
        <v>17</v>
      </c>
      <c r="K4485" s="204" t="s">
        <v>11</v>
      </c>
      <c r="L4485" s="199">
        <v>4</v>
      </c>
      <c r="M4485" s="200">
        <v>0.2</v>
      </c>
      <c r="N4485" s="201">
        <v>15</v>
      </c>
    </row>
    <row r="4486" spans="1:14">
      <c r="A4486" s="194">
        <v>41277.676724537036</v>
      </c>
      <c r="B4486" s="195">
        <v>3034</v>
      </c>
      <c r="C4486" s="194"/>
      <c r="D4486" s="194"/>
      <c r="E4486" s="198"/>
      <c r="G4486" s="202"/>
      <c r="J4486" s="195">
        <v>17</v>
      </c>
      <c r="K4486" s="204" t="s">
        <v>11</v>
      </c>
      <c r="L4486" s="199">
        <v>4</v>
      </c>
      <c r="M4486" s="200">
        <v>0.2</v>
      </c>
      <c r="N4486" s="201">
        <v>15</v>
      </c>
    </row>
    <row r="4487" spans="1:14">
      <c r="A4487" s="194">
        <v>41287.541284722225</v>
      </c>
      <c r="B4487" s="195">
        <v>3034</v>
      </c>
      <c r="C4487" s="194"/>
      <c r="D4487" s="194"/>
      <c r="E4487" s="198"/>
      <c r="G4487" s="202"/>
      <c r="J4487" s="195">
        <v>17</v>
      </c>
      <c r="K4487" s="204" t="s">
        <v>11</v>
      </c>
      <c r="L4487" s="199">
        <v>4</v>
      </c>
      <c r="M4487" s="200">
        <v>0.4</v>
      </c>
      <c r="N4487" s="201">
        <v>15</v>
      </c>
    </row>
    <row r="4488" spans="1:14">
      <c r="A4488" s="194">
        <v>41282.778796296298</v>
      </c>
      <c r="B4488" s="195">
        <v>3034</v>
      </c>
      <c r="C4488" s="194"/>
      <c r="D4488" s="194"/>
      <c r="E4488" s="198"/>
      <c r="G4488" s="202"/>
      <c r="J4488" s="195">
        <v>17</v>
      </c>
      <c r="K4488" s="204" t="s">
        <v>11</v>
      </c>
      <c r="L4488" s="199">
        <v>4</v>
      </c>
      <c r="M4488" s="200">
        <v>0.4</v>
      </c>
      <c r="N4488" s="201">
        <v>15</v>
      </c>
    </row>
    <row r="4489" spans="1:14">
      <c r="A4489" s="194">
        <v>41278.397592592592</v>
      </c>
      <c r="B4489" s="195">
        <v>3034</v>
      </c>
      <c r="C4489" s="194"/>
      <c r="D4489" s="194"/>
      <c r="E4489" s="198"/>
      <c r="G4489" s="202"/>
      <c r="J4489" s="195">
        <v>17</v>
      </c>
      <c r="K4489" s="204" t="s">
        <v>11</v>
      </c>
      <c r="L4489" s="199">
        <v>4</v>
      </c>
      <c r="M4489" s="200">
        <v>0.4</v>
      </c>
      <c r="N4489" s="201">
        <v>15</v>
      </c>
    </row>
    <row r="4490" spans="1:14">
      <c r="A4490" s="194">
        <v>41290.840624999997</v>
      </c>
      <c r="B4490" s="195">
        <v>3034</v>
      </c>
      <c r="C4490" s="194"/>
      <c r="D4490" s="194"/>
      <c r="E4490" s="198"/>
      <c r="G4490" s="202"/>
      <c r="J4490" s="195">
        <v>17</v>
      </c>
      <c r="K4490" s="204" t="s">
        <v>11</v>
      </c>
      <c r="L4490" s="199">
        <v>4</v>
      </c>
      <c r="M4490" s="200">
        <v>0.7</v>
      </c>
      <c r="N4490" s="201">
        <v>15</v>
      </c>
    </row>
    <row r="4491" spans="1:14">
      <c r="A4491" s="194">
        <v>41304.544131944444</v>
      </c>
      <c r="B4491" s="195">
        <v>3034</v>
      </c>
      <c r="C4491" s="194"/>
      <c r="D4491" s="194"/>
      <c r="E4491" s="198"/>
      <c r="G4491" s="202"/>
      <c r="J4491" s="195">
        <v>17</v>
      </c>
      <c r="K4491" s="204" t="s">
        <v>11</v>
      </c>
      <c r="L4491" s="199">
        <v>4</v>
      </c>
      <c r="M4491" s="200">
        <v>1</v>
      </c>
      <c r="N4491" s="201">
        <v>15</v>
      </c>
    </row>
    <row r="4492" spans="1:14">
      <c r="A4492" s="194">
        <v>41285.788576388892</v>
      </c>
      <c r="B4492" s="195">
        <v>3034</v>
      </c>
      <c r="C4492" s="194"/>
      <c r="D4492" s="194"/>
      <c r="E4492" s="198"/>
      <c r="G4492" s="202"/>
      <c r="J4492" s="195">
        <v>17</v>
      </c>
      <c r="K4492" s="204" t="s">
        <v>11</v>
      </c>
      <c r="L4492" s="199">
        <v>4</v>
      </c>
      <c r="M4492" s="200">
        <v>1.2</v>
      </c>
      <c r="N4492" s="201">
        <v>15</v>
      </c>
    </row>
    <row r="4493" spans="1:14">
      <c r="A4493" s="194">
        <v>41284.877476851849</v>
      </c>
      <c r="B4493" s="195">
        <v>3034</v>
      </c>
      <c r="C4493" s="194"/>
      <c r="D4493" s="194"/>
      <c r="E4493" s="198"/>
      <c r="G4493" s="202"/>
      <c r="J4493" s="195">
        <v>17</v>
      </c>
      <c r="K4493" s="204" t="s">
        <v>11</v>
      </c>
      <c r="L4493" s="199">
        <v>4</v>
      </c>
      <c r="M4493" s="200">
        <v>1.3</v>
      </c>
      <c r="N4493" s="201">
        <v>15</v>
      </c>
    </row>
    <row r="4494" spans="1:14">
      <c r="A4494" s="194">
        <v>41288.853854166664</v>
      </c>
      <c r="B4494" s="195">
        <v>3034</v>
      </c>
      <c r="C4494" s="194"/>
      <c r="D4494" s="194"/>
      <c r="E4494" s="198"/>
      <c r="G4494" s="202"/>
      <c r="J4494" s="195">
        <v>17</v>
      </c>
      <c r="K4494" s="204" t="s">
        <v>11</v>
      </c>
      <c r="L4494" s="199">
        <v>4</v>
      </c>
      <c r="M4494" s="200">
        <v>1.5</v>
      </c>
      <c r="N4494" s="201">
        <v>15</v>
      </c>
    </row>
    <row r="4495" spans="1:14">
      <c r="A4495" s="194">
        <v>41300.698310185187</v>
      </c>
      <c r="B4495" s="195">
        <v>3034</v>
      </c>
      <c r="C4495" s="194"/>
      <c r="D4495" s="194"/>
      <c r="E4495" s="198"/>
      <c r="G4495" s="202"/>
      <c r="J4495" s="195">
        <v>17</v>
      </c>
      <c r="K4495" s="204" t="s">
        <v>11</v>
      </c>
      <c r="L4495" s="199">
        <v>4</v>
      </c>
      <c r="M4495" s="200">
        <v>1.6</v>
      </c>
      <c r="N4495" s="201">
        <v>15</v>
      </c>
    </row>
    <row r="4496" spans="1:14">
      <c r="A4496" s="194">
        <v>41280.703148148146</v>
      </c>
      <c r="B4496" s="195">
        <v>3034</v>
      </c>
      <c r="C4496" s="194"/>
      <c r="D4496" s="194"/>
      <c r="E4496" s="198"/>
      <c r="G4496" s="202"/>
      <c r="J4496" s="195">
        <v>17</v>
      </c>
      <c r="K4496" s="204" t="s">
        <v>11</v>
      </c>
      <c r="L4496" s="199">
        <v>4</v>
      </c>
      <c r="M4496" s="200">
        <v>2</v>
      </c>
      <c r="N4496" s="201">
        <v>15</v>
      </c>
    </row>
    <row r="4497" spans="1:14">
      <c r="A4497" s="194">
        <v>41290.349016203705</v>
      </c>
      <c r="B4497" s="195">
        <v>3034</v>
      </c>
      <c r="C4497" s="194"/>
      <c r="D4497" s="194"/>
      <c r="E4497" s="198"/>
      <c r="G4497" s="202"/>
      <c r="J4497" s="195">
        <v>17</v>
      </c>
      <c r="K4497" s="204" t="s">
        <v>11</v>
      </c>
      <c r="L4497" s="199">
        <v>4</v>
      </c>
      <c r="M4497" s="200">
        <v>3.2</v>
      </c>
      <c r="N4497" s="201">
        <v>15</v>
      </c>
    </row>
    <row r="4498" spans="1:14">
      <c r="A4498" s="194">
        <v>41299.05945601852</v>
      </c>
      <c r="B4498" s="195">
        <v>3034</v>
      </c>
      <c r="C4498" s="194"/>
      <c r="D4498" s="194"/>
      <c r="E4498" s="198"/>
      <c r="G4498" s="202"/>
      <c r="J4498" s="195">
        <v>17</v>
      </c>
      <c r="K4498" s="204" t="s">
        <v>11</v>
      </c>
      <c r="L4498" s="199">
        <v>4</v>
      </c>
      <c r="M4498" s="200">
        <v>8.9</v>
      </c>
      <c r="N4498" s="201">
        <v>15</v>
      </c>
    </row>
    <row r="4499" spans="1:14">
      <c r="A4499" s="194">
        <v>41283.116539351853</v>
      </c>
      <c r="B4499" s="195">
        <v>3034</v>
      </c>
      <c r="C4499" s="194"/>
      <c r="D4499" s="194"/>
      <c r="E4499" s="198"/>
      <c r="G4499" s="202"/>
      <c r="J4499" s="195">
        <v>17</v>
      </c>
      <c r="K4499" s="204" t="s">
        <v>11</v>
      </c>
      <c r="L4499" s="199">
        <v>4</v>
      </c>
      <c r="M4499" s="200">
        <v>15.6</v>
      </c>
      <c r="N4499" s="201">
        <v>15</v>
      </c>
    </row>
    <row r="4500" spans="1:14">
      <c r="A4500" s="194">
        <v>41279.352002314816</v>
      </c>
      <c r="B4500" s="195">
        <v>3034</v>
      </c>
      <c r="C4500" s="194"/>
      <c r="D4500" s="194"/>
      <c r="E4500" s="198"/>
      <c r="G4500" s="202"/>
      <c r="J4500" s="195">
        <v>17</v>
      </c>
      <c r="K4500" s="204" t="s">
        <v>11</v>
      </c>
      <c r="L4500" s="199">
        <v>4</v>
      </c>
      <c r="M4500" s="200">
        <v>21.9</v>
      </c>
      <c r="N4500" s="201">
        <v>15</v>
      </c>
    </row>
    <row r="4501" spans="1:14">
      <c r="A4501" s="194">
        <v>41280.345069444447</v>
      </c>
      <c r="B4501" s="195">
        <v>3034</v>
      </c>
      <c r="C4501" s="194"/>
      <c r="D4501" s="194"/>
      <c r="E4501" s="198"/>
      <c r="G4501" s="202"/>
      <c r="J4501" s="195">
        <v>17</v>
      </c>
      <c r="K4501" s="204" t="s">
        <v>11</v>
      </c>
      <c r="L4501" s="199">
        <v>4</v>
      </c>
      <c r="M4501" s="200">
        <v>25.5</v>
      </c>
      <c r="N4501" s="201">
        <v>15</v>
      </c>
    </row>
    <row r="4502" spans="1:14">
      <c r="A4502" s="194">
        <v>41304.341006944444</v>
      </c>
      <c r="B4502" s="195">
        <v>3034</v>
      </c>
      <c r="C4502" s="194"/>
      <c r="D4502" s="194"/>
      <c r="E4502" s="198"/>
      <c r="G4502" s="202"/>
      <c r="J4502" s="195">
        <v>17</v>
      </c>
      <c r="K4502" s="204" t="s">
        <v>11</v>
      </c>
      <c r="L4502" s="199">
        <v>4</v>
      </c>
      <c r="M4502" s="200">
        <v>28.2</v>
      </c>
      <c r="N4502" s="201">
        <v>15</v>
      </c>
    </row>
    <row r="4503" spans="1:14">
      <c r="A4503" s="194">
        <v>41305.299664351849</v>
      </c>
      <c r="B4503" s="195">
        <v>3034</v>
      </c>
      <c r="C4503" s="194"/>
      <c r="D4503" s="194"/>
      <c r="E4503" s="198"/>
      <c r="G4503" s="202"/>
      <c r="J4503" s="195">
        <v>17</v>
      </c>
      <c r="K4503" s="204" t="s">
        <v>11</v>
      </c>
      <c r="L4503" s="199">
        <v>4</v>
      </c>
      <c r="M4503" s="200">
        <v>0.2</v>
      </c>
      <c r="N4503" s="201">
        <v>16</v>
      </c>
    </row>
    <row r="4504" spans="1:14">
      <c r="A4504" s="194">
        <v>41299.638564814813</v>
      </c>
      <c r="B4504" s="195">
        <v>3034</v>
      </c>
      <c r="C4504" s="194"/>
      <c r="D4504" s="194"/>
      <c r="E4504" s="198"/>
      <c r="G4504" s="202"/>
      <c r="J4504" s="195">
        <v>17</v>
      </c>
      <c r="K4504" s="204" t="s">
        <v>11</v>
      </c>
      <c r="L4504" s="199">
        <v>4</v>
      </c>
      <c r="M4504" s="200">
        <v>0.2</v>
      </c>
      <c r="N4504" s="201">
        <v>16</v>
      </c>
    </row>
    <row r="4505" spans="1:14">
      <c r="A4505" s="194">
        <v>41286.919120370374</v>
      </c>
      <c r="B4505" s="195">
        <v>3034</v>
      </c>
      <c r="C4505" s="194"/>
      <c r="D4505" s="194"/>
      <c r="E4505" s="198"/>
      <c r="G4505" s="202"/>
      <c r="J4505" s="195">
        <v>17</v>
      </c>
      <c r="K4505" s="204" t="s">
        <v>11</v>
      </c>
      <c r="L4505" s="199">
        <v>4</v>
      </c>
      <c r="M4505" s="200">
        <v>0.2</v>
      </c>
      <c r="N4505" s="201">
        <v>16</v>
      </c>
    </row>
    <row r="4506" spans="1:14">
      <c r="A4506" s="194">
        <v>41278.714247685188</v>
      </c>
      <c r="B4506" s="195">
        <v>3034</v>
      </c>
      <c r="C4506" s="194"/>
      <c r="D4506" s="194"/>
      <c r="E4506" s="198"/>
      <c r="G4506" s="202"/>
      <c r="J4506" s="195">
        <v>17</v>
      </c>
      <c r="K4506" s="204" t="s">
        <v>11</v>
      </c>
      <c r="L4506" s="199">
        <v>4</v>
      </c>
      <c r="M4506" s="200">
        <v>0.2</v>
      </c>
      <c r="N4506" s="201">
        <v>16</v>
      </c>
    </row>
    <row r="4507" spans="1:14">
      <c r="A4507" s="194">
        <v>41283.829467592594</v>
      </c>
      <c r="B4507" s="195">
        <v>3034</v>
      </c>
      <c r="C4507" s="194"/>
      <c r="D4507" s="194"/>
      <c r="E4507" s="196" t="s">
        <v>1809</v>
      </c>
      <c r="G4507" s="202"/>
      <c r="J4507" s="195">
        <v>17</v>
      </c>
      <c r="K4507" s="204" t="s">
        <v>11</v>
      </c>
      <c r="L4507" s="199">
        <v>4</v>
      </c>
      <c r="M4507" s="200">
        <v>0.2</v>
      </c>
      <c r="N4507" s="201">
        <v>16</v>
      </c>
    </row>
    <row r="4508" spans="1:14">
      <c r="A4508" s="194">
        <v>41285.982268518521</v>
      </c>
      <c r="B4508" s="195">
        <v>3034</v>
      </c>
      <c r="C4508" s="194"/>
      <c r="D4508" s="194"/>
      <c r="E4508" s="198"/>
      <c r="G4508" s="202"/>
      <c r="J4508" s="195">
        <v>17</v>
      </c>
      <c r="K4508" s="204" t="s">
        <v>11</v>
      </c>
      <c r="L4508" s="199">
        <v>4</v>
      </c>
      <c r="M4508" s="200">
        <v>0.4</v>
      </c>
      <c r="N4508" s="201">
        <v>16</v>
      </c>
    </row>
    <row r="4509" spans="1:14">
      <c r="A4509" s="194">
        <v>41299.619826388887</v>
      </c>
      <c r="B4509" s="195">
        <v>3034</v>
      </c>
      <c r="C4509" s="194"/>
      <c r="D4509" s="194"/>
      <c r="E4509" s="198"/>
      <c r="G4509" s="202"/>
      <c r="J4509" s="195">
        <v>17</v>
      </c>
      <c r="K4509" s="204" t="s">
        <v>11</v>
      </c>
      <c r="L4509" s="199">
        <v>4</v>
      </c>
      <c r="M4509" s="200">
        <v>0.7</v>
      </c>
      <c r="N4509" s="201">
        <v>16</v>
      </c>
    </row>
    <row r="4510" spans="1:14">
      <c r="A4510" s="194">
        <v>41292.003113425926</v>
      </c>
      <c r="B4510" s="195">
        <v>3034</v>
      </c>
      <c r="C4510" s="194"/>
      <c r="D4510" s="194"/>
      <c r="E4510" s="198"/>
      <c r="G4510" s="202"/>
      <c r="J4510" s="195">
        <v>17</v>
      </c>
      <c r="K4510" s="204" t="s">
        <v>11</v>
      </c>
      <c r="L4510" s="199">
        <v>4</v>
      </c>
      <c r="M4510" s="200">
        <v>0.9</v>
      </c>
      <c r="N4510" s="201">
        <v>16</v>
      </c>
    </row>
    <row r="4511" spans="1:14">
      <c r="A4511" s="194">
        <v>41283.624641203707</v>
      </c>
      <c r="B4511" s="195">
        <v>3034</v>
      </c>
      <c r="C4511" s="194"/>
      <c r="D4511" s="194"/>
      <c r="E4511" s="198"/>
      <c r="G4511" s="202"/>
      <c r="J4511" s="195">
        <v>17</v>
      </c>
      <c r="K4511" s="204" t="s">
        <v>11</v>
      </c>
      <c r="L4511" s="199">
        <v>4</v>
      </c>
      <c r="M4511" s="200">
        <v>0.9</v>
      </c>
      <c r="N4511" s="201">
        <v>16</v>
      </c>
    </row>
    <row r="4512" spans="1:14">
      <c r="A4512" s="194">
        <v>41303.591365740744</v>
      </c>
      <c r="B4512" s="195">
        <v>3034</v>
      </c>
      <c r="C4512" s="194"/>
      <c r="D4512" s="194"/>
      <c r="E4512" s="196" t="s">
        <v>1802</v>
      </c>
      <c r="G4512" s="202"/>
      <c r="J4512" s="195">
        <v>17</v>
      </c>
      <c r="K4512" s="204" t="s">
        <v>11</v>
      </c>
      <c r="L4512" s="199">
        <v>4</v>
      </c>
      <c r="M4512" s="200">
        <v>1.1000000000000001</v>
      </c>
      <c r="N4512" s="201">
        <v>16</v>
      </c>
    </row>
    <row r="4513" spans="1:14">
      <c r="A4513" s="194">
        <v>41305.546909722223</v>
      </c>
      <c r="B4513" s="195">
        <v>3034</v>
      </c>
      <c r="C4513" s="194"/>
      <c r="D4513" s="194"/>
      <c r="E4513" s="198"/>
      <c r="G4513" s="202"/>
      <c r="J4513" s="195">
        <v>17</v>
      </c>
      <c r="K4513" s="204" t="s">
        <v>11</v>
      </c>
      <c r="L4513" s="199">
        <v>4</v>
      </c>
      <c r="M4513" s="200">
        <v>1.2</v>
      </c>
      <c r="N4513" s="201">
        <v>16</v>
      </c>
    </row>
    <row r="4514" spans="1:14">
      <c r="A4514" s="194">
        <v>41285.409513888888</v>
      </c>
      <c r="B4514" s="195">
        <v>3034</v>
      </c>
      <c r="C4514" s="194"/>
      <c r="D4514" s="194"/>
      <c r="E4514" s="198"/>
      <c r="G4514" s="202"/>
      <c r="J4514" s="195">
        <v>17</v>
      </c>
      <c r="K4514" s="204" t="s">
        <v>11</v>
      </c>
      <c r="L4514" s="199">
        <v>4</v>
      </c>
      <c r="M4514" s="200">
        <v>12.5</v>
      </c>
      <c r="N4514" s="201">
        <v>16</v>
      </c>
    </row>
    <row r="4515" spans="1:14">
      <c r="A4515" s="194">
        <v>41304.442766203705</v>
      </c>
      <c r="B4515" s="195">
        <v>3034</v>
      </c>
      <c r="C4515" s="194"/>
      <c r="D4515" s="194"/>
      <c r="E4515" s="198"/>
      <c r="G4515" s="202"/>
      <c r="J4515" s="195">
        <v>17</v>
      </c>
      <c r="K4515" s="204" t="s">
        <v>11</v>
      </c>
      <c r="L4515" s="199">
        <v>4</v>
      </c>
      <c r="M4515" s="200">
        <v>0.2</v>
      </c>
      <c r="N4515" s="201">
        <v>17</v>
      </c>
    </row>
    <row r="4516" spans="1:14">
      <c r="A4516" s="194">
        <v>41303.508020833331</v>
      </c>
      <c r="B4516" s="195">
        <v>3034</v>
      </c>
      <c r="C4516" s="194"/>
      <c r="D4516" s="194"/>
      <c r="E4516" s="198"/>
      <c r="G4516" s="202"/>
      <c r="J4516" s="195">
        <v>17</v>
      </c>
      <c r="K4516" s="204" t="s">
        <v>11</v>
      </c>
      <c r="L4516" s="199">
        <v>4</v>
      </c>
      <c r="M4516" s="200">
        <v>0.2</v>
      </c>
      <c r="N4516" s="201">
        <v>17</v>
      </c>
    </row>
    <row r="4517" spans="1:14">
      <c r="A4517" s="194">
        <v>41301.571898148148</v>
      </c>
      <c r="B4517" s="195">
        <v>3034</v>
      </c>
      <c r="C4517" s="194"/>
      <c r="D4517" s="194"/>
      <c r="E4517" s="198"/>
      <c r="G4517" s="202"/>
      <c r="J4517" s="195">
        <v>17</v>
      </c>
      <c r="K4517" s="204" t="s">
        <v>11</v>
      </c>
      <c r="L4517" s="199">
        <v>4</v>
      </c>
      <c r="M4517" s="200">
        <v>0.2</v>
      </c>
      <c r="N4517" s="201">
        <v>17</v>
      </c>
    </row>
    <row r="4518" spans="1:14">
      <c r="A4518" s="194">
        <v>41299.803854166668</v>
      </c>
      <c r="B4518" s="195">
        <v>3034</v>
      </c>
      <c r="C4518" s="194"/>
      <c r="D4518" s="194"/>
      <c r="E4518" s="198"/>
      <c r="G4518" s="202"/>
      <c r="J4518" s="195">
        <v>17</v>
      </c>
      <c r="K4518" s="204" t="s">
        <v>11</v>
      </c>
      <c r="L4518" s="199">
        <v>4</v>
      </c>
      <c r="M4518" s="200">
        <v>0.2</v>
      </c>
      <c r="N4518" s="201">
        <v>17</v>
      </c>
    </row>
    <row r="4519" spans="1:14">
      <c r="A4519" s="194">
        <v>41282.886446759258</v>
      </c>
      <c r="B4519" s="195">
        <v>3034</v>
      </c>
      <c r="C4519" s="194"/>
      <c r="D4519" s="194"/>
      <c r="E4519" s="198"/>
      <c r="G4519" s="202"/>
      <c r="J4519" s="195">
        <v>17</v>
      </c>
      <c r="K4519" s="204" t="s">
        <v>11</v>
      </c>
      <c r="L4519" s="199">
        <v>4</v>
      </c>
      <c r="M4519" s="200">
        <v>0.2</v>
      </c>
      <c r="N4519" s="201">
        <v>17</v>
      </c>
    </row>
    <row r="4520" spans="1:14">
      <c r="A4520" s="194">
        <v>41281.840543981481</v>
      </c>
      <c r="B4520" s="195">
        <v>3034</v>
      </c>
      <c r="C4520" s="194"/>
      <c r="D4520" s="194"/>
      <c r="E4520" s="198"/>
      <c r="G4520" s="202"/>
      <c r="J4520" s="195">
        <v>17</v>
      </c>
      <c r="K4520" s="204" t="s">
        <v>11</v>
      </c>
      <c r="L4520" s="199">
        <v>4</v>
      </c>
      <c r="M4520" s="200">
        <v>0.2</v>
      </c>
      <c r="N4520" s="201">
        <v>17</v>
      </c>
    </row>
    <row r="4521" spans="1:14">
      <c r="A4521" s="194">
        <v>41281.716956018521</v>
      </c>
      <c r="B4521" s="195">
        <v>3034</v>
      </c>
      <c r="C4521" s="194"/>
      <c r="D4521" s="194"/>
      <c r="E4521" s="198"/>
      <c r="G4521" s="202"/>
      <c r="J4521" s="195">
        <v>17</v>
      </c>
      <c r="K4521" s="204" t="s">
        <v>11</v>
      </c>
      <c r="L4521" s="199">
        <v>4</v>
      </c>
      <c r="M4521" s="200">
        <v>0.2</v>
      </c>
      <c r="N4521" s="201">
        <v>17</v>
      </c>
    </row>
    <row r="4522" spans="1:14">
      <c r="A4522" s="194">
        <v>41289.006585648145</v>
      </c>
      <c r="B4522" s="195">
        <v>3034</v>
      </c>
      <c r="C4522" s="194"/>
      <c r="D4522" s="194"/>
      <c r="E4522" s="198"/>
      <c r="G4522" s="202"/>
      <c r="J4522" s="195">
        <v>17</v>
      </c>
      <c r="K4522" s="204" t="s">
        <v>11</v>
      </c>
      <c r="L4522" s="199">
        <v>4</v>
      </c>
      <c r="M4522" s="200">
        <v>0.3</v>
      </c>
      <c r="N4522" s="201">
        <v>17</v>
      </c>
    </row>
    <row r="4523" spans="1:14">
      <c r="A4523" s="194">
        <v>41279.715648148151</v>
      </c>
      <c r="B4523" s="195">
        <v>3034</v>
      </c>
      <c r="C4523" s="194"/>
      <c r="D4523" s="194"/>
      <c r="E4523" s="198"/>
      <c r="G4523" s="202"/>
      <c r="J4523" s="195">
        <v>17</v>
      </c>
      <c r="K4523" s="204" t="s">
        <v>11</v>
      </c>
      <c r="L4523" s="199">
        <v>4</v>
      </c>
      <c r="M4523" s="200">
        <v>0.5</v>
      </c>
      <c r="N4523" s="201">
        <v>17</v>
      </c>
    </row>
    <row r="4524" spans="1:14">
      <c r="A4524" s="194">
        <v>41291.430949074071</v>
      </c>
      <c r="B4524" s="195">
        <v>3034</v>
      </c>
      <c r="C4524" s="194"/>
      <c r="D4524" s="194"/>
      <c r="E4524" s="198"/>
      <c r="G4524" s="202"/>
      <c r="J4524" s="195">
        <v>17</v>
      </c>
      <c r="K4524" s="204" t="s">
        <v>11</v>
      </c>
      <c r="L4524" s="199">
        <v>4</v>
      </c>
      <c r="M4524" s="200">
        <v>1.7</v>
      </c>
      <c r="N4524" s="201">
        <v>17</v>
      </c>
    </row>
    <row r="4525" spans="1:14">
      <c r="A4525" s="194">
        <v>41303.502465277779</v>
      </c>
      <c r="B4525" s="195">
        <v>3034</v>
      </c>
      <c r="C4525" s="194"/>
      <c r="D4525" s="194"/>
      <c r="E4525" s="198"/>
      <c r="G4525" s="202"/>
      <c r="J4525" s="195">
        <v>17</v>
      </c>
      <c r="K4525" s="204" t="s">
        <v>11</v>
      </c>
      <c r="L4525" s="199">
        <v>4</v>
      </c>
      <c r="M4525" s="200">
        <v>0.2</v>
      </c>
      <c r="N4525" s="201">
        <v>18</v>
      </c>
    </row>
    <row r="4526" spans="1:14">
      <c r="A4526" s="194">
        <v>41276.818379629629</v>
      </c>
      <c r="B4526" s="195">
        <v>3034</v>
      </c>
      <c r="C4526" s="194"/>
      <c r="D4526" s="194"/>
      <c r="E4526" s="196" t="s">
        <v>1640</v>
      </c>
      <c r="G4526" s="202"/>
      <c r="J4526" s="195">
        <v>17</v>
      </c>
      <c r="K4526" s="204" t="s">
        <v>11</v>
      </c>
      <c r="L4526" s="199">
        <v>4</v>
      </c>
      <c r="M4526" s="200">
        <v>0.4</v>
      </c>
      <c r="N4526" s="201">
        <v>18</v>
      </c>
    </row>
    <row r="4527" spans="1:14">
      <c r="A4527" s="194">
        <v>41281.779456018521</v>
      </c>
      <c r="B4527" s="195">
        <v>3034</v>
      </c>
      <c r="C4527" s="194"/>
      <c r="D4527" s="194"/>
      <c r="E4527" s="198"/>
      <c r="G4527" s="202"/>
      <c r="J4527" s="195">
        <v>17</v>
      </c>
      <c r="K4527" s="204" t="s">
        <v>11</v>
      </c>
      <c r="L4527" s="199">
        <v>4</v>
      </c>
      <c r="M4527" s="200">
        <v>0.8</v>
      </c>
      <c r="N4527" s="201">
        <v>18</v>
      </c>
    </row>
    <row r="4528" spans="1:14">
      <c r="A4528" s="194">
        <v>41275.101006944446</v>
      </c>
      <c r="B4528" s="195">
        <v>3034</v>
      </c>
      <c r="C4528" s="194"/>
      <c r="D4528" s="194"/>
      <c r="E4528" s="198"/>
      <c r="G4528" s="202"/>
      <c r="J4528" s="195">
        <v>17</v>
      </c>
      <c r="K4528" s="204" t="s">
        <v>11</v>
      </c>
      <c r="L4528" s="199">
        <v>4</v>
      </c>
      <c r="M4528" s="200">
        <v>1.6</v>
      </c>
      <c r="N4528" s="201">
        <v>18</v>
      </c>
    </row>
    <row r="4529" spans="1:14">
      <c r="A4529" s="194">
        <v>41301.502453703702</v>
      </c>
      <c r="B4529" s="195">
        <v>3034</v>
      </c>
      <c r="C4529" s="194"/>
      <c r="D4529" s="194"/>
      <c r="E4529" s="198"/>
      <c r="G4529" s="202"/>
      <c r="J4529" s="195">
        <v>17</v>
      </c>
      <c r="K4529" s="204" t="s">
        <v>11</v>
      </c>
      <c r="L4529" s="199">
        <v>3</v>
      </c>
      <c r="M4529" s="200">
        <v>0.2</v>
      </c>
      <c r="N4529" s="201">
        <v>19</v>
      </c>
    </row>
    <row r="4530" spans="1:14">
      <c r="A4530" s="194">
        <v>41298.482303240744</v>
      </c>
      <c r="B4530" s="195">
        <v>3034</v>
      </c>
      <c r="C4530" s="194"/>
      <c r="D4530" s="194"/>
      <c r="E4530" s="198"/>
      <c r="G4530" s="202"/>
      <c r="J4530" s="195">
        <v>17</v>
      </c>
      <c r="K4530" s="204" t="s">
        <v>11</v>
      </c>
      <c r="L4530" s="199">
        <v>4</v>
      </c>
      <c r="M4530" s="200">
        <v>0.2</v>
      </c>
      <c r="N4530" s="201">
        <v>19</v>
      </c>
    </row>
    <row r="4531" spans="1:14">
      <c r="A4531" s="194">
        <v>41286.489189814813</v>
      </c>
      <c r="B4531" s="195">
        <v>3034</v>
      </c>
      <c r="C4531" s="194"/>
      <c r="D4531" s="194"/>
      <c r="E4531" s="198"/>
      <c r="G4531" s="202"/>
      <c r="J4531" s="195">
        <v>17</v>
      </c>
      <c r="K4531" s="204" t="s">
        <v>11</v>
      </c>
      <c r="L4531" s="199">
        <v>4</v>
      </c>
      <c r="M4531" s="200">
        <v>0.2</v>
      </c>
      <c r="N4531" s="201">
        <v>19</v>
      </c>
    </row>
    <row r="4532" spans="1:14">
      <c r="A4532" s="194">
        <v>41281.728067129632</v>
      </c>
      <c r="B4532" s="195">
        <v>3034</v>
      </c>
      <c r="C4532" s="194"/>
      <c r="D4532" s="194"/>
      <c r="E4532" s="198"/>
      <c r="G4532" s="202"/>
      <c r="J4532" s="195">
        <v>17</v>
      </c>
      <c r="K4532" s="204" t="s">
        <v>11</v>
      </c>
      <c r="L4532" s="199">
        <v>4</v>
      </c>
      <c r="M4532" s="200">
        <v>0.6</v>
      </c>
      <c r="N4532" s="201">
        <v>19</v>
      </c>
    </row>
    <row r="4533" spans="1:14">
      <c r="A4533" s="194">
        <v>41286.973298611112</v>
      </c>
      <c r="B4533" s="195">
        <v>3034</v>
      </c>
      <c r="C4533" s="194"/>
      <c r="D4533" s="194"/>
      <c r="E4533" s="198"/>
      <c r="G4533" s="202"/>
      <c r="J4533" s="195">
        <v>17</v>
      </c>
      <c r="K4533" s="204" t="s">
        <v>11</v>
      </c>
      <c r="L4533" s="199">
        <v>4</v>
      </c>
      <c r="M4533" s="200">
        <v>1.9</v>
      </c>
      <c r="N4533" s="201">
        <v>19</v>
      </c>
    </row>
    <row r="4534" spans="1:14">
      <c r="A4534" s="194">
        <v>41304.487199074072</v>
      </c>
      <c r="B4534" s="195">
        <v>3034</v>
      </c>
      <c r="C4534" s="194"/>
      <c r="D4534" s="194"/>
      <c r="E4534" s="198"/>
      <c r="G4534" s="202"/>
      <c r="J4534" s="195">
        <v>17</v>
      </c>
      <c r="K4534" s="204" t="s">
        <v>11</v>
      </c>
      <c r="L4534" s="199">
        <v>4</v>
      </c>
      <c r="M4534" s="200">
        <v>0.2</v>
      </c>
      <c r="N4534" s="201">
        <v>20</v>
      </c>
    </row>
    <row r="4535" spans="1:14">
      <c r="A4535" s="194">
        <v>41279.698275462964</v>
      </c>
      <c r="B4535" s="195">
        <v>3034</v>
      </c>
      <c r="C4535" s="194"/>
      <c r="D4535" s="194"/>
      <c r="E4535" s="196" t="s">
        <v>1801</v>
      </c>
      <c r="G4535" s="202"/>
      <c r="J4535" s="195">
        <v>17</v>
      </c>
      <c r="K4535" s="204" t="s">
        <v>11</v>
      </c>
      <c r="L4535" s="199">
        <v>4</v>
      </c>
      <c r="M4535" s="200">
        <v>0.2</v>
      </c>
      <c r="N4535" s="201">
        <v>20</v>
      </c>
    </row>
    <row r="4536" spans="1:14">
      <c r="A4536" s="194">
        <v>41305.974641203706</v>
      </c>
      <c r="B4536" s="195">
        <v>3034</v>
      </c>
      <c r="C4536" s="194"/>
      <c r="D4536" s="194"/>
      <c r="E4536" s="198"/>
      <c r="G4536" s="202"/>
      <c r="J4536" s="195">
        <v>17</v>
      </c>
      <c r="K4536" s="204" t="s">
        <v>11</v>
      </c>
      <c r="L4536" s="199">
        <v>1</v>
      </c>
      <c r="M4536" s="200">
        <v>0.9</v>
      </c>
      <c r="N4536" s="201">
        <v>21</v>
      </c>
    </row>
    <row r="4537" spans="1:14">
      <c r="A4537" s="194">
        <v>41291.419120370374</v>
      </c>
      <c r="B4537" s="195">
        <v>3034</v>
      </c>
      <c r="C4537" s="194"/>
      <c r="D4537" s="194"/>
      <c r="E4537" s="198"/>
      <c r="G4537" s="202"/>
      <c r="J4537" s="195">
        <v>17</v>
      </c>
      <c r="K4537" s="204" t="s">
        <v>11</v>
      </c>
      <c r="L4537" s="199">
        <v>1</v>
      </c>
      <c r="M4537" s="200">
        <v>0.2</v>
      </c>
      <c r="N4537" s="201">
        <v>28</v>
      </c>
    </row>
    <row r="4538" spans="1:14">
      <c r="A4538" s="194">
        <v>41278.583692129629</v>
      </c>
      <c r="B4538" s="195">
        <v>3034</v>
      </c>
      <c r="C4538" s="194"/>
      <c r="D4538" s="194"/>
      <c r="E4538" s="198"/>
      <c r="G4538" s="202"/>
      <c r="J4538" s="195">
        <v>17</v>
      </c>
      <c r="K4538" s="204" t="s">
        <v>11</v>
      </c>
      <c r="L4538" s="199">
        <v>1</v>
      </c>
      <c r="M4538" s="200">
        <v>0.2</v>
      </c>
      <c r="N4538" s="201">
        <v>31</v>
      </c>
    </row>
    <row r="4539" spans="1:14">
      <c r="A4539" s="194">
        <v>41301.501064814816</v>
      </c>
      <c r="B4539" s="195">
        <v>3034</v>
      </c>
      <c r="C4539" s="194"/>
      <c r="D4539" s="194"/>
      <c r="E4539" s="198"/>
      <c r="G4539" s="202"/>
      <c r="J4539" s="195">
        <v>17</v>
      </c>
      <c r="K4539" s="204" t="s">
        <v>11</v>
      </c>
      <c r="L4539" s="199">
        <v>2</v>
      </c>
      <c r="M4539" s="200">
        <v>0.2</v>
      </c>
      <c r="N4539" s="201">
        <v>33</v>
      </c>
    </row>
    <row r="4540" spans="1:14">
      <c r="A4540" s="194">
        <v>41283.966967592591</v>
      </c>
      <c r="B4540" s="195">
        <v>3034</v>
      </c>
      <c r="C4540" s="194"/>
      <c r="D4540" s="194"/>
      <c r="E4540" s="198"/>
      <c r="G4540" s="202"/>
      <c r="J4540" s="195">
        <v>18</v>
      </c>
      <c r="K4540" s="204" t="s">
        <v>5</v>
      </c>
      <c r="L4540" s="199">
        <v>4</v>
      </c>
      <c r="M4540" s="200">
        <v>1</v>
      </c>
      <c r="N4540" s="201">
        <v>-1</v>
      </c>
    </row>
    <row r="4541" spans="1:14">
      <c r="A4541" s="194">
        <v>41304.56653935185</v>
      </c>
      <c r="B4541" s="195">
        <v>3034</v>
      </c>
      <c r="C4541" s="194"/>
      <c r="D4541" s="194"/>
      <c r="E4541" s="198"/>
      <c r="G4541" s="202"/>
      <c r="J4541" s="195">
        <v>18</v>
      </c>
      <c r="K4541" s="204" t="s">
        <v>5</v>
      </c>
      <c r="L4541" s="199">
        <v>3</v>
      </c>
      <c r="M4541" s="200">
        <v>16.7</v>
      </c>
      <c r="N4541" s="201">
        <v>17</v>
      </c>
    </row>
    <row r="4542" spans="1:14">
      <c r="A4542" s="194">
        <v>41289.646493055552</v>
      </c>
      <c r="B4542" s="195">
        <v>3034</v>
      </c>
      <c r="C4542" s="194"/>
      <c r="D4542" s="194"/>
      <c r="E4542" s="198"/>
      <c r="G4542" s="202"/>
      <c r="J4542" s="195">
        <v>18</v>
      </c>
      <c r="K4542" s="204" t="s">
        <v>5</v>
      </c>
      <c r="L4542" s="199">
        <v>2</v>
      </c>
      <c r="M4542" s="200">
        <v>25</v>
      </c>
      <c r="N4542" s="201">
        <v>18</v>
      </c>
    </row>
    <row r="4543" spans="1:14">
      <c r="A4543" s="194">
        <v>41305.571215277778</v>
      </c>
      <c r="B4543" s="195">
        <v>3034</v>
      </c>
      <c r="C4543" s="194"/>
      <c r="D4543" s="194"/>
      <c r="E4543" s="198"/>
      <c r="G4543" s="202"/>
      <c r="J4543" s="195">
        <v>18</v>
      </c>
      <c r="K4543" s="204" t="s">
        <v>5</v>
      </c>
      <c r="L4543" s="199">
        <v>4</v>
      </c>
      <c r="M4543" s="200">
        <v>1.1000000000000001</v>
      </c>
      <c r="N4543" s="201">
        <v>19</v>
      </c>
    </row>
    <row r="4544" spans="1:14">
      <c r="A4544" s="194">
        <v>41291.853831018518</v>
      </c>
      <c r="B4544" s="195">
        <v>3034</v>
      </c>
      <c r="C4544" s="194"/>
      <c r="D4544" s="194"/>
      <c r="E4544" s="196" t="s">
        <v>2129</v>
      </c>
      <c r="G4544" s="202"/>
      <c r="J4544" s="195">
        <v>24</v>
      </c>
      <c r="K4544" s="204" t="s">
        <v>25</v>
      </c>
      <c r="L4544" s="199">
        <v>4</v>
      </c>
      <c r="M4544" s="200">
        <v>0.6</v>
      </c>
      <c r="N4544" s="201">
        <v>15</v>
      </c>
    </row>
    <row r="4545" spans="1:14">
      <c r="A4545" s="194">
        <v>41299.960104166668</v>
      </c>
      <c r="B4545" s="195">
        <v>3034</v>
      </c>
      <c r="C4545" s="194"/>
      <c r="D4545" s="194"/>
      <c r="E4545" s="196" t="s">
        <v>1797</v>
      </c>
      <c r="G4545" s="202"/>
      <c r="J4545" s="195">
        <v>24</v>
      </c>
      <c r="K4545" s="204" t="s">
        <v>25</v>
      </c>
      <c r="L4545" s="199">
        <v>4</v>
      </c>
      <c r="M4545" s="200">
        <v>0.7</v>
      </c>
      <c r="N4545" s="201">
        <v>15</v>
      </c>
    </row>
    <row r="4546" spans="1:14">
      <c r="A4546" s="194">
        <v>41285.7496875</v>
      </c>
      <c r="B4546" s="195">
        <v>3034</v>
      </c>
      <c r="C4546" s="194"/>
      <c r="D4546" s="194"/>
      <c r="E4546" s="196" t="s">
        <v>2037</v>
      </c>
      <c r="G4546" s="202"/>
      <c r="J4546" s="195">
        <v>24</v>
      </c>
      <c r="K4546" s="204" t="s">
        <v>25</v>
      </c>
      <c r="L4546" s="199">
        <v>4</v>
      </c>
      <c r="M4546" s="200">
        <v>0.9</v>
      </c>
      <c r="N4546" s="201">
        <v>15</v>
      </c>
    </row>
    <row r="4547" spans="1:14">
      <c r="A4547" s="194">
        <v>41276.555196759262</v>
      </c>
      <c r="B4547" s="195">
        <v>3034</v>
      </c>
      <c r="C4547" s="194"/>
      <c r="D4547" s="194"/>
      <c r="E4547" s="196" t="s">
        <v>1892</v>
      </c>
      <c r="G4547" s="202"/>
      <c r="J4547" s="195">
        <v>24</v>
      </c>
      <c r="K4547" s="204" t="s">
        <v>25</v>
      </c>
      <c r="L4547" s="199">
        <v>4</v>
      </c>
      <c r="M4547" s="200">
        <v>1.4</v>
      </c>
      <c r="N4547" s="201">
        <v>15</v>
      </c>
    </row>
    <row r="4548" spans="1:14">
      <c r="A4548" s="194">
        <v>41280.537175925929</v>
      </c>
      <c r="B4548" s="195">
        <v>3034</v>
      </c>
      <c r="C4548" s="194"/>
      <c r="D4548" s="194"/>
      <c r="E4548" s="196" t="s">
        <v>2052</v>
      </c>
      <c r="G4548" s="202"/>
      <c r="J4548" s="195">
        <v>24</v>
      </c>
      <c r="K4548" s="204" t="s">
        <v>25</v>
      </c>
      <c r="L4548" s="199">
        <v>4</v>
      </c>
      <c r="M4548" s="200">
        <v>3.2</v>
      </c>
      <c r="N4548" s="201">
        <v>15</v>
      </c>
    </row>
    <row r="4549" spans="1:14">
      <c r="A4549" s="194">
        <v>41281.998148148145</v>
      </c>
      <c r="B4549" s="195">
        <v>3034</v>
      </c>
      <c r="C4549" s="194"/>
      <c r="D4549" s="194"/>
      <c r="E4549" s="196" t="s">
        <v>1778</v>
      </c>
      <c r="G4549" s="202"/>
      <c r="J4549" s="195">
        <v>24</v>
      </c>
      <c r="K4549" s="204" t="s">
        <v>25</v>
      </c>
      <c r="L4549" s="199">
        <v>4</v>
      </c>
      <c r="M4549" s="200">
        <v>0.3</v>
      </c>
      <c r="N4549" s="201">
        <v>16</v>
      </c>
    </row>
    <row r="4550" spans="1:14">
      <c r="A4550" s="194">
        <v>41283.621168981481</v>
      </c>
      <c r="B4550" s="195">
        <v>3034</v>
      </c>
      <c r="C4550" s="194"/>
      <c r="D4550" s="194"/>
      <c r="E4550" s="196" t="s">
        <v>1623</v>
      </c>
      <c r="G4550" s="202"/>
      <c r="J4550" s="195">
        <v>24</v>
      </c>
      <c r="K4550" s="204" t="s">
        <v>25</v>
      </c>
      <c r="L4550" s="199">
        <v>4</v>
      </c>
      <c r="M4550" s="200">
        <v>0.9</v>
      </c>
      <c r="N4550" s="201">
        <v>16</v>
      </c>
    </row>
    <row r="4551" spans="1:14">
      <c r="A4551" s="194">
        <v>41278.469826388886</v>
      </c>
      <c r="B4551" s="195">
        <v>3034</v>
      </c>
      <c r="C4551" s="194"/>
      <c r="D4551" s="194"/>
      <c r="E4551" s="196" t="s">
        <v>2094</v>
      </c>
      <c r="G4551" s="202"/>
      <c r="J4551" s="195">
        <v>24</v>
      </c>
      <c r="K4551" s="204" t="s">
        <v>25</v>
      </c>
      <c r="L4551" s="199">
        <v>4</v>
      </c>
      <c r="M4551" s="200">
        <v>1</v>
      </c>
      <c r="N4551" s="201">
        <v>16</v>
      </c>
    </row>
    <row r="4552" spans="1:14">
      <c r="A4552" s="194">
        <v>41288.831620370373</v>
      </c>
      <c r="B4552" s="195">
        <v>3034</v>
      </c>
      <c r="C4552" s="194"/>
      <c r="D4552" s="194"/>
      <c r="E4552" s="196" t="s">
        <v>2056</v>
      </c>
      <c r="G4552" s="202"/>
      <c r="J4552" s="195">
        <v>24</v>
      </c>
      <c r="K4552" s="204" t="s">
        <v>25</v>
      </c>
      <c r="L4552" s="199">
        <v>4</v>
      </c>
      <c r="M4552" s="200">
        <v>1.6</v>
      </c>
      <c r="N4552" s="201">
        <v>16</v>
      </c>
    </row>
    <row r="4553" spans="1:14">
      <c r="A4553" s="194">
        <v>41284.51289351852</v>
      </c>
      <c r="B4553" s="195">
        <v>3034</v>
      </c>
      <c r="C4553" s="194"/>
      <c r="D4553" s="194"/>
      <c r="E4553" s="196" t="s">
        <v>1644</v>
      </c>
      <c r="G4553" s="202"/>
      <c r="J4553" s="195">
        <v>24</v>
      </c>
      <c r="K4553" s="204" t="s">
        <v>25</v>
      </c>
      <c r="L4553" s="199">
        <v>4</v>
      </c>
      <c r="M4553" s="200">
        <v>0.3</v>
      </c>
      <c r="N4553" s="201">
        <v>17</v>
      </c>
    </row>
    <row r="4554" spans="1:14">
      <c r="A4554" s="194">
        <v>41290.707986111112</v>
      </c>
      <c r="B4554" s="195">
        <v>3034</v>
      </c>
      <c r="C4554" s="194"/>
      <c r="D4554" s="194"/>
      <c r="E4554" s="196" t="s">
        <v>1955</v>
      </c>
      <c r="G4554" s="202"/>
      <c r="J4554" s="195">
        <v>24</v>
      </c>
      <c r="K4554" s="204" t="s">
        <v>25</v>
      </c>
      <c r="L4554" s="199">
        <v>4</v>
      </c>
      <c r="M4554" s="200">
        <v>0.3</v>
      </c>
      <c r="N4554" s="201">
        <v>17</v>
      </c>
    </row>
    <row r="4555" spans="1:14">
      <c r="A4555" s="194">
        <v>41305.903819444444</v>
      </c>
      <c r="B4555" s="195">
        <v>3034</v>
      </c>
      <c r="C4555" s="194"/>
      <c r="D4555" s="194"/>
      <c r="E4555" s="196" t="s">
        <v>1876</v>
      </c>
      <c r="G4555" s="202"/>
      <c r="J4555" s="195">
        <v>24</v>
      </c>
      <c r="K4555" s="204" t="s">
        <v>25</v>
      </c>
      <c r="L4555" s="199">
        <v>4</v>
      </c>
      <c r="M4555" s="200">
        <v>0.4</v>
      </c>
      <c r="N4555" s="201">
        <v>17</v>
      </c>
    </row>
    <row r="4556" spans="1:14">
      <c r="A4556" s="194">
        <v>41290.578819444447</v>
      </c>
      <c r="B4556" s="195">
        <v>3034</v>
      </c>
      <c r="C4556" s="194"/>
      <c r="D4556" s="194"/>
      <c r="E4556" s="196" t="s">
        <v>1814</v>
      </c>
      <c r="G4556" s="202"/>
      <c r="J4556" s="195">
        <v>24</v>
      </c>
      <c r="K4556" s="204" t="s">
        <v>25</v>
      </c>
      <c r="L4556" s="199">
        <v>4</v>
      </c>
      <c r="M4556" s="200">
        <v>1</v>
      </c>
      <c r="N4556" s="201">
        <v>17</v>
      </c>
    </row>
    <row r="4557" spans="1:14">
      <c r="A4557" s="194">
        <v>41299.434432870374</v>
      </c>
      <c r="B4557" s="195">
        <v>3034</v>
      </c>
      <c r="C4557" s="194"/>
      <c r="D4557" s="194"/>
      <c r="E4557" s="196" t="s">
        <v>1820</v>
      </c>
      <c r="G4557" s="202"/>
      <c r="J4557" s="195">
        <v>24</v>
      </c>
      <c r="K4557" s="204" t="s">
        <v>25</v>
      </c>
      <c r="L4557" s="199">
        <v>4</v>
      </c>
      <c r="M4557" s="200">
        <v>1.3</v>
      </c>
      <c r="N4557" s="201">
        <v>17</v>
      </c>
    </row>
    <row r="4558" spans="1:14">
      <c r="A4558" s="194">
        <v>41282.677418981482</v>
      </c>
      <c r="B4558" s="195">
        <v>3034</v>
      </c>
      <c r="C4558" s="194"/>
      <c r="D4558" s="194"/>
      <c r="E4558" s="196" t="s">
        <v>1924</v>
      </c>
      <c r="G4558" s="202"/>
      <c r="J4558" s="195">
        <v>24</v>
      </c>
      <c r="K4558" s="204" t="s">
        <v>25</v>
      </c>
      <c r="L4558" s="199">
        <v>4</v>
      </c>
      <c r="M4558" s="200">
        <v>0.2</v>
      </c>
      <c r="N4558" s="201">
        <v>18</v>
      </c>
    </row>
    <row r="4559" spans="1:14">
      <c r="A4559" s="194">
        <v>41303.458738425928</v>
      </c>
      <c r="B4559" s="195">
        <v>3034</v>
      </c>
      <c r="C4559" s="194"/>
      <c r="D4559" s="194"/>
      <c r="E4559" s="196" t="s">
        <v>1824</v>
      </c>
      <c r="G4559" s="202"/>
      <c r="J4559" s="195">
        <v>24</v>
      </c>
      <c r="K4559" s="204" t="s">
        <v>25</v>
      </c>
      <c r="L4559" s="199">
        <v>4</v>
      </c>
      <c r="M4559" s="200">
        <v>0.3</v>
      </c>
      <c r="N4559" s="201">
        <v>18</v>
      </c>
    </row>
    <row r="4560" spans="1:14">
      <c r="A4560" s="194">
        <v>41287.669062499997</v>
      </c>
      <c r="B4560" s="195">
        <v>3034</v>
      </c>
      <c r="C4560" s="194"/>
      <c r="D4560" s="194"/>
      <c r="E4560" s="196" t="s">
        <v>1936</v>
      </c>
      <c r="G4560" s="202"/>
      <c r="J4560" s="195">
        <v>24</v>
      </c>
      <c r="K4560" s="204" t="s">
        <v>25</v>
      </c>
      <c r="L4560" s="199">
        <v>4</v>
      </c>
      <c r="M4560" s="200">
        <v>0.4</v>
      </c>
      <c r="N4560" s="201">
        <v>18</v>
      </c>
    </row>
    <row r="4561" spans="1:14">
      <c r="A4561" s="194">
        <v>41286.646168981482</v>
      </c>
      <c r="B4561" s="195">
        <v>3034</v>
      </c>
      <c r="C4561" s="194"/>
      <c r="D4561" s="194"/>
      <c r="E4561" s="196" t="s">
        <v>1704</v>
      </c>
      <c r="G4561" s="202"/>
      <c r="J4561" s="195">
        <v>24</v>
      </c>
      <c r="K4561" s="204" t="s">
        <v>25</v>
      </c>
      <c r="L4561" s="199">
        <v>4</v>
      </c>
      <c r="M4561" s="200">
        <v>0.7</v>
      </c>
      <c r="N4561" s="201">
        <v>18</v>
      </c>
    </row>
    <row r="4562" spans="1:14">
      <c r="A4562" s="194">
        <v>41285.783703703702</v>
      </c>
      <c r="B4562" s="195">
        <v>3034</v>
      </c>
      <c r="C4562" s="194"/>
      <c r="D4562" s="194"/>
      <c r="E4562" s="196" t="s">
        <v>1927</v>
      </c>
      <c r="G4562" s="202"/>
      <c r="J4562" s="195">
        <v>24</v>
      </c>
      <c r="K4562" s="204" t="s">
        <v>25</v>
      </c>
      <c r="L4562" s="199">
        <v>4</v>
      </c>
      <c r="M4562" s="200">
        <v>0.9</v>
      </c>
      <c r="N4562" s="201">
        <v>18</v>
      </c>
    </row>
    <row r="4563" spans="1:14">
      <c r="A4563" s="194">
        <v>41285.702476851853</v>
      </c>
      <c r="B4563" s="195">
        <v>3034</v>
      </c>
      <c r="C4563" s="194"/>
      <c r="D4563" s="194"/>
      <c r="E4563" s="196" t="s">
        <v>1666</v>
      </c>
      <c r="G4563" s="202"/>
      <c r="J4563" s="195">
        <v>24</v>
      </c>
      <c r="K4563" s="204" t="s">
        <v>25</v>
      </c>
      <c r="L4563" s="199">
        <v>4</v>
      </c>
      <c r="M4563" s="200">
        <v>2.2999999999999998</v>
      </c>
      <c r="N4563" s="201">
        <v>18</v>
      </c>
    </row>
    <row r="4564" spans="1:14">
      <c r="A4564" s="194">
        <v>41276.578784722224</v>
      </c>
      <c r="B4564" s="195">
        <v>3034</v>
      </c>
      <c r="C4564" s="194"/>
      <c r="D4564" s="194"/>
      <c r="E4564" s="196" t="s">
        <v>1867</v>
      </c>
      <c r="G4564" s="202"/>
      <c r="J4564" s="195">
        <v>24</v>
      </c>
      <c r="K4564" s="204" t="s">
        <v>25</v>
      </c>
      <c r="L4564" s="199">
        <v>4</v>
      </c>
      <c r="M4564" s="200">
        <v>0.6</v>
      </c>
      <c r="N4564" s="201">
        <v>19</v>
      </c>
    </row>
    <row r="4565" spans="1:14">
      <c r="A4565" s="194">
        <v>41283.773229166669</v>
      </c>
      <c r="B4565" s="195">
        <v>3034</v>
      </c>
      <c r="C4565" s="194"/>
      <c r="D4565" s="194"/>
      <c r="E4565" s="196" t="s">
        <v>1940</v>
      </c>
      <c r="G4565" s="202"/>
      <c r="J4565" s="195">
        <v>24</v>
      </c>
      <c r="K4565" s="204" t="s">
        <v>25</v>
      </c>
      <c r="L4565" s="199">
        <v>4</v>
      </c>
      <c r="M4565" s="200">
        <v>0.8</v>
      </c>
      <c r="N4565" s="201">
        <v>19</v>
      </c>
    </row>
    <row r="4566" spans="1:14">
      <c r="A4566" s="194">
        <v>41276.546157407407</v>
      </c>
      <c r="B4566" s="195">
        <v>3034</v>
      </c>
      <c r="C4566" s="194"/>
      <c r="D4566" s="194"/>
      <c r="E4566" s="196" t="s">
        <v>2016</v>
      </c>
      <c r="G4566" s="202"/>
      <c r="J4566" s="195">
        <v>24</v>
      </c>
      <c r="K4566" s="204" t="s">
        <v>25</v>
      </c>
      <c r="L4566" s="199">
        <v>3</v>
      </c>
      <c r="M4566" s="200">
        <v>0.8</v>
      </c>
      <c r="N4566" s="201">
        <v>19</v>
      </c>
    </row>
    <row r="4567" spans="1:14">
      <c r="A4567" s="194">
        <v>41277.718425925923</v>
      </c>
      <c r="B4567" s="195">
        <v>3034</v>
      </c>
      <c r="C4567" s="194"/>
      <c r="D4567" s="194"/>
      <c r="E4567" s="196" t="s">
        <v>2036</v>
      </c>
      <c r="G4567" s="202"/>
      <c r="J4567" s="195">
        <v>24</v>
      </c>
      <c r="K4567" s="204" t="s">
        <v>25</v>
      </c>
      <c r="L4567" s="199">
        <v>4</v>
      </c>
      <c r="M4567" s="200">
        <v>0.9</v>
      </c>
      <c r="N4567" s="201">
        <v>21</v>
      </c>
    </row>
    <row r="4568" spans="1:14">
      <c r="A4568" s="194">
        <v>41283.385069444441</v>
      </c>
      <c r="B4568" s="195">
        <v>3034</v>
      </c>
      <c r="C4568" s="194"/>
      <c r="D4568" s="194"/>
      <c r="E4568" s="196" t="s">
        <v>1758</v>
      </c>
      <c r="G4568" s="202"/>
      <c r="J4568" s="195">
        <v>24</v>
      </c>
      <c r="K4568" s="204" t="s">
        <v>25</v>
      </c>
      <c r="L4568" s="199">
        <v>4</v>
      </c>
      <c r="M4568" s="200">
        <v>0.2</v>
      </c>
      <c r="N4568" s="201">
        <v>22</v>
      </c>
    </row>
    <row r="4569" spans="1:14">
      <c r="A4569" s="194">
        <v>41279.721898148149</v>
      </c>
      <c r="B4569" s="195">
        <v>3034</v>
      </c>
      <c r="C4569" s="194"/>
      <c r="D4569" s="194"/>
      <c r="E4569" s="196" t="s">
        <v>1614</v>
      </c>
      <c r="G4569" s="202"/>
      <c r="J4569" s="195">
        <v>24</v>
      </c>
      <c r="K4569" s="204" t="s">
        <v>25</v>
      </c>
      <c r="L4569" s="199">
        <v>2</v>
      </c>
      <c r="M4569" s="200">
        <v>0.3</v>
      </c>
      <c r="N4569" s="201">
        <v>29</v>
      </c>
    </row>
    <row r="4570" spans="1:14">
      <c r="A4570" s="194">
        <v>41290.601041666669</v>
      </c>
      <c r="B4570" s="195">
        <v>3034</v>
      </c>
      <c r="C4570" s="194"/>
      <c r="D4570" s="194"/>
      <c r="E4570" s="196" t="s">
        <v>1798</v>
      </c>
      <c r="G4570" s="202"/>
      <c r="J4570" s="195">
        <v>24</v>
      </c>
      <c r="K4570" s="204" t="s">
        <v>25</v>
      </c>
      <c r="L4570" s="199">
        <v>3</v>
      </c>
      <c r="M4570" s="200">
        <v>0.9</v>
      </c>
      <c r="N4570" s="201">
        <v>29</v>
      </c>
    </row>
    <row r="4571" spans="1:14">
      <c r="A4571" s="194">
        <v>41298.465648148151</v>
      </c>
      <c r="B4571" s="195">
        <v>3034</v>
      </c>
      <c r="C4571" s="194"/>
      <c r="D4571" s="194"/>
      <c r="E4571" s="196" t="s">
        <v>1854</v>
      </c>
      <c r="G4571" s="202"/>
      <c r="J4571" s="195">
        <v>29</v>
      </c>
      <c r="K4571" s="204" t="s">
        <v>39</v>
      </c>
      <c r="L4571" s="199">
        <v>4</v>
      </c>
      <c r="M4571" s="200">
        <v>0.3</v>
      </c>
      <c r="N4571" s="201">
        <v>15</v>
      </c>
    </row>
    <row r="4572" spans="1:14">
      <c r="A4572" s="194">
        <v>41305.666365740741</v>
      </c>
      <c r="B4572" s="195">
        <v>3034</v>
      </c>
      <c r="C4572" s="194"/>
      <c r="D4572" s="194"/>
      <c r="E4572" s="196" t="s">
        <v>2146</v>
      </c>
      <c r="G4572" s="202"/>
      <c r="J4572" s="195">
        <v>29</v>
      </c>
      <c r="K4572" s="204" t="s">
        <v>39</v>
      </c>
      <c r="L4572" s="199">
        <v>4</v>
      </c>
      <c r="M4572" s="200">
        <v>0.7</v>
      </c>
      <c r="N4572" s="201">
        <v>15</v>
      </c>
    </row>
    <row r="4573" spans="1:14">
      <c r="A4573" s="194">
        <v>41305.63858796296</v>
      </c>
      <c r="B4573" s="195">
        <v>3034</v>
      </c>
      <c r="C4573" s="194"/>
      <c r="D4573" s="194"/>
      <c r="E4573" s="196" t="s">
        <v>2023</v>
      </c>
      <c r="G4573" s="202"/>
      <c r="J4573" s="195">
        <v>29</v>
      </c>
      <c r="K4573" s="204" t="s">
        <v>39</v>
      </c>
      <c r="L4573" s="199">
        <v>4</v>
      </c>
      <c r="M4573" s="200">
        <v>0.5</v>
      </c>
      <c r="N4573" s="201">
        <v>16</v>
      </c>
    </row>
    <row r="4574" spans="1:14">
      <c r="A4574" s="194">
        <v>41301.52815972222</v>
      </c>
      <c r="B4574" s="195">
        <v>3034</v>
      </c>
      <c r="C4574" s="194"/>
      <c r="D4574" s="194"/>
      <c r="E4574" s="196" t="s">
        <v>1628</v>
      </c>
      <c r="G4574" s="202"/>
      <c r="J4574" s="195">
        <v>29</v>
      </c>
      <c r="K4574" s="204" t="s">
        <v>39</v>
      </c>
      <c r="L4574" s="199">
        <v>4</v>
      </c>
      <c r="M4574" s="200">
        <v>0.9</v>
      </c>
      <c r="N4574" s="201">
        <v>16</v>
      </c>
    </row>
    <row r="4575" spans="1:14">
      <c r="A4575" s="194">
        <v>41305.590671296297</v>
      </c>
      <c r="B4575" s="195">
        <v>3034</v>
      </c>
      <c r="C4575" s="194"/>
      <c r="D4575" s="194"/>
      <c r="E4575" s="196" t="s">
        <v>1833</v>
      </c>
      <c r="G4575" s="202"/>
      <c r="J4575" s="195">
        <v>29</v>
      </c>
      <c r="K4575" s="204" t="s">
        <v>39</v>
      </c>
      <c r="L4575" s="199">
        <v>4</v>
      </c>
      <c r="M4575" s="200">
        <v>1.7</v>
      </c>
      <c r="N4575" s="201">
        <v>16</v>
      </c>
    </row>
    <row r="4576" spans="1:14">
      <c r="A4576" s="194">
        <v>41289.602465277778</v>
      </c>
      <c r="B4576" s="195">
        <v>3034</v>
      </c>
      <c r="C4576" s="194"/>
      <c r="D4576" s="194"/>
      <c r="E4576" s="196" t="s">
        <v>2017</v>
      </c>
      <c r="G4576" s="202"/>
      <c r="J4576" s="195">
        <v>29</v>
      </c>
      <c r="K4576" s="204" t="s">
        <v>39</v>
      </c>
      <c r="L4576" s="199">
        <v>4</v>
      </c>
      <c r="M4576" s="200">
        <v>0.6</v>
      </c>
      <c r="N4576" s="201">
        <v>17</v>
      </c>
    </row>
    <row r="4577" spans="1:14">
      <c r="A4577" s="194">
        <v>41281.49894675926</v>
      </c>
      <c r="B4577" s="195">
        <v>3034</v>
      </c>
      <c r="C4577" s="194"/>
      <c r="D4577" s="194"/>
      <c r="E4577" s="196" t="s">
        <v>1887</v>
      </c>
      <c r="G4577" s="202"/>
      <c r="J4577" s="195">
        <v>29</v>
      </c>
      <c r="K4577" s="204" t="s">
        <v>39</v>
      </c>
      <c r="L4577" s="199">
        <v>4</v>
      </c>
      <c r="M4577" s="200">
        <v>0.8</v>
      </c>
      <c r="N4577" s="201">
        <v>17</v>
      </c>
    </row>
    <row r="4578" spans="1:14">
      <c r="A4578" s="194">
        <v>41300.658032407409</v>
      </c>
      <c r="B4578" s="195">
        <v>3034</v>
      </c>
      <c r="C4578" s="194"/>
      <c r="D4578" s="194"/>
      <c r="E4578" s="196" t="s">
        <v>1749</v>
      </c>
      <c r="G4578" s="202"/>
      <c r="J4578" s="195">
        <v>29</v>
      </c>
      <c r="K4578" s="204" t="s">
        <v>39</v>
      </c>
      <c r="L4578" s="199">
        <v>4</v>
      </c>
      <c r="M4578" s="200">
        <v>1.5</v>
      </c>
      <c r="N4578" s="201">
        <v>17</v>
      </c>
    </row>
    <row r="4579" spans="1:14">
      <c r="A4579" s="194">
        <v>41290.464236111111</v>
      </c>
      <c r="B4579" s="195">
        <v>3034</v>
      </c>
      <c r="C4579" s="194"/>
      <c r="D4579" s="194"/>
      <c r="E4579" s="196" t="s">
        <v>1733</v>
      </c>
      <c r="G4579" s="202"/>
      <c r="J4579" s="195">
        <v>29</v>
      </c>
      <c r="K4579" s="204" t="s">
        <v>39</v>
      </c>
      <c r="L4579" s="199">
        <v>4</v>
      </c>
      <c r="M4579" s="200">
        <v>0.5</v>
      </c>
      <c r="N4579" s="201">
        <v>18</v>
      </c>
    </row>
    <row r="4580" spans="1:14">
      <c r="A4580" s="194">
        <v>41303.473310185182</v>
      </c>
      <c r="B4580" s="195">
        <v>3034</v>
      </c>
      <c r="C4580" s="194"/>
      <c r="D4580" s="194"/>
      <c r="E4580" s="196" t="s">
        <v>2064</v>
      </c>
      <c r="G4580" s="202"/>
      <c r="J4580" s="195">
        <v>29</v>
      </c>
      <c r="K4580" s="204" t="s">
        <v>39</v>
      </c>
      <c r="L4580" s="199">
        <v>4</v>
      </c>
      <c r="M4580" s="200">
        <v>0.9</v>
      </c>
      <c r="N4580" s="201">
        <v>19</v>
      </c>
    </row>
    <row r="4581" spans="1:14">
      <c r="A4581" s="194">
        <v>41300.654548611114</v>
      </c>
      <c r="B4581" s="195">
        <v>3034</v>
      </c>
      <c r="C4581" s="194"/>
      <c r="D4581" s="194"/>
      <c r="E4581" s="198"/>
      <c r="G4581" s="202"/>
      <c r="J4581" s="195">
        <v>6200</v>
      </c>
      <c r="K4581" s="204" t="s">
        <v>36</v>
      </c>
      <c r="L4581" s="199">
        <v>1</v>
      </c>
      <c r="M4581" s="200">
        <v>0.2</v>
      </c>
      <c r="N4581" s="201">
        <v>-1</v>
      </c>
    </row>
    <row r="4582" spans="1:14">
      <c r="A4582" s="194">
        <v>41298.532997685186</v>
      </c>
      <c r="B4582" s="195">
        <v>3034</v>
      </c>
      <c r="C4582" s="194"/>
      <c r="D4582" s="194"/>
      <c r="E4582" s="198"/>
      <c r="G4582" s="202"/>
      <c r="J4582" s="195">
        <v>6200</v>
      </c>
      <c r="K4582" s="204" t="s">
        <v>36</v>
      </c>
      <c r="L4582" s="199">
        <v>4</v>
      </c>
      <c r="M4582" s="200">
        <v>0.2</v>
      </c>
      <c r="N4582" s="201">
        <v>-1</v>
      </c>
    </row>
    <row r="4583" spans="1:14">
      <c r="A4583" s="194">
        <v>41290.935046296298</v>
      </c>
      <c r="B4583" s="195">
        <v>3034</v>
      </c>
      <c r="C4583" s="194"/>
      <c r="D4583" s="194"/>
      <c r="E4583" s="198"/>
      <c r="G4583" s="202"/>
      <c r="J4583" s="195">
        <v>6200</v>
      </c>
      <c r="K4583" s="204" t="s">
        <v>36</v>
      </c>
      <c r="L4583" s="199">
        <v>4</v>
      </c>
      <c r="M4583" s="200">
        <v>0.2</v>
      </c>
      <c r="N4583" s="201">
        <v>-1</v>
      </c>
    </row>
    <row r="4584" spans="1:14">
      <c r="A4584" s="194">
        <v>41290.927418981482</v>
      </c>
      <c r="B4584" s="195">
        <v>3034</v>
      </c>
      <c r="C4584" s="194"/>
      <c r="D4584" s="194"/>
      <c r="E4584" s="198"/>
      <c r="G4584" s="202"/>
      <c r="J4584" s="195">
        <v>6200</v>
      </c>
      <c r="K4584" s="204" t="s">
        <v>36</v>
      </c>
      <c r="L4584" s="199">
        <v>4</v>
      </c>
      <c r="M4584" s="200">
        <v>0.2</v>
      </c>
      <c r="N4584" s="201">
        <v>-1</v>
      </c>
    </row>
    <row r="4585" spans="1:14">
      <c r="A4585" s="194">
        <v>41290.571875000001</v>
      </c>
      <c r="B4585" s="195">
        <v>3034</v>
      </c>
      <c r="C4585" s="194"/>
      <c r="D4585" s="194"/>
      <c r="E4585" s="198"/>
      <c r="G4585" s="202"/>
      <c r="J4585" s="195">
        <v>6200</v>
      </c>
      <c r="K4585" s="204" t="s">
        <v>36</v>
      </c>
      <c r="L4585" s="199">
        <v>1</v>
      </c>
      <c r="M4585" s="200">
        <v>0.2</v>
      </c>
      <c r="N4585" s="201">
        <v>-1</v>
      </c>
    </row>
    <row r="4586" spans="1:14">
      <c r="A4586" s="194">
        <v>41288.551053240742</v>
      </c>
      <c r="B4586" s="195">
        <v>3034</v>
      </c>
      <c r="C4586" s="194"/>
      <c r="D4586" s="194"/>
      <c r="E4586" s="198"/>
      <c r="G4586" s="202"/>
      <c r="J4586" s="195">
        <v>6200</v>
      </c>
      <c r="K4586" s="204" t="s">
        <v>36</v>
      </c>
      <c r="L4586" s="199">
        <v>1</v>
      </c>
      <c r="M4586" s="200">
        <v>0.2</v>
      </c>
      <c r="N4586" s="201">
        <v>-1</v>
      </c>
    </row>
    <row r="4587" spans="1:14">
      <c r="A4587" s="194">
        <v>41286.647557870368</v>
      </c>
      <c r="B4587" s="195">
        <v>3034</v>
      </c>
      <c r="C4587" s="194"/>
      <c r="D4587" s="194"/>
      <c r="E4587" s="198"/>
      <c r="G4587" s="202"/>
      <c r="J4587" s="195">
        <v>6200</v>
      </c>
      <c r="K4587" s="204" t="s">
        <v>36</v>
      </c>
      <c r="L4587" s="199">
        <v>4</v>
      </c>
      <c r="M4587" s="200">
        <v>0.2</v>
      </c>
      <c r="N4587" s="201">
        <v>-1</v>
      </c>
    </row>
    <row r="4588" spans="1:14">
      <c r="A4588" s="194">
        <v>41280.71979166667</v>
      </c>
      <c r="B4588" s="195">
        <v>3034</v>
      </c>
      <c r="C4588" s="194"/>
      <c r="D4588" s="194"/>
      <c r="E4588" s="198"/>
      <c r="G4588" s="202"/>
      <c r="J4588" s="195">
        <v>6200</v>
      </c>
      <c r="K4588" s="204" t="s">
        <v>36</v>
      </c>
      <c r="L4588" s="199">
        <v>4</v>
      </c>
      <c r="M4588" s="200">
        <v>0.2</v>
      </c>
      <c r="N4588" s="201">
        <v>-1</v>
      </c>
    </row>
    <row r="4589" spans="1:14">
      <c r="A4589" s="194">
        <v>41278.598275462966</v>
      </c>
      <c r="B4589" s="195">
        <v>3034</v>
      </c>
      <c r="C4589" s="194"/>
      <c r="D4589" s="194"/>
      <c r="E4589" s="198"/>
      <c r="G4589" s="202"/>
      <c r="J4589" s="195">
        <v>6200</v>
      </c>
      <c r="K4589" s="204" t="s">
        <v>36</v>
      </c>
      <c r="L4589" s="199">
        <v>4</v>
      </c>
      <c r="M4589" s="200">
        <v>0.2</v>
      </c>
      <c r="N4589" s="201">
        <v>-1</v>
      </c>
    </row>
    <row r="4590" spans="1:14">
      <c r="A4590" s="194">
        <v>41305.483703703707</v>
      </c>
      <c r="B4590" s="195">
        <v>3034</v>
      </c>
      <c r="C4590" s="194"/>
      <c r="D4590" s="194"/>
      <c r="E4590" s="198"/>
      <c r="G4590" s="202"/>
      <c r="J4590" s="195">
        <v>6200</v>
      </c>
      <c r="K4590" s="204" t="s">
        <v>36</v>
      </c>
      <c r="L4590" s="199">
        <v>4</v>
      </c>
      <c r="M4590" s="200">
        <v>0.3</v>
      </c>
      <c r="N4590" s="201">
        <v>-1</v>
      </c>
    </row>
    <row r="4591" spans="1:14">
      <c r="A4591" s="194">
        <v>41279.773993055554</v>
      </c>
      <c r="B4591" s="195">
        <v>3034</v>
      </c>
      <c r="C4591" s="194"/>
      <c r="D4591" s="194"/>
      <c r="E4591" s="198"/>
      <c r="G4591" s="202"/>
      <c r="J4591" s="195">
        <v>6200</v>
      </c>
      <c r="K4591" s="204" t="s">
        <v>36</v>
      </c>
      <c r="L4591" s="199">
        <v>4</v>
      </c>
      <c r="M4591" s="200">
        <v>0.3</v>
      </c>
      <c r="N4591" s="201">
        <v>-1</v>
      </c>
    </row>
    <row r="4592" spans="1:14">
      <c r="A4592" s="194">
        <v>41277.550300925926</v>
      </c>
      <c r="B4592" s="195">
        <v>3034</v>
      </c>
      <c r="C4592" s="194"/>
      <c r="D4592" s="194"/>
      <c r="E4592" s="198"/>
      <c r="G4592" s="202"/>
      <c r="J4592" s="195">
        <v>6200</v>
      </c>
      <c r="K4592" s="204" t="s">
        <v>36</v>
      </c>
      <c r="L4592" s="199">
        <v>4</v>
      </c>
      <c r="M4592" s="200">
        <v>0.3</v>
      </c>
      <c r="N4592" s="201">
        <v>-1</v>
      </c>
    </row>
    <row r="4593" spans="1:14">
      <c r="A4593" s="194">
        <v>41303.569131944445</v>
      </c>
      <c r="B4593" s="195">
        <v>3034</v>
      </c>
      <c r="C4593" s="194"/>
      <c r="D4593" s="194"/>
      <c r="E4593" s="198"/>
      <c r="G4593" s="202"/>
      <c r="J4593" s="195">
        <v>6200</v>
      </c>
      <c r="K4593" s="204" t="s">
        <v>36</v>
      </c>
      <c r="L4593" s="199">
        <v>4</v>
      </c>
      <c r="M4593" s="200">
        <v>0.4</v>
      </c>
      <c r="N4593" s="201">
        <v>-1</v>
      </c>
    </row>
    <row r="4594" spans="1:14">
      <c r="A4594" s="194">
        <v>41291.566342592596</v>
      </c>
      <c r="B4594" s="195">
        <v>3034</v>
      </c>
      <c r="C4594" s="194"/>
      <c r="D4594" s="194"/>
      <c r="E4594" s="198"/>
      <c r="G4594" s="202"/>
      <c r="J4594" s="195">
        <v>6200</v>
      </c>
      <c r="K4594" s="204" t="s">
        <v>36</v>
      </c>
      <c r="L4594" s="199">
        <v>2</v>
      </c>
      <c r="M4594" s="200">
        <v>0.4</v>
      </c>
      <c r="N4594" s="201">
        <v>-1</v>
      </c>
    </row>
    <row r="4595" spans="1:14">
      <c r="A4595" s="194">
        <v>41285.602384259262</v>
      </c>
      <c r="B4595" s="195">
        <v>3034</v>
      </c>
      <c r="C4595" s="194"/>
      <c r="D4595" s="194"/>
      <c r="E4595" s="198"/>
      <c r="G4595" s="202"/>
      <c r="J4595" s="195">
        <v>6200</v>
      </c>
      <c r="K4595" s="204" t="s">
        <v>36</v>
      </c>
      <c r="L4595" s="199">
        <v>4</v>
      </c>
      <c r="M4595" s="200">
        <v>0.4</v>
      </c>
      <c r="N4595" s="201">
        <v>-1</v>
      </c>
    </row>
    <row r="4596" spans="1:14">
      <c r="A4596" s="194">
        <v>41279.777465277781</v>
      </c>
      <c r="B4596" s="195">
        <v>3034</v>
      </c>
      <c r="C4596" s="194"/>
      <c r="D4596" s="194"/>
      <c r="E4596" s="198"/>
      <c r="G4596" s="202"/>
      <c r="J4596" s="195">
        <v>6200</v>
      </c>
      <c r="K4596" s="204" t="s">
        <v>36</v>
      </c>
      <c r="L4596" s="199">
        <v>1</v>
      </c>
      <c r="M4596" s="200">
        <v>0.4</v>
      </c>
      <c r="N4596" s="201">
        <v>-1</v>
      </c>
    </row>
    <row r="4597" spans="1:14">
      <c r="A4597" s="194">
        <v>41277.746898148151</v>
      </c>
      <c r="B4597" s="195">
        <v>3034</v>
      </c>
      <c r="C4597" s="194"/>
      <c r="D4597" s="194"/>
      <c r="E4597" s="198"/>
      <c r="G4597" s="202"/>
      <c r="J4597" s="195">
        <v>6200</v>
      </c>
      <c r="K4597" s="204" t="s">
        <v>36</v>
      </c>
      <c r="L4597" s="199">
        <v>3</v>
      </c>
      <c r="M4597" s="200">
        <v>0.4</v>
      </c>
      <c r="N4597" s="201">
        <v>-1</v>
      </c>
    </row>
    <row r="4598" spans="1:14">
      <c r="A4598" s="194">
        <v>41302.511423611111</v>
      </c>
      <c r="B4598" s="195">
        <v>3034</v>
      </c>
      <c r="C4598" s="194"/>
      <c r="D4598" s="194"/>
      <c r="E4598" s="198"/>
      <c r="G4598" s="202"/>
      <c r="J4598" s="195">
        <v>6200</v>
      </c>
      <c r="K4598" s="204" t="s">
        <v>36</v>
      </c>
      <c r="L4598" s="199">
        <v>3</v>
      </c>
      <c r="M4598" s="200">
        <v>0.5</v>
      </c>
      <c r="N4598" s="201">
        <v>-1</v>
      </c>
    </row>
    <row r="4599" spans="1:14">
      <c r="A4599" s="194">
        <v>41299.619120370371</v>
      </c>
      <c r="B4599" s="195">
        <v>3034</v>
      </c>
      <c r="C4599" s="194"/>
      <c r="D4599" s="194"/>
      <c r="E4599" s="198"/>
      <c r="G4599" s="202"/>
      <c r="J4599" s="195">
        <v>6200</v>
      </c>
      <c r="K4599" s="204" t="s">
        <v>36</v>
      </c>
      <c r="L4599" s="199">
        <v>1</v>
      </c>
      <c r="M4599" s="200">
        <v>0.5</v>
      </c>
      <c r="N4599" s="201">
        <v>-1</v>
      </c>
    </row>
    <row r="4600" spans="1:14">
      <c r="A4600" s="194">
        <v>41290.565625000003</v>
      </c>
      <c r="B4600" s="195">
        <v>3034</v>
      </c>
      <c r="C4600" s="194"/>
      <c r="D4600" s="194"/>
      <c r="E4600" s="198"/>
      <c r="G4600" s="202"/>
      <c r="J4600" s="195">
        <v>6200</v>
      </c>
      <c r="K4600" s="204" t="s">
        <v>36</v>
      </c>
      <c r="L4600" s="199">
        <v>4</v>
      </c>
      <c r="M4600" s="200">
        <v>0.5</v>
      </c>
      <c r="N4600" s="201">
        <v>-1</v>
      </c>
    </row>
    <row r="4601" spans="1:14">
      <c r="A4601" s="194">
        <v>41288.366354166668</v>
      </c>
      <c r="B4601" s="195">
        <v>3034</v>
      </c>
      <c r="C4601" s="194"/>
      <c r="D4601" s="194"/>
      <c r="E4601" s="198"/>
      <c r="G4601" s="202"/>
      <c r="J4601" s="195">
        <v>6200</v>
      </c>
      <c r="K4601" s="204" t="s">
        <v>36</v>
      </c>
      <c r="L4601" s="199">
        <v>4</v>
      </c>
      <c r="M4601" s="200">
        <v>0.5</v>
      </c>
      <c r="N4601" s="201">
        <v>-1</v>
      </c>
    </row>
    <row r="4602" spans="1:14">
      <c r="A4602" s="194">
        <v>41285.718425925923</v>
      </c>
      <c r="B4602" s="195">
        <v>3034</v>
      </c>
      <c r="C4602" s="194"/>
      <c r="D4602" s="194"/>
      <c r="E4602" s="198"/>
      <c r="G4602" s="202"/>
      <c r="J4602" s="195">
        <v>6200</v>
      </c>
      <c r="K4602" s="204" t="s">
        <v>36</v>
      </c>
      <c r="L4602" s="199">
        <v>4</v>
      </c>
      <c r="M4602" s="200">
        <v>0.5</v>
      </c>
      <c r="N4602" s="201">
        <v>-1</v>
      </c>
    </row>
    <row r="4603" spans="1:14">
      <c r="A4603" s="194">
        <v>41277.463518518518</v>
      </c>
      <c r="B4603" s="195">
        <v>3034</v>
      </c>
      <c r="C4603" s="194"/>
      <c r="D4603" s="194"/>
      <c r="E4603" s="198"/>
      <c r="G4603" s="202"/>
      <c r="J4603" s="195">
        <v>6200</v>
      </c>
      <c r="K4603" s="204" t="s">
        <v>36</v>
      </c>
      <c r="L4603" s="199">
        <v>1</v>
      </c>
      <c r="M4603" s="200">
        <v>0.5</v>
      </c>
      <c r="N4603" s="201">
        <v>-1</v>
      </c>
    </row>
    <row r="4604" spans="1:14">
      <c r="A4604" s="194">
        <v>41288.582303240742</v>
      </c>
      <c r="B4604" s="195">
        <v>3034</v>
      </c>
      <c r="C4604" s="194"/>
      <c r="D4604" s="194"/>
      <c r="E4604" s="198"/>
      <c r="G4604" s="202"/>
      <c r="J4604" s="195">
        <v>6200</v>
      </c>
      <c r="K4604" s="204" t="s">
        <v>36</v>
      </c>
      <c r="L4604" s="199">
        <v>1</v>
      </c>
      <c r="M4604" s="200">
        <v>0.6</v>
      </c>
      <c r="N4604" s="201">
        <v>-1</v>
      </c>
    </row>
    <row r="4605" spans="1:14">
      <c r="A4605" s="194">
        <v>41284.813611111109</v>
      </c>
      <c r="B4605" s="195">
        <v>3034</v>
      </c>
      <c r="C4605" s="194"/>
      <c r="D4605" s="194"/>
      <c r="E4605" s="198"/>
      <c r="G4605" s="202"/>
      <c r="J4605" s="195">
        <v>6200</v>
      </c>
      <c r="K4605" s="204" t="s">
        <v>36</v>
      </c>
      <c r="L4605" s="199">
        <v>4</v>
      </c>
      <c r="M4605" s="200">
        <v>0.6</v>
      </c>
      <c r="N4605" s="201">
        <v>-1</v>
      </c>
    </row>
    <row r="4606" spans="1:14">
      <c r="A4606" s="194">
        <v>41291.806620370371</v>
      </c>
      <c r="B4606" s="195">
        <v>3034</v>
      </c>
      <c r="C4606" s="194"/>
      <c r="D4606" s="194"/>
      <c r="E4606" s="198"/>
      <c r="G4606" s="202"/>
      <c r="J4606" s="195">
        <v>6200</v>
      </c>
      <c r="K4606" s="204" t="s">
        <v>36</v>
      </c>
      <c r="L4606" s="199">
        <v>4</v>
      </c>
      <c r="M4606" s="200">
        <v>0.7</v>
      </c>
      <c r="N4606" s="201">
        <v>-1</v>
      </c>
    </row>
    <row r="4607" spans="1:14">
      <c r="A4607" s="194">
        <v>41289.829560185186</v>
      </c>
      <c r="B4607" s="195">
        <v>3034</v>
      </c>
      <c r="C4607" s="194"/>
      <c r="D4607" s="194"/>
      <c r="E4607" s="198"/>
      <c r="G4607" s="202"/>
      <c r="J4607" s="195">
        <v>6200</v>
      </c>
      <c r="K4607" s="204" t="s">
        <v>36</v>
      </c>
      <c r="L4607" s="199">
        <v>4</v>
      </c>
      <c r="M4607" s="200">
        <v>0.7</v>
      </c>
      <c r="N4607" s="201">
        <v>-1</v>
      </c>
    </row>
    <row r="4608" spans="1:14">
      <c r="A4608" s="194">
        <v>41289.788576388892</v>
      </c>
      <c r="B4608" s="195">
        <v>3034</v>
      </c>
      <c r="C4608" s="194"/>
      <c r="D4608" s="194"/>
      <c r="E4608" s="198"/>
      <c r="G4608" s="202"/>
      <c r="J4608" s="195">
        <v>6200</v>
      </c>
      <c r="K4608" s="204" t="s">
        <v>36</v>
      </c>
      <c r="L4608" s="199">
        <v>3</v>
      </c>
      <c r="M4608" s="200">
        <v>0.7</v>
      </c>
      <c r="N4608" s="201">
        <v>-1</v>
      </c>
    </row>
    <row r="4609" spans="1:14">
      <c r="A4609" s="194">
        <v>41287.626018518517</v>
      </c>
      <c r="B4609" s="195">
        <v>3034</v>
      </c>
      <c r="C4609" s="194"/>
      <c r="D4609" s="194"/>
      <c r="E4609" s="198"/>
      <c r="G4609" s="202"/>
      <c r="J4609" s="195">
        <v>6200</v>
      </c>
      <c r="K4609" s="204" t="s">
        <v>36</v>
      </c>
      <c r="L4609" s="199">
        <v>1</v>
      </c>
      <c r="M4609" s="200">
        <v>0.7</v>
      </c>
      <c r="N4609" s="201">
        <v>-1</v>
      </c>
    </row>
    <row r="4610" spans="1:14">
      <c r="A4610" s="194">
        <v>41285.902430555558</v>
      </c>
      <c r="B4610" s="195">
        <v>3034</v>
      </c>
      <c r="C4610" s="194"/>
      <c r="D4610" s="194"/>
      <c r="E4610" s="198"/>
      <c r="G4610" s="202"/>
      <c r="J4610" s="195">
        <v>6200</v>
      </c>
      <c r="K4610" s="204" t="s">
        <v>36</v>
      </c>
      <c r="L4610" s="199">
        <v>4</v>
      </c>
      <c r="M4610" s="200">
        <v>0.7</v>
      </c>
      <c r="N4610" s="201">
        <v>-1</v>
      </c>
    </row>
    <row r="4611" spans="1:14">
      <c r="A4611" s="194">
        <v>41284.884421296294</v>
      </c>
      <c r="B4611" s="195">
        <v>3034</v>
      </c>
      <c r="C4611" s="194"/>
      <c r="D4611" s="194"/>
      <c r="E4611" s="198"/>
      <c r="G4611" s="202"/>
      <c r="J4611" s="195">
        <v>6200</v>
      </c>
      <c r="K4611" s="204" t="s">
        <v>36</v>
      </c>
      <c r="L4611" s="199">
        <v>4</v>
      </c>
      <c r="M4611" s="200">
        <v>0.7</v>
      </c>
      <c r="N4611" s="201">
        <v>-1</v>
      </c>
    </row>
    <row r="4612" spans="1:14">
      <c r="A4612" s="194">
        <v>41276.507974537039</v>
      </c>
      <c r="B4612" s="195">
        <v>3034</v>
      </c>
      <c r="C4612" s="194"/>
      <c r="D4612" s="194"/>
      <c r="E4612" s="198"/>
      <c r="G4612" s="202"/>
      <c r="J4612" s="195">
        <v>6200</v>
      </c>
      <c r="K4612" s="204" t="s">
        <v>36</v>
      </c>
      <c r="L4612" s="199">
        <v>1</v>
      </c>
      <c r="M4612" s="200">
        <v>0.7</v>
      </c>
      <c r="N4612" s="201">
        <v>-1</v>
      </c>
    </row>
    <row r="4613" spans="1:14">
      <c r="A4613" s="194">
        <v>41287.023298611108</v>
      </c>
      <c r="B4613" s="195">
        <v>3034</v>
      </c>
      <c r="C4613" s="194"/>
      <c r="D4613" s="194"/>
      <c r="E4613" s="198"/>
      <c r="G4613" s="202"/>
      <c r="J4613" s="195">
        <v>6200</v>
      </c>
      <c r="K4613" s="204" t="s">
        <v>36</v>
      </c>
      <c r="L4613" s="199">
        <v>4</v>
      </c>
      <c r="M4613" s="200">
        <v>0.8</v>
      </c>
      <c r="N4613" s="201">
        <v>-1</v>
      </c>
    </row>
    <row r="4614" spans="1:14">
      <c r="A4614" s="194">
        <v>41282.524664351855</v>
      </c>
      <c r="B4614" s="195">
        <v>3034</v>
      </c>
      <c r="C4614" s="194"/>
      <c r="D4614" s="194"/>
      <c r="E4614" s="198"/>
      <c r="G4614" s="202"/>
      <c r="J4614" s="195">
        <v>6200</v>
      </c>
      <c r="K4614" s="204" t="s">
        <v>36</v>
      </c>
      <c r="L4614" s="199">
        <v>4</v>
      </c>
      <c r="M4614" s="200">
        <v>0.8</v>
      </c>
      <c r="N4614" s="201">
        <v>-1</v>
      </c>
    </row>
    <row r="4615" spans="1:14">
      <c r="A4615" s="194">
        <v>41276.458020833335</v>
      </c>
      <c r="B4615" s="195">
        <v>3034</v>
      </c>
      <c r="C4615" s="194"/>
      <c r="D4615" s="194"/>
      <c r="E4615" s="198"/>
      <c r="G4615" s="202"/>
      <c r="J4615" s="195">
        <v>6200</v>
      </c>
      <c r="K4615" s="204" t="s">
        <v>36</v>
      </c>
      <c r="L4615" s="199">
        <v>3</v>
      </c>
      <c r="M4615" s="200">
        <v>0.8</v>
      </c>
      <c r="N4615" s="201">
        <v>-1</v>
      </c>
    </row>
    <row r="4616" spans="1:14">
      <c r="A4616" s="194">
        <v>41302.510740740741</v>
      </c>
      <c r="B4616" s="195">
        <v>3034</v>
      </c>
      <c r="C4616" s="194"/>
      <c r="D4616" s="194"/>
      <c r="E4616" s="198"/>
      <c r="G4616" s="202"/>
      <c r="J4616" s="195">
        <v>6200</v>
      </c>
      <c r="K4616" s="204" t="s">
        <v>36</v>
      </c>
      <c r="L4616" s="199">
        <v>4</v>
      </c>
      <c r="M4616" s="200">
        <v>0.9</v>
      </c>
      <c r="N4616" s="201">
        <v>-1</v>
      </c>
    </row>
    <row r="4617" spans="1:14">
      <c r="A4617" s="194">
        <v>41291.428854166668</v>
      </c>
      <c r="B4617" s="195">
        <v>3034</v>
      </c>
      <c r="C4617" s="194"/>
      <c r="D4617" s="194"/>
      <c r="E4617" s="198"/>
      <c r="G4617" s="202"/>
      <c r="J4617" s="195">
        <v>6200</v>
      </c>
      <c r="K4617" s="204" t="s">
        <v>36</v>
      </c>
      <c r="L4617" s="199">
        <v>4</v>
      </c>
      <c r="M4617" s="200">
        <v>0.9</v>
      </c>
      <c r="N4617" s="201">
        <v>-1</v>
      </c>
    </row>
    <row r="4618" spans="1:14">
      <c r="A4618" s="194">
        <v>41286.679513888892</v>
      </c>
      <c r="B4618" s="195">
        <v>3034</v>
      </c>
      <c r="C4618" s="194"/>
      <c r="D4618" s="194"/>
      <c r="E4618" s="198"/>
      <c r="G4618" s="202"/>
      <c r="J4618" s="195">
        <v>6200</v>
      </c>
      <c r="K4618" s="204" t="s">
        <v>36</v>
      </c>
      <c r="L4618" s="199">
        <v>1</v>
      </c>
      <c r="M4618" s="200">
        <v>0.9</v>
      </c>
      <c r="N4618" s="201">
        <v>-1</v>
      </c>
    </row>
    <row r="4619" spans="1:14">
      <c r="A4619" s="194">
        <v>41278.933680555558</v>
      </c>
      <c r="B4619" s="195">
        <v>3034</v>
      </c>
      <c r="C4619" s="194"/>
      <c r="D4619" s="194"/>
      <c r="E4619" s="198"/>
      <c r="G4619" s="202"/>
      <c r="J4619" s="195">
        <v>6200</v>
      </c>
      <c r="K4619" s="204" t="s">
        <v>36</v>
      </c>
      <c r="L4619" s="199">
        <v>3</v>
      </c>
      <c r="M4619" s="200">
        <v>0.9</v>
      </c>
      <c r="N4619" s="201">
        <v>-1</v>
      </c>
    </row>
    <row r="4620" spans="1:14">
      <c r="A4620" s="194">
        <v>41305.4684375</v>
      </c>
      <c r="B4620" s="195">
        <v>3034</v>
      </c>
      <c r="C4620" s="194"/>
      <c r="D4620" s="194"/>
      <c r="E4620" s="198"/>
      <c r="G4620" s="202"/>
      <c r="J4620" s="195">
        <v>6200</v>
      </c>
      <c r="K4620" s="204" t="s">
        <v>36</v>
      </c>
      <c r="L4620" s="199">
        <v>4</v>
      </c>
      <c r="M4620" s="200">
        <v>1</v>
      </c>
      <c r="N4620" s="201">
        <v>-1</v>
      </c>
    </row>
    <row r="4621" spans="1:14">
      <c r="A4621" s="194">
        <v>41303.942754629628</v>
      </c>
      <c r="B4621" s="195">
        <v>3034</v>
      </c>
      <c r="C4621" s="194"/>
      <c r="D4621" s="194"/>
      <c r="E4621" s="198"/>
      <c r="G4621" s="202"/>
      <c r="J4621" s="195">
        <v>6200</v>
      </c>
      <c r="K4621" s="204" t="s">
        <v>36</v>
      </c>
      <c r="L4621" s="199">
        <v>4</v>
      </c>
      <c r="M4621" s="200">
        <v>1</v>
      </c>
      <c r="N4621" s="201">
        <v>-1</v>
      </c>
    </row>
    <row r="4622" spans="1:14">
      <c r="A4622" s="194">
        <v>41289.832349537035</v>
      </c>
      <c r="B4622" s="195">
        <v>3034</v>
      </c>
      <c r="C4622" s="194"/>
      <c r="D4622" s="194"/>
      <c r="E4622" s="198"/>
      <c r="G4622" s="202"/>
      <c r="J4622" s="195">
        <v>6200</v>
      </c>
      <c r="K4622" s="204" t="s">
        <v>36</v>
      </c>
      <c r="L4622" s="199">
        <v>4</v>
      </c>
      <c r="M4622" s="200">
        <v>1</v>
      </c>
      <c r="N4622" s="201">
        <v>-1</v>
      </c>
    </row>
    <row r="4623" spans="1:14">
      <c r="A4623" s="194">
        <v>41286.613530092596</v>
      </c>
      <c r="B4623" s="195">
        <v>3034</v>
      </c>
      <c r="C4623" s="194"/>
      <c r="D4623" s="194"/>
      <c r="E4623" s="198"/>
      <c r="G4623" s="202"/>
      <c r="J4623" s="195">
        <v>6200</v>
      </c>
      <c r="K4623" s="204" t="s">
        <v>36</v>
      </c>
      <c r="L4623" s="199">
        <v>4</v>
      </c>
      <c r="M4623" s="200">
        <v>1</v>
      </c>
      <c r="N4623" s="201">
        <v>-1</v>
      </c>
    </row>
    <row r="4624" spans="1:14">
      <c r="A4624" s="194">
        <v>41279.637858796297</v>
      </c>
      <c r="B4624" s="195">
        <v>3034</v>
      </c>
      <c r="C4624" s="194"/>
      <c r="D4624" s="194"/>
      <c r="E4624" s="198"/>
      <c r="G4624" s="202"/>
      <c r="J4624" s="195">
        <v>6200</v>
      </c>
      <c r="K4624" s="204" t="s">
        <v>36</v>
      </c>
      <c r="L4624" s="199">
        <v>4</v>
      </c>
      <c r="M4624" s="200">
        <v>1</v>
      </c>
      <c r="N4624" s="201">
        <v>-1</v>
      </c>
    </row>
    <row r="4625" spans="1:14">
      <c r="A4625" s="194">
        <v>41285.713576388887</v>
      </c>
      <c r="B4625" s="195">
        <v>3034</v>
      </c>
      <c r="C4625" s="194"/>
      <c r="D4625" s="194"/>
      <c r="E4625" s="198"/>
      <c r="G4625" s="202"/>
      <c r="J4625" s="195">
        <v>6200</v>
      </c>
      <c r="K4625" s="204" t="s">
        <v>36</v>
      </c>
      <c r="L4625" s="199">
        <v>4</v>
      </c>
      <c r="M4625" s="200">
        <v>1.1000000000000001</v>
      </c>
      <c r="N4625" s="201">
        <v>-1</v>
      </c>
    </row>
    <row r="4626" spans="1:14">
      <c r="A4626" s="194">
        <v>41284.457361111112</v>
      </c>
      <c r="B4626" s="195">
        <v>3034</v>
      </c>
      <c r="C4626" s="194"/>
      <c r="D4626" s="194"/>
      <c r="E4626" s="198"/>
      <c r="G4626" s="202"/>
      <c r="J4626" s="195">
        <v>6200</v>
      </c>
      <c r="K4626" s="204" t="s">
        <v>36</v>
      </c>
      <c r="L4626" s="199">
        <v>4</v>
      </c>
      <c r="M4626" s="200">
        <v>1.1000000000000001</v>
      </c>
      <c r="N4626" s="201">
        <v>-1</v>
      </c>
    </row>
    <row r="4627" spans="1:14">
      <c r="A4627" s="194">
        <v>41282.790613425925</v>
      </c>
      <c r="B4627" s="195">
        <v>3034</v>
      </c>
      <c r="C4627" s="194"/>
      <c r="D4627" s="194"/>
      <c r="E4627" s="198"/>
      <c r="G4627" s="202"/>
      <c r="J4627" s="195">
        <v>6200</v>
      </c>
      <c r="K4627" s="204" t="s">
        <v>36</v>
      </c>
      <c r="L4627" s="199">
        <v>4</v>
      </c>
      <c r="M4627" s="200">
        <v>1.1000000000000001</v>
      </c>
      <c r="N4627" s="201">
        <v>-1</v>
      </c>
    </row>
    <row r="4628" spans="1:14">
      <c r="A4628" s="194">
        <v>41282.768391203703</v>
      </c>
      <c r="B4628" s="195">
        <v>3034</v>
      </c>
      <c r="C4628" s="194"/>
      <c r="D4628" s="194"/>
      <c r="E4628" s="198"/>
      <c r="G4628" s="202"/>
      <c r="J4628" s="195">
        <v>6200</v>
      </c>
      <c r="K4628" s="204" t="s">
        <v>36</v>
      </c>
      <c r="L4628" s="199">
        <v>1</v>
      </c>
      <c r="M4628" s="200">
        <v>1.1000000000000001</v>
      </c>
      <c r="N4628" s="201">
        <v>-1</v>
      </c>
    </row>
    <row r="4629" spans="1:14">
      <c r="A4629" s="194">
        <v>41300.614965277775</v>
      </c>
      <c r="B4629" s="195">
        <v>3034</v>
      </c>
      <c r="C4629" s="194"/>
      <c r="D4629" s="194"/>
      <c r="E4629" s="198"/>
      <c r="G4629" s="202"/>
      <c r="J4629" s="195">
        <v>6200</v>
      </c>
      <c r="K4629" s="204" t="s">
        <v>36</v>
      </c>
      <c r="L4629" s="199">
        <v>4</v>
      </c>
      <c r="M4629" s="200">
        <v>1.2</v>
      </c>
      <c r="N4629" s="201">
        <v>-1</v>
      </c>
    </row>
    <row r="4630" spans="1:14">
      <c r="A4630" s="194">
        <v>41298.593425925923</v>
      </c>
      <c r="B4630" s="195">
        <v>3034</v>
      </c>
      <c r="C4630" s="194"/>
      <c r="D4630" s="194"/>
      <c r="E4630" s="198"/>
      <c r="G4630" s="202"/>
      <c r="J4630" s="195">
        <v>6200</v>
      </c>
      <c r="K4630" s="204" t="s">
        <v>36</v>
      </c>
      <c r="L4630" s="199">
        <v>4</v>
      </c>
      <c r="M4630" s="200">
        <v>1.2</v>
      </c>
      <c r="N4630" s="201">
        <v>-1</v>
      </c>
    </row>
    <row r="4631" spans="1:14">
      <c r="A4631" s="194">
        <v>41289.543437499997</v>
      </c>
      <c r="B4631" s="195">
        <v>3034</v>
      </c>
      <c r="C4631" s="194"/>
      <c r="D4631" s="194"/>
      <c r="E4631" s="198"/>
      <c r="G4631" s="202"/>
      <c r="J4631" s="195">
        <v>6200</v>
      </c>
      <c r="K4631" s="204" t="s">
        <v>36</v>
      </c>
      <c r="L4631" s="199">
        <v>4</v>
      </c>
      <c r="M4631" s="200">
        <v>1.2</v>
      </c>
      <c r="N4631" s="201">
        <v>-1</v>
      </c>
    </row>
    <row r="4632" spans="1:14">
      <c r="A4632" s="194">
        <v>41280.803831018522</v>
      </c>
      <c r="B4632" s="195">
        <v>3034</v>
      </c>
      <c r="C4632" s="194"/>
      <c r="D4632" s="194"/>
      <c r="E4632" s="198"/>
      <c r="G4632" s="202"/>
      <c r="J4632" s="195">
        <v>6200</v>
      </c>
      <c r="K4632" s="204" t="s">
        <v>36</v>
      </c>
      <c r="L4632" s="199">
        <v>4</v>
      </c>
      <c r="M4632" s="200">
        <v>1.4</v>
      </c>
      <c r="N4632" s="201">
        <v>-1</v>
      </c>
    </row>
    <row r="4633" spans="1:14">
      <c r="A4633" s="194">
        <v>41281.607939814814</v>
      </c>
      <c r="B4633" s="195">
        <v>3034</v>
      </c>
      <c r="C4633" s="194"/>
      <c r="D4633" s="194"/>
      <c r="E4633" s="198"/>
      <c r="G4633" s="202"/>
      <c r="J4633" s="195">
        <v>6200</v>
      </c>
      <c r="K4633" s="204" t="s">
        <v>36</v>
      </c>
      <c r="L4633" s="199">
        <v>4</v>
      </c>
      <c r="M4633" s="200">
        <v>1.5</v>
      </c>
      <c r="N4633" s="201">
        <v>-1</v>
      </c>
    </row>
    <row r="4634" spans="1:14">
      <c r="A4634" s="194">
        <v>41286.398263888892</v>
      </c>
      <c r="B4634" s="195">
        <v>3034</v>
      </c>
      <c r="C4634" s="194"/>
      <c r="D4634" s="194"/>
      <c r="E4634" s="198"/>
      <c r="G4634" s="202"/>
      <c r="J4634" s="195">
        <v>6200</v>
      </c>
      <c r="K4634" s="204" t="s">
        <v>36</v>
      </c>
      <c r="L4634" s="199">
        <v>4</v>
      </c>
      <c r="M4634" s="200">
        <v>1.6</v>
      </c>
      <c r="N4634" s="201">
        <v>-1</v>
      </c>
    </row>
    <row r="4635" spans="1:14">
      <c r="A4635" s="194">
        <v>41281.519074074073</v>
      </c>
      <c r="B4635" s="195">
        <v>3034</v>
      </c>
      <c r="C4635" s="194"/>
      <c r="D4635" s="194"/>
      <c r="E4635" s="198"/>
      <c r="G4635" s="202"/>
      <c r="J4635" s="195">
        <v>6200</v>
      </c>
      <c r="K4635" s="204" t="s">
        <v>36</v>
      </c>
      <c r="L4635" s="199">
        <v>4</v>
      </c>
      <c r="M4635" s="200">
        <v>1.6</v>
      </c>
      <c r="N4635" s="201">
        <v>-1</v>
      </c>
    </row>
    <row r="4636" spans="1:14">
      <c r="A4636" s="194">
        <v>41285.875358796293</v>
      </c>
      <c r="B4636" s="195">
        <v>3034</v>
      </c>
      <c r="C4636" s="194"/>
      <c r="D4636" s="194"/>
      <c r="E4636" s="198"/>
      <c r="G4636" s="202"/>
      <c r="J4636" s="195">
        <v>6200</v>
      </c>
      <c r="K4636" s="204" t="s">
        <v>36</v>
      </c>
      <c r="L4636" s="199">
        <v>4</v>
      </c>
      <c r="M4636" s="200">
        <v>1.8</v>
      </c>
      <c r="N4636" s="201">
        <v>-1</v>
      </c>
    </row>
    <row r="4637" spans="1:14">
      <c r="A4637" s="194">
        <v>41285.917025462964</v>
      </c>
      <c r="B4637" s="195">
        <v>3034</v>
      </c>
      <c r="C4637" s="194"/>
      <c r="D4637" s="194"/>
      <c r="E4637" s="198"/>
      <c r="G4637" s="202"/>
      <c r="J4637" s="195">
        <v>6200</v>
      </c>
      <c r="K4637" s="204" t="s">
        <v>36</v>
      </c>
      <c r="L4637" s="199">
        <v>4</v>
      </c>
      <c r="M4637" s="200">
        <v>1.9</v>
      </c>
      <c r="N4637" s="201">
        <v>-1</v>
      </c>
    </row>
    <row r="4638" spans="1:14">
      <c r="A4638" s="194">
        <v>41280.276747685188</v>
      </c>
      <c r="B4638" s="195">
        <v>3034</v>
      </c>
      <c r="C4638" s="194"/>
      <c r="D4638" s="194"/>
      <c r="E4638" s="198"/>
      <c r="G4638" s="202"/>
      <c r="J4638" s="195">
        <v>6200</v>
      </c>
      <c r="K4638" s="204" t="s">
        <v>36</v>
      </c>
      <c r="L4638" s="199">
        <v>4</v>
      </c>
      <c r="M4638" s="200">
        <v>1.9</v>
      </c>
      <c r="N4638" s="201">
        <v>-1</v>
      </c>
    </row>
    <row r="4639" spans="1:14">
      <c r="A4639" s="194">
        <v>41279.491354166668</v>
      </c>
      <c r="B4639" s="195">
        <v>3034</v>
      </c>
      <c r="C4639" s="194"/>
      <c r="D4639" s="194"/>
      <c r="E4639" s="198"/>
      <c r="G4639" s="202"/>
      <c r="J4639" s="195">
        <v>6200</v>
      </c>
      <c r="K4639" s="204" t="s">
        <v>36</v>
      </c>
      <c r="L4639" s="199">
        <v>4</v>
      </c>
      <c r="M4639" s="200">
        <v>1.9</v>
      </c>
      <c r="N4639" s="201">
        <v>-1</v>
      </c>
    </row>
    <row r="4640" spans="1:14">
      <c r="A4640" s="194">
        <v>41275.880925925929</v>
      </c>
      <c r="B4640" s="195">
        <v>3034</v>
      </c>
      <c r="C4640" s="194"/>
      <c r="D4640" s="194"/>
      <c r="E4640" s="198"/>
      <c r="G4640" s="202"/>
      <c r="J4640" s="195">
        <v>6200</v>
      </c>
      <c r="K4640" s="204" t="s">
        <v>36</v>
      </c>
      <c r="L4640" s="199">
        <v>4</v>
      </c>
      <c r="M4640" s="200">
        <v>1.9</v>
      </c>
      <c r="N4640" s="201">
        <v>-1</v>
      </c>
    </row>
    <row r="4641" spans="1:14">
      <c r="A4641" s="194">
        <v>41284.254560185182</v>
      </c>
      <c r="B4641" s="195">
        <v>3034</v>
      </c>
      <c r="C4641" s="194"/>
      <c r="D4641" s="194"/>
      <c r="E4641" s="198"/>
      <c r="G4641" s="202"/>
      <c r="J4641" s="195">
        <v>6200</v>
      </c>
      <c r="K4641" s="204" t="s">
        <v>36</v>
      </c>
      <c r="L4641" s="199">
        <v>4</v>
      </c>
      <c r="M4641" s="200">
        <v>2</v>
      </c>
      <c r="N4641" s="201">
        <v>-1</v>
      </c>
    </row>
    <row r="4642" spans="1:14">
      <c r="A4642" s="194">
        <v>41280.953125</v>
      </c>
      <c r="B4642" s="195">
        <v>3034</v>
      </c>
      <c r="C4642" s="194"/>
      <c r="D4642" s="194"/>
      <c r="E4642" s="198"/>
      <c r="G4642" s="202"/>
      <c r="J4642" s="195">
        <v>6200</v>
      </c>
      <c r="K4642" s="204" t="s">
        <v>36</v>
      </c>
      <c r="L4642" s="199">
        <v>4</v>
      </c>
      <c r="M4642" s="200">
        <v>2.1</v>
      </c>
      <c r="N4642" s="201">
        <v>-1</v>
      </c>
    </row>
    <row r="4643" spans="1:14">
      <c r="A4643" s="194">
        <v>41276.834374999999</v>
      </c>
      <c r="B4643" s="195">
        <v>3034</v>
      </c>
      <c r="C4643" s="194"/>
      <c r="D4643" s="194"/>
      <c r="E4643" s="198"/>
      <c r="G4643" s="202"/>
      <c r="J4643" s="195">
        <v>6200</v>
      </c>
      <c r="K4643" s="204" t="s">
        <v>36</v>
      </c>
      <c r="L4643" s="199">
        <v>4</v>
      </c>
      <c r="M4643" s="200">
        <v>2.1</v>
      </c>
      <c r="N4643" s="201">
        <v>-1</v>
      </c>
    </row>
    <row r="4644" spans="1:14">
      <c r="A4644" s="194">
        <v>41281.653101851851</v>
      </c>
      <c r="B4644" s="195">
        <v>3034</v>
      </c>
      <c r="C4644" s="194"/>
      <c r="D4644" s="194"/>
      <c r="E4644" s="198"/>
      <c r="G4644" s="202"/>
      <c r="J4644" s="195">
        <v>6200</v>
      </c>
      <c r="K4644" s="204" t="s">
        <v>36</v>
      </c>
      <c r="L4644" s="199">
        <v>2</v>
      </c>
      <c r="M4644" s="200">
        <v>2.7</v>
      </c>
      <c r="N4644" s="201">
        <v>-1</v>
      </c>
    </row>
    <row r="4645" spans="1:14">
      <c r="A4645" s="194">
        <v>41275.156631944446</v>
      </c>
      <c r="B4645" s="195">
        <v>3034</v>
      </c>
      <c r="C4645" s="194"/>
      <c r="D4645" s="194"/>
      <c r="E4645" s="198"/>
      <c r="G4645" s="202"/>
      <c r="J4645" s="195">
        <v>6200</v>
      </c>
      <c r="K4645" s="204" t="s">
        <v>36</v>
      </c>
      <c r="L4645" s="199">
        <v>4</v>
      </c>
      <c r="M4645" s="200">
        <v>3.1</v>
      </c>
      <c r="N4645" s="201">
        <v>-1</v>
      </c>
    </row>
    <row r="4646" spans="1:14">
      <c r="A4646" s="194">
        <v>41276.828831018516</v>
      </c>
      <c r="B4646" s="195">
        <v>3034</v>
      </c>
      <c r="C4646" s="194"/>
      <c r="D4646" s="194"/>
      <c r="E4646" s="198"/>
      <c r="G4646" s="202"/>
      <c r="J4646" s="195">
        <v>6200</v>
      </c>
      <c r="K4646" s="204" t="s">
        <v>36</v>
      </c>
      <c r="L4646" s="199">
        <v>4</v>
      </c>
      <c r="M4646" s="200">
        <v>3.4</v>
      </c>
      <c r="N4646" s="201">
        <v>-1</v>
      </c>
    </row>
    <row r="4647" spans="1:14">
      <c r="A4647" s="194">
        <v>41276.401817129627</v>
      </c>
      <c r="B4647" s="195">
        <v>3034</v>
      </c>
      <c r="C4647" s="194"/>
      <c r="D4647" s="194"/>
      <c r="E4647" s="198"/>
      <c r="G4647" s="202"/>
      <c r="J4647" s="195">
        <v>6200</v>
      </c>
      <c r="K4647" s="204" t="s">
        <v>36</v>
      </c>
      <c r="L4647" s="199">
        <v>4</v>
      </c>
      <c r="M4647" s="200">
        <v>3.5</v>
      </c>
      <c r="N4647" s="201">
        <v>-1</v>
      </c>
    </row>
    <row r="4648" spans="1:14">
      <c r="A4648" s="194">
        <v>41305.32471064815</v>
      </c>
      <c r="B4648" s="195">
        <v>3034</v>
      </c>
      <c r="C4648" s="194"/>
      <c r="D4648" s="194"/>
      <c r="E4648" s="198"/>
      <c r="G4648" s="202"/>
      <c r="J4648" s="195">
        <v>6200</v>
      </c>
      <c r="K4648" s="204" t="s">
        <v>36</v>
      </c>
      <c r="L4648" s="199">
        <v>4</v>
      </c>
      <c r="M4648" s="200">
        <v>3.9</v>
      </c>
      <c r="N4648" s="201">
        <v>-1</v>
      </c>
    </row>
    <row r="4649" spans="1:14">
      <c r="A4649" s="194">
        <v>41299.699733796297</v>
      </c>
      <c r="B4649" s="195">
        <v>3034</v>
      </c>
      <c r="C4649" s="194"/>
      <c r="D4649" s="194"/>
      <c r="E4649" s="198"/>
      <c r="G4649" s="202"/>
      <c r="J4649" s="195">
        <v>6200</v>
      </c>
      <c r="K4649" s="204" t="s">
        <v>36</v>
      </c>
      <c r="L4649" s="199">
        <v>4</v>
      </c>
      <c r="M4649" s="200">
        <v>4</v>
      </c>
      <c r="N4649" s="201">
        <v>-1</v>
      </c>
    </row>
    <row r="4650" spans="1:14">
      <c r="A4650" s="194">
        <v>41281.619780092595</v>
      </c>
      <c r="B4650" s="195">
        <v>3034</v>
      </c>
      <c r="C4650" s="194"/>
      <c r="D4650" s="194"/>
      <c r="E4650" s="198"/>
      <c r="G4650" s="202"/>
      <c r="J4650" s="195">
        <v>6200</v>
      </c>
      <c r="K4650" s="204" t="s">
        <v>36</v>
      </c>
      <c r="L4650" s="199">
        <v>1</v>
      </c>
      <c r="M4650" s="200">
        <v>4.0999999999999996</v>
      </c>
      <c r="N4650" s="201">
        <v>-1</v>
      </c>
    </row>
    <row r="4651" spans="1:14">
      <c r="A4651" s="194">
        <v>41280.675381944442</v>
      </c>
      <c r="B4651" s="195">
        <v>3034</v>
      </c>
      <c r="C4651" s="194"/>
      <c r="D4651" s="194"/>
      <c r="E4651" s="198"/>
      <c r="G4651" s="202"/>
      <c r="J4651" s="195">
        <v>6200</v>
      </c>
      <c r="K4651" s="204" t="s">
        <v>36</v>
      </c>
      <c r="L4651" s="199">
        <v>4</v>
      </c>
      <c r="M4651" s="200">
        <v>4.0999999999999996</v>
      </c>
      <c r="N4651" s="201">
        <v>-1</v>
      </c>
    </row>
    <row r="4652" spans="1:14">
      <c r="A4652" s="194">
        <v>41279.055254629631</v>
      </c>
      <c r="B4652" s="195">
        <v>3034</v>
      </c>
      <c r="C4652" s="194"/>
      <c r="D4652" s="194"/>
      <c r="E4652" s="198"/>
      <c r="G4652" s="202"/>
      <c r="J4652" s="195">
        <v>6200</v>
      </c>
      <c r="K4652" s="204" t="s">
        <v>36</v>
      </c>
      <c r="L4652" s="199">
        <v>4</v>
      </c>
      <c r="M4652" s="200">
        <v>5.7</v>
      </c>
      <c r="N4652" s="201">
        <v>-1</v>
      </c>
    </row>
    <row r="4653" spans="1:14">
      <c r="A4653" s="194">
        <v>41279.151909722219</v>
      </c>
      <c r="B4653" s="195">
        <v>3034</v>
      </c>
      <c r="C4653" s="194"/>
      <c r="D4653" s="194"/>
      <c r="E4653" s="198"/>
      <c r="G4653" s="202"/>
      <c r="J4653" s="195">
        <v>6200</v>
      </c>
      <c r="K4653" s="204" t="s">
        <v>36</v>
      </c>
      <c r="L4653" s="199">
        <v>4</v>
      </c>
      <c r="M4653" s="200">
        <v>15.9</v>
      </c>
      <c r="N4653" s="201">
        <v>-1</v>
      </c>
    </row>
    <row r="4654" spans="1:14">
      <c r="A4654" s="194">
        <v>41288.602627314816</v>
      </c>
      <c r="B4654" s="195">
        <v>3034</v>
      </c>
      <c r="C4654" s="194"/>
      <c r="D4654" s="194"/>
      <c r="E4654" s="198"/>
      <c r="G4654" s="202"/>
      <c r="J4654" s="195">
        <v>6200</v>
      </c>
      <c r="K4654" s="204" t="s">
        <v>36</v>
      </c>
      <c r="L4654" s="199">
        <v>4</v>
      </c>
      <c r="M4654" s="200">
        <v>16.399999999999999</v>
      </c>
      <c r="N4654" s="201">
        <v>-1</v>
      </c>
    </row>
    <row r="4655" spans="1:14">
      <c r="A4655" s="194">
        <v>41280.106111111112</v>
      </c>
      <c r="B4655" s="195">
        <v>3034</v>
      </c>
      <c r="C4655" s="194"/>
      <c r="D4655" s="194"/>
      <c r="E4655" s="198"/>
      <c r="G4655" s="202"/>
      <c r="J4655" s="195">
        <v>6200</v>
      </c>
      <c r="K4655" s="204" t="s">
        <v>36</v>
      </c>
      <c r="L4655" s="199">
        <v>4</v>
      </c>
      <c r="M4655" s="200">
        <v>17.600000000000001</v>
      </c>
      <c r="N4655" s="201">
        <v>-1</v>
      </c>
    </row>
    <row r="4656" spans="1:14">
      <c r="A4656" s="194">
        <v>41275.947789351849</v>
      </c>
      <c r="B4656" s="195">
        <v>3034</v>
      </c>
      <c r="C4656" s="194"/>
      <c r="D4656" s="194"/>
      <c r="E4656" s="198"/>
      <c r="G4656" s="202"/>
      <c r="J4656" s="195">
        <v>6200</v>
      </c>
      <c r="K4656" s="204" t="s">
        <v>36</v>
      </c>
      <c r="L4656" s="199">
        <v>3</v>
      </c>
      <c r="M4656" s="200">
        <v>19</v>
      </c>
      <c r="N4656" s="201">
        <v>-1</v>
      </c>
    </row>
    <row r="4657" spans="1:14">
      <c r="A4657" s="194">
        <v>41278.457546296297</v>
      </c>
      <c r="B4657" s="195">
        <v>3034</v>
      </c>
      <c r="C4657" s="194"/>
      <c r="D4657" s="194"/>
      <c r="E4657" s="198"/>
      <c r="G4657" s="202"/>
      <c r="J4657" s="195">
        <v>6200</v>
      </c>
      <c r="K4657" s="204" t="s">
        <v>36</v>
      </c>
      <c r="L4657" s="199">
        <v>4</v>
      </c>
      <c r="M4657" s="200">
        <v>19.600000000000001</v>
      </c>
      <c r="N4657" s="201">
        <v>-1</v>
      </c>
    </row>
    <row r="4658" spans="1:14">
      <c r="A4658" s="194">
        <v>41276.293761574074</v>
      </c>
      <c r="B4658" s="195">
        <v>3034</v>
      </c>
      <c r="C4658" s="194"/>
      <c r="D4658" s="194"/>
      <c r="E4658" s="198"/>
      <c r="G4658" s="202"/>
      <c r="J4658" s="195">
        <v>6200</v>
      </c>
      <c r="K4658" s="204" t="s">
        <v>36</v>
      </c>
      <c r="L4658" s="199">
        <v>4</v>
      </c>
      <c r="M4658" s="200">
        <v>28.6</v>
      </c>
      <c r="N4658" s="201">
        <v>-1</v>
      </c>
    </row>
    <row r="4659" spans="1:14">
      <c r="A4659" s="194">
        <v>41275.480543981481</v>
      </c>
      <c r="B4659" s="195">
        <v>3034</v>
      </c>
      <c r="C4659" s="194"/>
      <c r="D4659" s="194"/>
      <c r="E4659" s="198"/>
      <c r="G4659" s="202"/>
      <c r="J4659" s="195">
        <v>6200</v>
      </c>
      <c r="K4659" s="204" t="s">
        <v>36</v>
      </c>
      <c r="L4659" s="199">
        <v>4</v>
      </c>
      <c r="M4659" s="200">
        <v>29.2</v>
      </c>
      <c r="N4659" s="201">
        <v>-1</v>
      </c>
    </row>
    <row r="4660" spans="1:14">
      <c r="A4660" s="194">
        <v>41298.41542824074</v>
      </c>
      <c r="B4660" s="195">
        <v>3034</v>
      </c>
      <c r="C4660" s="194"/>
      <c r="D4660" s="194"/>
      <c r="E4660" s="198"/>
      <c r="G4660" s="202"/>
      <c r="J4660" s="195">
        <v>6200</v>
      </c>
      <c r="K4660" s="204" t="s">
        <v>36</v>
      </c>
      <c r="L4660" s="199">
        <v>0</v>
      </c>
      <c r="M4660" s="200">
        <v>0</v>
      </c>
      <c r="N4660" s="201">
        <v>0</v>
      </c>
    </row>
    <row r="4661" spans="1:14">
      <c r="A4661" s="194">
        <v>41297.096087962964</v>
      </c>
      <c r="B4661" s="195">
        <v>3034</v>
      </c>
      <c r="C4661" s="194"/>
      <c r="D4661" s="194"/>
      <c r="E4661" s="198"/>
      <c r="G4661" s="202"/>
      <c r="J4661" s="195">
        <v>6200</v>
      </c>
      <c r="K4661" s="204" t="s">
        <v>36</v>
      </c>
      <c r="L4661" s="199">
        <v>0</v>
      </c>
      <c r="M4661" s="200">
        <v>0</v>
      </c>
      <c r="N4661" s="201">
        <v>0</v>
      </c>
    </row>
    <row r="4662" spans="1:14">
      <c r="A4662" s="194">
        <v>41284.442071759258</v>
      </c>
      <c r="B4662" s="195">
        <v>3034</v>
      </c>
      <c r="C4662" s="194"/>
      <c r="D4662" s="194"/>
      <c r="E4662" s="198"/>
      <c r="G4662" s="202"/>
      <c r="J4662" s="195">
        <v>6200</v>
      </c>
      <c r="K4662" s="204" t="s">
        <v>36</v>
      </c>
      <c r="L4662" s="199">
        <v>4</v>
      </c>
      <c r="M4662" s="200">
        <v>0.3</v>
      </c>
      <c r="N4662" s="201">
        <v>15</v>
      </c>
    </row>
    <row r="4663" spans="1:14">
      <c r="A4663" s="194">
        <v>41278.973946759259</v>
      </c>
      <c r="B4663" s="195">
        <v>3034</v>
      </c>
      <c r="C4663" s="194"/>
      <c r="D4663" s="194"/>
      <c r="E4663" s="198"/>
      <c r="G4663" s="202"/>
      <c r="J4663" s="195">
        <v>6200</v>
      </c>
      <c r="K4663" s="204" t="s">
        <v>36</v>
      </c>
      <c r="L4663" s="199">
        <v>4</v>
      </c>
      <c r="M4663" s="200">
        <v>0.2</v>
      </c>
      <c r="N4663" s="201">
        <v>19</v>
      </c>
    </row>
    <row r="4664" spans="1:14">
      <c r="A4664" s="194">
        <v>41287.883784722224</v>
      </c>
      <c r="B4664" s="195">
        <v>3044</v>
      </c>
      <c r="C4664" s="194"/>
      <c r="D4664" s="194"/>
      <c r="E4664" s="196" t="s">
        <v>433</v>
      </c>
      <c r="F4664" s="195">
        <v>466</v>
      </c>
      <c r="G4664" s="197" t="s">
        <v>142</v>
      </c>
      <c r="H4664" s="197" t="s">
        <v>223</v>
      </c>
      <c r="I4664" s="196" t="s">
        <v>402</v>
      </c>
      <c r="J4664" s="195">
        <v>1</v>
      </c>
      <c r="K4664" s="204" t="s">
        <v>224</v>
      </c>
      <c r="L4664" s="199">
        <v>1</v>
      </c>
      <c r="M4664" s="200">
        <v>42.9</v>
      </c>
      <c r="N4664" s="201">
        <v>15</v>
      </c>
    </row>
    <row r="4665" spans="1:14">
      <c r="A4665" s="194">
        <v>41280.639907407407</v>
      </c>
      <c r="B4665" s="195">
        <v>3044</v>
      </c>
      <c r="C4665" s="194"/>
      <c r="D4665" s="194"/>
      <c r="E4665" s="196" t="s">
        <v>422</v>
      </c>
      <c r="F4665" s="195">
        <v>466</v>
      </c>
      <c r="G4665" s="197" t="s">
        <v>142</v>
      </c>
      <c r="H4665" s="197" t="s">
        <v>223</v>
      </c>
      <c r="I4665" s="196" t="s">
        <v>402</v>
      </c>
      <c r="J4665" s="195">
        <v>1</v>
      </c>
      <c r="K4665" s="204" t="s">
        <v>224</v>
      </c>
      <c r="L4665" s="199">
        <v>1</v>
      </c>
      <c r="M4665" s="200">
        <v>45.5</v>
      </c>
      <c r="N4665" s="201">
        <v>15</v>
      </c>
    </row>
    <row r="4666" spans="1:14">
      <c r="A4666" s="194">
        <v>41304.919444444444</v>
      </c>
      <c r="B4666" s="195">
        <v>3044</v>
      </c>
      <c r="C4666" s="194"/>
      <c r="D4666" s="194"/>
      <c r="E4666" s="196" t="s">
        <v>468</v>
      </c>
      <c r="F4666" s="195">
        <v>466</v>
      </c>
      <c r="G4666" s="197" t="s">
        <v>142</v>
      </c>
      <c r="H4666" s="197" t="s">
        <v>223</v>
      </c>
      <c r="I4666" s="196" t="s">
        <v>402</v>
      </c>
      <c r="J4666" s="195">
        <v>1</v>
      </c>
      <c r="K4666" s="204" t="s">
        <v>224</v>
      </c>
      <c r="L4666" s="199">
        <v>1</v>
      </c>
      <c r="M4666" s="200">
        <v>45.6</v>
      </c>
      <c r="N4666" s="201">
        <v>15</v>
      </c>
    </row>
    <row r="4667" spans="1:14">
      <c r="A4667" s="194">
        <v>41291.896921296298</v>
      </c>
      <c r="B4667" s="195">
        <v>3044</v>
      </c>
      <c r="C4667" s="194"/>
      <c r="D4667" s="194"/>
      <c r="E4667" s="196" t="s">
        <v>438</v>
      </c>
      <c r="F4667" s="195">
        <v>466</v>
      </c>
      <c r="G4667" s="197" t="s">
        <v>142</v>
      </c>
      <c r="H4667" s="197" t="s">
        <v>223</v>
      </c>
      <c r="I4667" s="196" t="s">
        <v>402</v>
      </c>
      <c r="J4667" s="195">
        <v>1</v>
      </c>
      <c r="K4667" s="204" t="s">
        <v>224</v>
      </c>
      <c r="L4667" s="199">
        <v>1</v>
      </c>
      <c r="M4667" s="200">
        <v>53.6</v>
      </c>
      <c r="N4667" s="201">
        <v>15</v>
      </c>
    </row>
    <row r="4668" spans="1:14">
      <c r="A4668" s="194">
        <v>41304.466226851851</v>
      </c>
      <c r="B4668" s="195">
        <v>3044</v>
      </c>
      <c r="C4668" s="194"/>
      <c r="D4668" s="194"/>
      <c r="E4668" s="196" t="s">
        <v>467</v>
      </c>
      <c r="F4668" s="195">
        <v>466</v>
      </c>
      <c r="G4668" s="197" t="s">
        <v>142</v>
      </c>
      <c r="H4668" s="197" t="s">
        <v>223</v>
      </c>
      <c r="I4668" s="196" t="s">
        <v>402</v>
      </c>
      <c r="J4668" s="195">
        <v>1</v>
      </c>
      <c r="K4668" s="204" t="s">
        <v>224</v>
      </c>
      <c r="L4668" s="199">
        <v>1</v>
      </c>
      <c r="M4668" s="200">
        <v>36</v>
      </c>
      <c r="N4668" s="201">
        <v>16</v>
      </c>
    </row>
    <row r="4669" spans="1:14">
      <c r="A4669" s="194">
        <v>41303.107581018521</v>
      </c>
      <c r="B4669" s="195">
        <v>3044</v>
      </c>
      <c r="C4669" s="194"/>
      <c r="D4669" s="194"/>
      <c r="E4669" s="196" t="s">
        <v>464</v>
      </c>
      <c r="F4669" s="195">
        <v>466</v>
      </c>
      <c r="G4669" s="197" t="s">
        <v>142</v>
      </c>
      <c r="H4669" s="197" t="s">
        <v>223</v>
      </c>
      <c r="I4669" s="196" t="s">
        <v>402</v>
      </c>
      <c r="J4669" s="195">
        <v>1</v>
      </c>
      <c r="K4669" s="204" t="s">
        <v>224</v>
      </c>
      <c r="L4669" s="199">
        <v>1</v>
      </c>
      <c r="M4669" s="200">
        <v>36.700000000000003</v>
      </c>
      <c r="N4669" s="201">
        <v>16</v>
      </c>
    </row>
    <row r="4670" spans="1:14">
      <c r="A4670" s="194">
        <v>41279.959293981483</v>
      </c>
      <c r="B4670" s="195">
        <v>3044</v>
      </c>
      <c r="C4670" s="194"/>
      <c r="D4670" s="194"/>
      <c r="E4670" s="196" t="s">
        <v>421</v>
      </c>
      <c r="F4670" s="195">
        <v>466</v>
      </c>
      <c r="G4670" s="197" t="s">
        <v>142</v>
      </c>
      <c r="H4670" s="197" t="s">
        <v>223</v>
      </c>
      <c r="I4670" s="196" t="s">
        <v>402</v>
      </c>
      <c r="J4670" s="195">
        <v>1</v>
      </c>
      <c r="K4670" s="204" t="s">
        <v>224</v>
      </c>
      <c r="L4670" s="199">
        <v>1</v>
      </c>
      <c r="M4670" s="200">
        <v>40.1</v>
      </c>
      <c r="N4670" s="201">
        <v>16</v>
      </c>
    </row>
    <row r="4671" spans="1:14">
      <c r="A4671" s="194">
        <v>41281.696574074071</v>
      </c>
      <c r="B4671" s="195">
        <v>3044</v>
      </c>
      <c r="C4671" s="194"/>
      <c r="D4671" s="194"/>
      <c r="E4671" s="196" t="s">
        <v>418</v>
      </c>
      <c r="F4671" s="195">
        <v>466</v>
      </c>
      <c r="G4671" s="197" t="s">
        <v>142</v>
      </c>
      <c r="H4671" s="197" t="s">
        <v>223</v>
      </c>
      <c r="I4671" s="196" t="s">
        <v>402</v>
      </c>
      <c r="J4671" s="195">
        <v>1</v>
      </c>
      <c r="K4671" s="204" t="s">
        <v>224</v>
      </c>
      <c r="L4671" s="199">
        <v>1</v>
      </c>
      <c r="M4671" s="200">
        <v>49.6</v>
      </c>
      <c r="N4671" s="201">
        <v>16</v>
      </c>
    </row>
    <row r="4672" spans="1:14">
      <c r="A4672" s="194">
        <v>41277.784236111111</v>
      </c>
      <c r="B4672" s="195">
        <v>3044</v>
      </c>
      <c r="C4672" s="194"/>
      <c r="D4672" s="194"/>
      <c r="E4672" s="196" t="s">
        <v>414</v>
      </c>
      <c r="F4672" s="195">
        <v>466</v>
      </c>
      <c r="G4672" s="197" t="s">
        <v>142</v>
      </c>
      <c r="H4672" s="197" t="s">
        <v>223</v>
      </c>
      <c r="I4672" s="196" t="s">
        <v>402</v>
      </c>
      <c r="J4672" s="195">
        <v>1</v>
      </c>
      <c r="K4672" s="204" t="s">
        <v>224</v>
      </c>
      <c r="L4672" s="199">
        <v>1</v>
      </c>
      <c r="M4672" s="200">
        <v>56.8</v>
      </c>
      <c r="N4672" s="201">
        <v>16</v>
      </c>
    </row>
    <row r="4673" spans="1:14">
      <c r="A4673" s="194">
        <v>41295.880324074074</v>
      </c>
      <c r="B4673" s="195">
        <v>3044</v>
      </c>
      <c r="C4673" s="194"/>
      <c r="D4673" s="194"/>
      <c r="E4673" s="196" t="s">
        <v>449</v>
      </c>
      <c r="F4673" s="195">
        <v>466</v>
      </c>
      <c r="G4673" s="197" t="s">
        <v>142</v>
      </c>
      <c r="H4673" s="197" t="s">
        <v>223</v>
      </c>
      <c r="I4673" s="196" t="s">
        <v>402</v>
      </c>
      <c r="J4673" s="195">
        <v>1</v>
      </c>
      <c r="K4673" s="204" t="s">
        <v>224</v>
      </c>
      <c r="L4673" s="199">
        <v>1</v>
      </c>
      <c r="M4673" s="200">
        <v>38.200000000000003</v>
      </c>
      <c r="N4673" s="201">
        <v>17</v>
      </c>
    </row>
    <row r="4674" spans="1:14">
      <c r="A4674" s="194">
        <v>41279.253564814811</v>
      </c>
      <c r="B4674" s="195">
        <v>3044</v>
      </c>
      <c r="C4674" s="194"/>
      <c r="D4674" s="194"/>
      <c r="E4674" s="196" t="s">
        <v>420</v>
      </c>
      <c r="F4674" s="195">
        <v>466</v>
      </c>
      <c r="G4674" s="197" t="s">
        <v>142</v>
      </c>
      <c r="H4674" s="197" t="s">
        <v>223</v>
      </c>
      <c r="I4674" s="196" t="s">
        <v>402</v>
      </c>
      <c r="J4674" s="195">
        <v>1</v>
      </c>
      <c r="K4674" s="204" t="s">
        <v>224</v>
      </c>
      <c r="L4674" s="199">
        <v>1</v>
      </c>
      <c r="M4674" s="200">
        <v>38.6</v>
      </c>
      <c r="N4674" s="201">
        <v>17</v>
      </c>
    </row>
    <row r="4675" spans="1:14">
      <c r="A4675" s="194">
        <v>41293.743206018517</v>
      </c>
      <c r="B4675" s="195">
        <v>3044</v>
      </c>
      <c r="C4675" s="194"/>
      <c r="D4675" s="194"/>
      <c r="E4675" s="196" t="s">
        <v>444</v>
      </c>
      <c r="F4675" s="195">
        <v>466</v>
      </c>
      <c r="G4675" s="197" t="s">
        <v>142</v>
      </c>
      <c r="H4675" s="197" t="s">
        <v>223</v>
      </c>
      <c r="I4675" s="196" t="s">
        <v>402</v>
      </c>
      <c r="J4675" s="195">
        <v>1</v>
      </c>
      <c r="K4675" s="204" t="s">
        <v>224</v>
      </c>
      <c r="L4675" s="199">
        <v>1</v>
      </c>
      <c r="M4675" s="200">
        <v>39.1</v>
      </c>
      <c r="N4675" s="201">
        <v>17</v>
      </c>
    </row>
    <row r="4676" spans="1:14">
      <c r="A4676" s="194">
        <v>41295.038194444445</v>
      </c>
      <c r="B4676" s="195">
        <v>3044</v>
      </c>
      <c r="C4676" s="194"/>
      <c r="D4676" s="194"/>
      <c r="E4676" s="196" t="s">
        <v>448</v>
      </c>
      <c r="F4676" s="195">
        <v>466</v>
      </c>
      <c r="G4676" s="197" t="s">
        <v>142</v>
      </c>
      <c r="H4676" s="197" t="s">
        <v>223</v>
      </c>
      <c r="I4676" s="196" t="s">
        <v>402</v>
      </c>
      <c r="J4676" s="195">
        <v>1</v>
      </c>
      <c r="K4676" s="204" t="s">
        <v>224</v>
      </c>
      <c r="L4676" s="199">
        <v>1</v>
      </c>
      <c r="M4676" s="200">
        <v>40.799999999999997</v>
      </c>
      <c r="N4676" s="201">
        <v>17</v>
      </c>
    </row>
    <row r="4677" spans="1:14">
      <c r="A4677" s="194">
        <v>41289.515787037039</v>
      </c>
      <c r="B4677" s="195">
        <v>3044</v>
      </c>
      <c r="C4677" s="194"/>
      <c r="D4677" s="194"/>
      <c r="E4677" s="196" t="s">
        <v>441</v>
      </c>
      <c r="F4677" s="195">
        <v>466</v>
      </c>
      <c r="G4677" s="197" t="s">
        <v>142</v>
      </c>
      <c r="H4677" s="197" t="s">
        <v>223</v>
      </c>
      <c r="I4677" s="196" t="s">
        <v>402</v>
      </c>
      <c r="J4677" s="195">
        <v>1</v>
      </c>
      <c r="K4677" s="204" t="s">
        <v>224</v>
      </c>
      <c r="L4677" s="199">
        <v>1</v>
      </c>
      <c r="M4677" s="200">
        <v>42.8</v>
      </c>
      <c r="N4677" s="201">
        <v>17</v>
      </c>
    </row>
    <row r="4678" spans="1:14">
      <c r="A4678" s="194">
        <v>41275.676874999997</v>
      </c>
      <c r="B4678" s="195">
        <v>3044</v>
      </c>
      <c r="C4678" s="194"/>
      <c r="D4678" s="194"/>
      <c r="E4678" s="196" t="s">
        <v>406</v>
      </c>
      <c r="F4678" s="195">
        <v>466</v>
      </c>
      <c r="G4678" s="197" t="s">
        <v>142</v>
      </c>
      <c r="H4678" s="197" t="s">
        <v>223</v>
      </c>
      <c r="I4678" s="196" t="s">
        <v>402</v>
      </c>
      <c r="J4678" s="195">
        <v>1</v>
      </c>
      <c r="K4678" s="204" t="s">
        <v>224</v>
      </c>
      <c r="L4678" s="199">
        <v>1</v>
      </c>
      <c r="M4678" s="200">
        <v>53.5</v>
      </c>
      <c r="N4678" s="201">
        <v>17</v>
      </c>
    </row>
    <row r="4679" spans="1:14">
      <c r="A4679" s="194">
        <v>41286.842106481483</v>
      </c>
      <c r="B4679" s="195">
        <v>3044</v>
      </c>
      <c r="C4679" s="194"/>
      <c r="D4679" s="194"/>
      <c r="E4679" s="196" t="s">
        <v>430</v>
      </c>
      <c r="F4679" s="195">
        <v>466</v>
      </c>
      <c r="G4679" s="197" t="s">
        <v>142</v>
      </c>
      <c r="H4679" s="197" t="s">
        <v>223</v>
      </c>
      <c r="I4679" s="196" t="s">
        <v>402</v>
      </c>
      <c r="J4679" s="195">
        <v>1</v>
      </c>
      <c r="K4679" s="204" t="s">
        <v>224</v>
      </c>
      <c r="L4679" s="199">
        <v>1</v>
      </c>
      <c r="M4679" s="200">
        <v>35.700000000000003</v>
      </c>
      <c r="N4679" s="201">
        <v>18</v>
      </c>
    </row>
    <row r="4680" spans="1:14">
      <c r="A4680" s="194">
        <v>41293.93849537037</v>
      </c>
      <c r="B4680" s="195">
        <v>3044</v>
      </c>
      <c r="C4680" s="194"/>
      <c r="D4680" s="194"/>
      <c r="E4680" s="196" t="s">
        <v>445</v>
      </c>
      <c r="F4680" s="195">
        <v>466</v>
      </c>
      <c r="G4680" s="197" t="s">
        <v>142</v>
      </c>
      <c r="H4680" s="197" t="s">
        <v>223</v>
      </c>
      <c r="I4680" s="196" t="s">
        <v>402</v>
      </c>
      <c r="J4680" s="195">
        <v>1</v>
      </c>
      <c r="K4680" s="204" t="s">
        <v>224</v>
      </c>
      <c r="L4680" s="199">
        <v>1</v>
      </c>
      <c r="M4680" s="200">
        <v>37.6</v>
      </c>
      <c r="N4680" s="201">
        <v>18</v>
      </c>
    </row>
    <row r="4681" spans="1:14">
      <c r="A4681" s="194">
        <v>41293.474942129629</v>
      </c>
      <c r="B4681" s="195">
        <v>3044</v>
      </c>
      <c r="C4681" s="194"/>
      <c r="D4681" s="194"/>
      <c r="E4681" s="196" t="s">
        <v>443</v>
      </c>
      <c r="F4681" s="195">
        <v>466</v>
      </c>
      <c r="G4681" s="197" t="s">
        <v>142</v>
      </c>
      <c r="H4681" s="197" t="s">
        <v>223</v>
      </c>
      <c r="I4681" s="196" t="s">
        <v>402</v>
      </c>
      <c r="J4681" s="195">
        <v>1</v>
      </c>
      <c r="K4681" s="204" t="s">
        <v>224</v>
      </c>
      <c r="L4681" s="199">
        <v>1</v>
      </c>
      <c r="M4681" s="200">
        <v>38.700000000000003</v>
      </c>
      <c r="N4681" s="201">
        <v>18</v>
      </c>
    </row>
    <row r="4682" spans="1:14">
      <c r="A4682" s="194">
        <v>41305.507048611114</v>
      </c>
      <c r="B4682" s="195">
        <v>3044</v>
      </c>
      <c r="C4682" s="194"/>
      <c r="D4682" s="194"/>
      <c r="E4682" s="196" t="s">
        <v>465</v>
      </c>
      <c r="F4682" s="195">
        <v>466</v>
      </c>
      <c r="G4682" s="197" t="s">
        <v>142</v>
      </c>
      <c r="H4682" s="197" t="s">
        <v>223</v>
      </c>
      <c r="I4682" s="196" t="s">
        <v>402</v>
      </c>
      <c r="J4682" s="195">
        <v>1</v>
      </c>
      <c r="K4682" s="204" t="s">
        <v>224</v>
      </c>
      <c r="L4682" s="199">
        <v>1</v>
      </c>
      <c r="M4682" s="200">
        <v>38.9</v>
      </c>
      <c r="N4682" s="201">
        <v>18</v>
      </c>
    </row>
    <row r="4683" spans="1:14">
      <c r="A4683" s="194">
        <v>41287.076574074075</v>
      </c>
      <c r="B4683" s="195">
        <v>3044</v>
      </c>
      <c r="C4683" s="194"/>
      <c r="D4683" s="194"/>
      <c r="E4683" s="196" t="s">
        <v>431</v>
      </c>
      <c r="F4683" s="195">
        <v>466</v>
      </c>
      <c r="G4683" s="197" t="s">
        <v>142</v>
      </c>
      <c r="H4683" s="197" t="s">
        <v>223</v>
      </c>
      <c r="I4683" s="196" t="s">
        <v>402</v>
      </c>
      <c r="J4683" s="195">
        <v>1</v>
      </c>
      <c r="K4683" s="204" t="s">
        <v>224</v>
      </c>
      <c r="L4683" s="199">
        <v>1</v>
      </c>
      <c r="M4683" s="200">
        <v>45.4</v>
      </c>
      <c r="N4683" s="201">
        <v>18</v>
      </c>
    </row>
    <row r="4684" spans="1:14">
      <c r="A4684" s="194">
        <v>41303.550578703704</v>
      </c>
      <c r="B4684" s="195">
        <v>3044</v>
      </c>
      <c r="C4684" s="194"/>
      <c r="D4684" s="194"/>
      <c r="E4684" s="196" t="s">
        <v>466</v>
      </c>
      <c r="F4684" s="195">
        <v>466</v>
      </c>
      <c r="G4684" s="197" t="s">
        <v>142</v>
      </c>
      <c r="H4684" s="197" t="s">
        <v>223</v>
      </c>
      <c r="I4684" s="196" t="s">
        <v>402</v>
      </c>
      <c r="J4684" s="195">
        <v>1</v>
      </c>
      <c r="K4684" s="204" t="s">
        <v>224</v>
      </c>
      <c r="L4684" s="199">
        <v>1</v>
      </c>
      <c r="M4684" s="200">
        <v>47.8</v>
      </c>
      <c r="N4684" s="201">
        <v>18</v>
      </c>
    </row>
    <row r="4685" spans="1:14">
      <c r="A4685" s="194">
        <v>41281.489629629628</v>
      </c>
      <c r="B4685" s="195">
        <v>3044</v>
      </c>
      <c r="C4685" s="194"/>
      <c r="D4685" s="194"/>
      <c r="E4685" s="196" t="s">
        <v>417</v>
      </c>
      <c r="F4685" s="195">
        <v>466</v>
      </c>
      <c r="G4685" s="197" t="s">
        <v>142</v>
      </c>
      <c r="H4685" s="197" t="s">
        <v>223</v>
      </c>
      <c r="I4685" s="196" t="s">
        <v>402</v>
      </c>
      <c r="J4685" s="195">
        <v>1</v>
      </c>
      <c r="K4685" s="204" t="s">
        <v>224</v>
      </c>
      <c r="L4685" s="199">
        <v>1</v>
      </c>
      <c r="M4685" s="200">
        <v>36.700000000000003</v>
      </c>
      <c r="N4685" s="201">
        <v>19</v>
      </c>
    </row>
    <row r="4686" spans="1:14">
      <c r="A4686" s="194">
        <v>41277.062511574077</v>
      </c>
      <c r="B4686" s="195">
        <v>3044</v>
      </c>
      <c r="C4686" s="194"/>
      <c r="D4686" s="194"/>
      <c r="E4686" s="196" t="s">
        <v>413</v>
      </c>
      <c r="F4686" s="195">
        <v>466</v>
      </c>
      <c r="G4686" s="197" t="s">
        <v>142</v>
      </c>
      <c r="H4686" s="197" t="s">
        <v>223</v>
      </c>
      <c r="I4686" s="196" t="s">
        <v>402</v>
      </c>
      <c r="J4686" s="195">
        <v>1</v>
      </c>
      <c r="K4686" s="204" t="s">
        <v>224</v>
      </c>
      <c r="L4686" s="199">
        <v>1</v>
      </c>
      <c r="M4686" s="200">
        <v>37.9</v>
      </c>
      <c r="N4686" s="201">
        <v>20</v>
      </c>
    </row>
    <row r="4687" spans="1:14">
      <c r="A4687" s="194">
        <v>41287.770208333335</v>
      </c>
      <c r="B4687" s="195">
        <v>3044</v>
      </c>
      <c r="C4687" s="194"/>
      <c r="D4687" s="194"/>
      <c r="E4687" s="196" t="s">
        <v>432</v>
      </c>
      <c r="F4687" s="195">
        <v>466</v>
      </c>
      <c r="G4687" s="197" t="s">
        <v>142</v>
      </c>
      <c r="H4687" s="197" t="s">
        <v>223</v>
      </c>
      <c r="I4687" s="196" t="s">
        <v>402</v>
      </c>
      <c r="J4687" s="195">
        <v>1</v>
      </c>
      <c r="K4687" s="204" t="s">
        <v>224</v>
      </c>
      <c r="L4687" s="199">
        <v>1</v>
      </c>
      <c r="M4687" s="200">
        <v>52.1</v>
      </c>
      <c r="N4687" s="201">
        <v>20</v>
      </c>
    </row>
    <row r="4688" spans="1:14">
      <c r="A4688" s="194">
        <v>41300.239664351851</v>
      </c>
      <c r="B4688" s="195">
        <v>3044</v>
      </c>
      <c r="C4688" s="194"/>
      <c r="D4688" s="194"/>
      <c r="E4688" s="196" t="s">
        <v>454</v>
      </c>
      <c r="F4688" s="195">
        <v>466</v>
      </c>
      <c r="G4688" s="197" t="s">
        <v>142</v>
      </c>
      <c r="H4688" s="197" t="s">
        <v>223</v>
      </c>
      <c r="I4688" s="196" t="s">
        <v>402</v>
      </c>
      <c r="J4688" s="195">
        <v>1</v>
      </c>
      <c r="K4688" s="204" t="s">
        <v>224</v>
      </c>
      <c r="L4688" s="199">
        <v>1</v>
      </c>
      <c r="M4688" s="200">
        <v>37.6</v>
      </c>
      <c r="N4688" s="201">
        <v>21</v>
      </c>
    </row>
    <row r="4689" spans="1:14">
      <c r="A4689" s="194">
        <v>41282.842939814815</v>
      </c>
      <c r="B4689" s="195">
        <v>3044</v>
      </c>
      <c r="C4689" s="194"/>
      <c r="D4689" s="194"/>
      <c r="E4689" s="196" t="s">
        <v>425</v>
      </c>
      <c r="F4689" s="195">
        <v>466</v>
      </c>
      <c r="G4689" s="197" t="s">
        <v>142</v>
      </c>
      <c r="H4689" s="197" t="s">
        <v>223</v>
      </c>
      <c r="I4689" s="196" t="s">
        <v>402</v>
      </c>
      <c r="J4689" s="195">
        <v>1</v>
      </c>
      <c r="K4689" s="204" t="s">
        <v>224</v>
      </c>
      <c r="L4689" s="199">
        <v>1</v>
      </c>
      <c r="M4689" s="200">
        <v>39.299999999999997</v>
      </c>
      <c r="N4689" s="201">
        <v>21</v>
      </c>
    </row>
    <row r="4690" spans="1:14">
      <c r="A4690" s="194">
        <v>41285.796597222223</v>
      </c>
      <c r="B4690" s="195">
        <v>3044</v>
      </c>
      <c r="C4690" s="194"/>
      <c r="D4690" s="194"/>
      <c r="E4690" s="196" t="s">
        <v>429</v>
      </c>
      <c r="F4690" s="195">
        <v>466</v>
      </c>
      <c r="G4690" s="197" t="s">
        <v>142</v>
      </c>
      <c r="H4690" s="197" t="s">
        <v>223</v>
      </c>
      <c r="I4690" s="196" t="s">
        <v>402</v>
      </c>
      <c r="J4690" s="195">
        <v>1</v>
      </c>
      <c r="K4690" s="204" t="s">
        <v>224</v>
      </c>
      <c r="L4690" s="199">
        <v>1</v>
      </c>
      <c r="M4690" s="200">
        <v>46.7</v>
      </c>
      <c r="N4690" s="201">
        <v>22</v>
      </c>
    </row>
    <row r="4691" spans="1:14">
      <c r="A4691" s="194">
        <v>41289.211863425924</v>
      </c>
      <c r="B4691" s="195">
        <v>3044</v>
      </c>
      <c r="C4691" s="194"/>
      <c r="D4691" s="194"/>
      <c r="E4691" s="196" t="s">
        <v>440</v>
      </c>
      <c r="F4691" s="195">
        <v>466</v>
      </c>
      <c r="G4691" s="197" t="s">
        <v>142</v>
      </c>
      <c r="H4691" s="197" t="s">
        <v>223</v>
      </c>
      <c r="I4691" s="196" t="s">
        <v>402</v>
      </c>
      <c r="J4691" s="195">
        <v>1</v>
      </c>
      <c r="K4691" s="204" t="s">
        <v>224</v>
      </c>
      <c r="L4691" s="199">
        <v>1</v>
      </c>
      <c r="M4691" s="200">
        <v>34.799999999999997</v>
      </c>
      <c r="N4691" s="201">
        <v>24</v>
      </c>
    </row>
    <row r="4692" spans="1:14">
      <c r="A4692" s="194">
        <v>41298.445405092592</v>
      </c>
      <c r="B4692" s="195">
        <v>3044</v>
      </c>
      <c r="C4692" s="194"/>
      <c r="D4692" s="194"/>
      <c r="E4692" s="196" t="s">
        <v>451</v>
      </c>
      <c r="F4692" s="195">
        <v>466</v>
      </c>
      <c r="G4692" s="197" t="s">
        <v>142</v>
      </c>
      <c r="H4692" s="197" t="s">
        <v>223</v>
      </c>
      <c r="I4692" s="196" t="s">
        <v>402</v>
      </c>
      <c r="J4692" s="195">
        <v>1</v>
      </c>
      <c r="K4692" s="204" t="s">
        <v>224</v>
      </c>
      <c r="L4692" s="199">
        <v>1</v>
      </c>
      <c r="M4692" s="200">
        <v>39.4</v>
      </c>
      <c r="N4692" s="201">
        <v>24</v>
      </c>
    </row>
    <row r="4693" spans="1:14">
      <c r="A4693" s="194">
        <v>41275.740358796298</v>
      </c>
      <c r="B4693" s="195">
        <v>3044</v>
      </c>
      <c r="C4693" s="194"/>
      <c r="D4693" s="194"/>
      <c r="E4693" s="196" t="s">
        <v>407</v>
      </c>
      <c r="F4693" s="195">
        <v>466</v>
      </c>
      <c r="G4693" s="197" t="s">
        <v>142</v>
      </c>
      <c r="H4693" s="197" t="s">
        <v>223</v>
      </c>
      <c r="I4693" s="196" t="s">
        <v>402</v>
      </c>
      <c r="J4693" s="195">
        <v>1</v>
      </c>
      <c r="K4693" s="204" t="s">
        <v>224</v>
      </c>
      <c r="L4693" s="199">
        <v>1</v>
      </c>
      <c r="M4693" s="200">
        <v>46.5</v>
      </c>
      <c r="N4693" s="201">
        <v>29</v>
      </c>
    </row>
    <row r="4694" spans="1:14">
      <c r="A4694" s="194">
        <v>41297.513124999998</v>
      </c>
      <c r="B4694" s="195">
        <v>3044</v>
      </c>
      <c r="C4694" s="194"/>
      <c r="D4694" s="194"/>
      <c r="E4694" s="196" t="s">
        <v>1224</v>
      </c>
      <c r="F4694" s="195">
        <v>800</v>
      </c>
      <c r="G4694" s="197" t="s">
        <v>470</v>
      </c>
      <c r="H4694" s="197" t="s">
        <v>471</v>
      </c>
      <c r="J4694" s="195">
        <v>1</v>
      </c>
      <c r="K4694" s="204" t="s">
        <v>224</v>
      </c>
      <c r="L4694" s="199">
        <v>1</v>
      </c>
      <c r="M4694" s="200">
        <v>38.9</v>
      </c>
      <c r="N4694" s="201">
        <v>15</v>
      </c>
    </row>
    <row r="4695" spans="1:14">
      <c r="A4695" s="194">
        <v>41299.972314814811</v>
      </c>
      <c r="B4695" s="195">
        <v>3044</v>
      </c>
      <c r="C4695" s="194"/>
      <c r="D4695" s="194"/>
      <c r="E4695" s="196" t="s">
        <v>1242</v>
      </c>
      <c r="F4695" s="195">
        <v>800</v>
      </c>
      <c r="G4695" s="197" t="s">
        <v>470</v>
      </c>
      <c r="H4695" s="197" t="s">
        <v>471</v>
      </c>
      <c r="J4695" s="195">
        <v>1</v>
      </c>
      <c r="K4695" s="204" t="s">
        <v>224</v>
      </c>
      <c r="L4695" s="199">
        <v>1</v>
      </c>
      <c r="M4695" s="200">
        <v>39.200000000000003</v>
      </c>
      <c r="N4695" s="201">
        <v>15</v>
      </c>
    </row>
    <row r="4696" spans="1:14">
      <c r="A4696" s="194">
        <v>41295.981030092589</v>
      </c>
      <c r="B4696" s="195">
        <v>3044</v>
      </c>
      <c r="C4696" s="194"/>
      <c r="D4696" s="194"/>
      <c r="E4696" s="196" t="s">
        <v>1218</v>
      </c>
      <c r="F4696" s="195">
        <v>800</v>
      </c>
      <c r="G4696" s="197" t="s">
        <v>470</v>
      </c>
      <c r="H4696" s="197" t="s">
        <v>471</v>
      </c>
      <c r="J4696" s="195">
        <v>1</v>
      </c>
      <c r="K4696" s="204" t="s">
        <v>224</v>
      </c>
      <c r="L4696" s="199">
        <v>1</v>
      </c>
      <c r="M4696" s="200">
        <v>41.8</v>
      </c>
      <c r="N4696" s="201">
        <v>15</v>
      </c>
    </row>
    <row r="4697" spans="1:14">
      <c r="A4697" s="194">
        <v>41300.862175925926</v>
      </c>
      <c r="B4697" s="195">
        <v>3044</v>
      </c>
      <c r="C4697" s="194"/>
      <c r="D4697" s="194"/>
      <c r="E4697" s="196" t="s">
        <v>1253</v>
      </c>
      <c r="F4697" s="195">
        <v>800</v>
      </c>
      <c r="G4697" s="197" t="s">
        <v>470</v>
      </c>
      <c r="H4697" s="197" t="s">
        <v>471</v>
      </c>
      <c r="J4697" s="195">
        <v>1</v>
      </c>
      <c r="K4697" s="204" t="s">
        <v>224</v>
      </c>
      <c r="L4697" s="199">
        <v>1</v>
      </c>
      <c r="M4697" s="200">
        <v>46.6</v>
      </c>
      <c r="N4697" s="201">
        <v>15</v>
      </c>
    </row>
    <row r="4698" spans="1:14">
      <c r="A4698" s="194">
        <v>41279.400381944448</v>
      </c>
      <c r="B4698" s="195">
        <v>3044</v>
      </c>
      <c r="C4698" s="194"/>
      <c r="D4698" s="194"/>
      <c r="E4698" s="196" t="s">
        <v>688</v>
      </c>
      <c r="F4698" s="195">
        <v>800</v>
      </c>
      <c r="G4698" s="197" t="s">
        <v>470</v>
      </c>
      <c r="H4698" s="197" t="s">
        <v>471</v>
      </c>
      <c r="J4698" s="195">
        <v>1</v>
      </c>
      <c r="K4698" s="204" t="s">
        <v>224</v>
      </c>
      <c r="L4698" s="199">
        <v>1</v>
      </c>
      <c r="M4698" s="200">
        <v>47.7</v>
      </c>
      <c r="N4698" s="201">
        <v>15</v>
      </c>
    </row>
    <row r="4699" spans="1:14">
      <c r="A4699" s="194">
        <v>41280.131145833337</v>
      </c>
      <c r="B4699" s="195">
        <v>3044</v>
      </c>
      <c r="C4699" s="194"/>
      <c r="D4699" s="194"/>
      <c r="E4699" s="196" t="s">
        <v>690</v>
      </c>
      <c r="F4699" s="195">
        <v>800</v>
      </c>
      <c r="G4699" s="197" t="s">
        <v>470</v>
      </c>
      <c r="H4699" s="197" t="s">
        <v>471</v>
      </c>
      <c r="J4699" s="195">
        <v>1</v>
      </c>
      <c r="K4699" s="204" t="s">
        <v>224</v>
      </c>
      <c r="L4699" s="199">
        <v>1</v>
      </c>
      <c r="M4699" s="200">
        <v>37.9</v>
      </c>
      <c r="N4699" s="201">
        <v>16</v>
      </c>
    </row>
    <row r="4700" spans="1:14">
      <c r="A4700" s="194">
        <v>41286.947233796294</v>
      </c>
      <c r="B4700" s="195">
        <v>3044</v>
      </c>
      <c r="C4700" s="194"/>
      <c r="D4700" s="194"/>
      <c r="E4700" s="196" t="s">
        <v>805</v>
      </c>
      <c r="F4700" s="195">
        <v>800</v>
      </c>
      <c r="G4700" s="197" t="s">
        <v>470</v>
      </c>
      <c r="H4700" s="197" t="s">
        <v>471</v>
      </c>
      <c r="J4700" s="195">
        <v>1</v>
      </c>
      <c r="K4700" s="204" t="s">
        <v>224</v>
      </c>
      <c r="L4700" s="199">
        <v>1</v>
      </c>
      <c r="M4700" s="200">
        <v>44.7</v>
      </c>
      <c r="N4700" s="201">
        <v>16</v>
      </c>
    </row>
    <row r="4701" spans="1:14">
      <c r="A4701" s="194">
        <v>41277.768634259257</v>
      </c>
      <c r="B4701" s="195">
        <v>3044</v>
      </c>
      <c r="C4701" s="194"/>
      <c r="D4701" s="194"/>
      <c r="E4701" s="196" t="s">
        <v>552</v>
      </c>
      <c r="F4701" s="195">
        <v>800</v>
      </c>
      <c r="G4701" s="197" t="s">
        <v>470</v>
      </c>
      <c r="H4701" s="197" t="s">
        <v>471</v>
      </c>
      <c r="J4701" s="195">
        <v>1</v>
      </c>
      <c r="K4701" s="204" t="s">
        <v>224</v>
      </c>
      <c r="L4701" s="199">
        <v>1</v>
      </c>
      <c r="M4701" s="200">
        <v>58.9</v>
      </c>
      <c r="N4701" s="201">
        <v>16</v>
      </c>
    </row>
    <row r="4702" spans="1:14">
      <c r="A4702" s="194">
        <v>41282.310960648145</v>
      </c>
      <c r="B4702" s="195">
        <v>3044</v>
      </c>
      <c r="C4702" s="194"/>
      <c r="D4702" s="194"/>
      <c r="E4702" s="196" t="s">
        <v>694</v>
      </c>
      <c r="F4702" s="195">
        <v>800</v>
      </c>
      <c r="G4702" s="197" t="s">
        <v>470</v>
      </c>
      <c r="H4702" s="197" t="s">
        <v>471</v>
      </c>
      <c r="J4702" s="195">
        <v>1</v>
      </c>
      <c r="K4702" s="204" t="s">
        <v>224</v>
      </c>
      <c r="L4702" s="199">
        <v>1</v>
      </c>
      <c r="M4702" s="200">
        <v>63.7</v>
      </c>
      <c r="N4702" s="201">
        <v>16</v>
      </c>
    </row>
    <row r="4703" spans="1:14">
      <c r="A4703" s="194">
        <v>41294.526921296296</v>
      </c>
      <c r="B4703" s="195">
        <v>3044</v>
      </c>
      <c r="C4703" s="194"/>
      <c r="D4703" s="194"/>
      <c r="E4703" s="196" t="s">
        <v>1083</v>
      </c>
      <c r="F4703" s="195">
        <v>800</v>
      </c>
      <c r="G4703" s="197" t="s">
        <v>470</v>
      </c>
      <c r="H4703" s="197" t="s">
        <v>471</v>
      </c>
      <c r="J4703" s="195">
        <v>1</v>
      </c>
      <c r="K4703" s="204" t="s">
        <v>224</v>
      </c>
      <c r="L4703" s="199">
        <v>1</v>
      </c>
      <c r="M4703" s="200">
        <v>37.9</v>
      </c>
      <c r="N4703" s="201">
        <v>17</v>
      </c>
    </row>
    <row r="4704" spans="1:14">
      <c r="A4704" s="194">
        <v>41304.506168981483</v>
      </c>
      <c r="B4704" s="195">
        <v>3044</v>
      </c>
      <c r="C4704" s="194"/>
      <c r="D4704" s="194"/>
      <c r="E4704" s="196" t="s">
        <v>1557</v>
      </c>
      <c r="F4704" s="195">
        <v>800</v>
      </c>
      <c r="G4704" s="197" t="s">
        <v>470</v>
      </c>
      <c r="H4704" s="197" t="s">
        <v>471</v>
      </c>
      <c r="J4704" s="195">
        <v>1</v>
      </c>
      <c r="K4704" s="204" t="s">
        <v>224</v>
      </c>
      <c r="L4704" s="199">
        <v>1</v>
      </c>
      <c r="M4704" s="200">
        <v>37.9</v>
      </c>
      <c r="N4704" s="201">
        <v>17</v>
      </c>
    </row>
    <row r="4705" spans="1:14">
      <c r="A4705" s="194">
        <v>41291.975729166668</v>
      </c>
      <c r="B4705" s="195">
        <v>3044</v>
      </c>
      <c r="C4705" s="194"/>
      <c r="D4705" s="194"/>
      <c r="E4705" s="196" t="s">
        <v>1006</v>
      </c>
      <c r="F4705" s="195">
        <v>800</v>
      </c>
      <c r="G4705" s="197" t="s">
        <v>470</v>
      </c>
      <c r="H4705" s="197" t="s">
        <v>471</v>
      </c>
      <c r="J4705" s="195">
        <v>1</v>
      </c>
      <c r="K4705" s="204" t="s">
        <v>224</v>
      </c>
      <c r="L4705" s="199">
        <v>1</v>
      </c>
      <c r="M4705" s="200">
        <v>38.5</v>
      </c>
      <c r="N4705" s="201">
        <v>17</v>
      </c>
    </row>
    <row r="4706" spans="1:14">
      <c r="A4706" s="194">
        <v>41291.9141087963</v>
      </c>
      <c r="B4706" s="195">
        <v>3044</v>
      </c>
      <c r="C4706" s="194"/>
      <c r="D4706" s="194"/>
      <c r="E4706" s="196" t="s">
        <v>1002</v>
      </c>
      <c r="F4706" s="195">
        <v>800</v>
      </c>
      <c r="G4706" s="197" t="s">
        <v>470</v>
      </c>
      <c r="H4706" s="197" t="s">
        <v>471</v>
      </c>
      <c r="J4706" s="195">
        <v>1</v>
      </c>
      <c r="K4706" s="204" t="s">
        <v>224</v>
      </c>
      <c r="L4706" s="199">
        <v>1</v>
      </c>
      <c r="M4706" s="200">
        <v>38.6</v>
      </c>
      <c r="N4706" s="201">
        <v>17</v>
      </c>
    </row>
    <row r="4707" spans="1:14">
      <c r="A4707" s="194">
        <v>41290.897638888891</v>
      </c>
      <c r="B4707" s="195">
        <v>3044</v>
      </c>
      <c r="C4707" s="194"/>
      <c r="D4707" s="194"/>
      <c r="E4707" s="196" t="s">
        <v>1065</v>
      </c>
      <c r="F4707" s="195">
        <v>800</v>
      </c>
      <c r="G4707" s="197" t="s">
        <v>470</v>
      </c>
      <c r="H4707" s="197" t="s">
        <v>471</v>
      </c>
      <c r="J4707" s="195">
        <v>1</v>
      </c>
      <c r="K4707" s="204" t="s">
        <v>224</v>
      </c>
      <c r="L4707" s="199">
        <v>1</v>
      </c>
      <c r="M4707" s="200">
        <v>38.9</v>
      </c>
      <c r="N4707" s="201">
        <v>17</v>
      </c>
    </row>
    <row r="4708" spans="1:14">
      <c r="A4708" s="194">
        <v>41297.952303240738</v>
      </c>
      <c r="B4708" s="195">
        <v>3044</v>
      </c>
      <c r="C4708" s="194"/>
      <c r="D4708" s="194"/>
      <c r="E4708" s="196" t="s">
        <v>1226</v>
      </c>
      <c r="F4708" s="195">
        <v>800</v>
      </c>
      <c r="G4708" s="197" t="s">
        <v>470</v>
      </c>
      <c r="H4708" s="197" t="s">
        <v>471</v>
      </c>
      <c r="J4708" s="195">
        <v>1</v>
      </c>
      <c r="K4708" s="204" t="s">
        <v>224</v>
      </c>
      <c r="L4708" s="199">
        <v>1</v>
      </c>
      <c r="M4708" s="200">
        <v>39.200000000000003</v>
      </c>
      <c r="N4708" s="201">
        <v>17</v>
      </c>
    </row>
    <row r="4709" spans="1:14">
      <c r="A4709" s="194">
        <v>41305.45585648148</v>
      </c>
      <c r="B4709" s="195">
        <v>3044</v>
      </c>
      <c r="C4709" s="194"/>
      <c r="D4709" s="194"/>
      <c r="E4709" s="196" t="s">
        <v>1527</v>
      </c>
      <c r="F4709" s="195">
        <v>800</v>
      </c>
      <c r="G4709" s="197" t="s">
        <v>470</v>
      </c>
      <c r="H4709" s="197" t="s">
        <v>471</v>
      </c>
      <c r="J4709" s="195">
        <v>1</v>
      </c>
      <c r="K4709" s="204" t="s">
        <v>224</v>
      </c>
      <c r="L4709" s="199">
        <v>1</v>
      </c>
      <c r="M4709" s="200">
        <v>39.700000000000003</v>
      </c>
      <c r="N4709" s="201">
        <v>17</v>
      </c>
    </row>
    <row r="4710" spans="1:14">
      <c r="A4710" s="194">
        <v>41281.862013888887</v>
      </c>
      <c r="B4710" s="195">
        <v>3044</v>
      </c>
      <c r="C4710" s="194"/>
      <c r="D4710" s="194"/>
      <c r="E4710" s="196" t="s">
        <v>579</v>
      </c>
      <c r="F4710" s="195">
        <v>800</v>
      </c>
      <c r="G4710" s="197" t="s">
        <v>470</v>
      </c>
      <c r="H4710" s="197" t="s">
        <v>471</v>
      </c>
      <c r="J4710" s="195">
        <v>1</v>
      </c>
      <c r="K4710" s="204" t="s">
        <v>224</v>
      </c>
      <c r="L4710" s="199">
        <v>1</v>
      </c>
      <c r="M4710" s="200">
        <v>42.3</v>
      </c>
      <c r="N4710" s="201">
        <v>17</v>
      </c>
    </row>
    <row r="4711" spans="1:14">
      <c r="A4711" s="194">
        <v>41296.894247685188</v>
      </c>
      <c r="B4711" s="195">
        <v>3044</v>
      </c>
      <c r="C4711" s="194"/>
      <c r="D4711" s="194"/>
      <c r="E4711" s="196" t="s">
        <v>1219</v>
      </c>
      <c r="F4711" s="195">
        <v>800</v>
      </c>
      <c r="G4711" s="197" t="s">
        <v>470</v>
      </c>
      <c r="H4711" s="197" t="s">
        <v>471</v>
      </c>
      <c r="J4711" s="195">
        <v>1</v>
      </c>
      <c r="K4711" s="204" t="s">
        <v>224</v>
      </c>
      <c r="L4711" s="199">
        <v>1</v>
      </c>
      <c r="M4711" s="200">
        <v>46.2</v>
      </c>
      <c r="N4711" s="201">
        <v>17</v>
      </c>
    </row>
    <row r="4712" spans="1:14">
      <c r="A4712" s="194">
        <v>41284.884780092594</v>
      </c>
      <c r="B4712" s="195">
        <v>3044</v>
      </c>
      <c r="C4712" s="194"/>
      <c r="D4712" s="194"/>
      <c r="E4712" s="196" t="s">
        <v>697</v>
      </c>
      <c r="F4712" s="195">
        <v>800</v>
      </c>
      <c r="G4712" s="197" t="s">
        <v>470</v>
      </c>
      <c r="H4712" s="197" t="s">
        <v>471</v>
      </c>
      <c r="J4712" s="195">
        <v>1</v>
      </c>
      <c r="K4712" s="204" t="s">
        <v>224</v>
      </c>
      <c r="L4712" s="199">
        <v>1</v>
      </c>
      <c r="M4712" s="200">
        <v>49.2</v>
      </c>
      <c r="N4712" s="201">
        <v>17</v>
      </c>
    </row>
    <row r="4713" spans="1:14">
      <c r="A4713" s="194">
        <v>41299.857881944445</v>
      </c>
      <c r="B4713" s="195">
        <v>3044</v>
      </c>
      <c r="C4713" s="194"/>
      <c r="D4713" s="194"/>
      <c r="E4713" s="196" t="s">
        <v>1241</v>
      </c>
      <c r="F4713" s="195">
        <v>800</v>
      </c>
      <c r="G4713" s="197" t="s">
        <v>470</v>
      </c>
      <c r="H4713" s="197" t="s">
        <v>471</v>
      </c>
      <c r="J4713" s="195">
        <v>1</v>
      </c>
      <c r="K4713" s="204" t="s">
        <v>224</v>
      </c>
      <c r="L4713" s="199">
        <v>1</v>
      </c>
      <c r="M4713" s="200">
        <v>50.9</v>
      </c>
      <c r="N4713" s="201">
        <v>17</v>
      </c>
    </row>
    <row r="4714" spans="1:14">
      <c r="A4714" s="194">
        <v>41287.715775462966</v>
      </c>
      <c r="B4714" s="195">
        <v>3044</v>
      </c>
      <c r="C4714" s="194"/>
      <c r="D4714" s="194"/>
      <c r="E4714" s="196" t="s">
        <v>814</v>
      </c>
      <c r="F4714" s="195">
        <v>800</v>
      </c>
      <c r="G4714" s="197" t="s">
        <v>470</v>
      </c>
      <c r="H4714" s="197" t="s">
        <v>471</v>
      </c>
      <c r="J4714" s="195">
        <v>1</v>
      </c>
      <c r="K4714" s="204" t="s">
        <v>224</v>
      </c>
      <c r="L4714" s="199">
        <v>1</v>
      </c>
      <c r="M4714" s="200">
        <v>0.4</v>
      </c>
      <c r="N4714" s="201">
        <v>18</v>
      </c>
    </row>
    <row r="4715" spans="1:14">
      <c r="A4715" s="194">
        <v>41290.544328703705</v>
      </c>
      <c r="B4715" s="195">
        <v>3044</v>
      </c>
      <c r="C4715" s="194"/>
      <c r="D4715" s="194"/>
      <c r="E4715" s="196" t="s">
        <v>1064</v>
      </c>
      <c r="F4715" s="195">
        <v>800</v>
      </c>
      <c r="G4715" s="197" t="s">
        <v>470</v>
      </c>
      <c r="H4715" s="197" t="s">
        <v>471</v>
      </c>
      <c r="J4715" s="195">
        <v>1</v>
      </c>
      <c r="K4715" s="204" t="s">
        <v>224</v>
      </c>
      <c r="L4715" s="199">
        <v>1</v>
      </c>
      <c r="M4715" s="200">
        <v>36.700000000000003</v>
      </c>
      <c r="N4715" s="201">
        <v>18</v>
      </c>
    </row>
    <row r="4716" spans="1:14">
      <c r="A4716" s="194">
        <v>41280.572974537034</v>
      </c>
      <c r="B4716" s="195">
        <v>3044</v>
      </c>
      <c r="C4716" s="194"/>
      <c r="D4716" s="194"/>
      <c r="E4716" s="196" t="s">
        <v>691</v>
      </c>
      <c r="F4716" s="195">
        <v>800</v>
      </c>
      <c r="G4716" s="197" t="s">
        <v>470</v>
      </c>
      <c r="H4716" s="197" t="s">
        <v>471</v>
      </c>
      <c r="J4716" s="195">
        <v>1</v>
      </c>
      <c r="K4716" s="204" t="s">
        <v>224</v>
      </c>
      <c r="L4716" s="199">
        <v>1</v>
      </c>
      <c r="M4716" s="200">
        <v>37.1</v>
      </c>
      <c r="N4716" s="201">
        <v>18</v>
      </c>
    </row>
    <row r="4717" spans="1:14">
      <c r="A4717" s="194">
        <v>41282.847256944442</v>
      </c>
      <c r="B4717" s="195">
        <v>3044</v>
      </c>
      <c r="C4717" s="194"/>
      <c r="D4717" s="194"/>
      <c r="E4717" s="196" t="s">
        <v>695</v>
      </c>
      <c r="F4717" s="195">
        <v>800</v>
      </c>
      <c r="G4717" s="197" t="s">
        <v>470</v>
      </c>
      <c r="H4717" s="197" t="s">
        <v>471</v>
      </c>
      <c r="J4717" s="195">
        <v>1</v>
      </c>
      <c r="K4717" s="204" t="s">
        <v>224</v>
      </c>
      <c r="L4717" s="199">
        <v>1</v>
      </c>
      <c r="M4717" s="200">
        <v>37.1</v>
      </c>
      <c r="N4717" s="201">
        <v>18</v>
      </c>
    </row>
    <row r="4718" spans="1:14">
      <c r="A4718" s="194">
        <v>41302.947025462963</v>
      </c>
      <c r="B4718" s="195">
        <v>3044</v>
      </c>
      <c r="C4718" s="194"/>
      <c r="D4718" s="194"/>
      <c r="E4718" s="196" t="s">
        <v>1306</v>
      </c>
      <c r="F4718" s="195">
        <v>800</v>
      </c>
      <c r="G4718" s="197" t="s">
        <v>470</v>
      </c>
      <c r="H4718" s="197" t="s">
        <v>471</v>
      </c>
      <c r="J4718" s="195">
        <v>1</v>
      </c>
      <c r="K4718" s="204" t="s">
        <v>224</v>
      </c>
      <c r="L4718" s="199">
        <v>1</v>
      </c>
      <c r="M4718" s="200">
        <v>37.299999999999997</v>
      </c>
      <c r="N4718" s="201">
        <v>18</v>
      </c>
    </row>
    <row r="4719" spans="1:14">
      <c r="A4719" s="194">
        <v>41285.868981481479</v>
      </c>
      <c r="B4719" s="195">
        <v>3044</v>
      </c>
      <c r="C4719" s="194"/>
      <c r="D4719" s="194"/>
      <c r="E4719" s="196" t="s">
        <v>794</v>
      </c>
      <c r="F4719" s="195">
        <v>800</v>
      </c>
      <c r="G4719" s="197" t="s">
        <v>470</v>
      </c>
      <c r="H4719" s="197" t="s">
        <v>471</v>
      </c>
      <c r="J4719" s="195">
        <v>1</v>
      </c>
      <c r="K4719" s="204" t="s">
        <v>224</v>
      </c>
      <c r="L4719" s="199">
        <v>1</v>
      </c>
      <c r="M4719" s="200">
        <v>38.1</v>
      </c>
      <c r="N4719" s="201">
        <v>18</v>
      </c>
    </row>
    <row r="4720" spans="1:14">
      <c r="A4720" s="194">
        <v>41300.696284722224</v>
      </c>
      <c r="B4720" s="195">
        <v>3044</v>
      </c>
      <c r="C4720" s="194"/>
      <c r="D4720" s="194"/>
      <c r="E4720" s="196" t="s">
        <v>1251</v>
      </c>
      <c r="F4720" s="195">
        <v>800</v>
      </c>
      <c r="G4720" s="197" t="s">
        <v>470</v>
      </c>
      <c r="H4720" s="197" t="s">
        <v>471</v>
      </c>
      <c r="J4720" s="195">
        <v>1</v>
      </c>
      <c r="K4720" s="204" t="s">
        <v>224</v>
      </c>
      <c r="L4720" s="199">
        <v>1</v>
      </c>
      <c r="M4720" s="200">
        <v>38.299999999999997</v>
      </c>
      <c r="N4720" s="201">
        <v>18</v>
      </c>
    </row>
    <row r="4721" spans="1:14">
      <c r="A4721" s="194">
        <v>41278.836898148147</v>
      </c>
      <c r="B4721" s="195">
        <v>3044</v>
      </c>
      <c r="C4721" s="194"/>
      <c r="D4721" s="194"/>
      <c r="E4721" s="196" t="s">
        <v>670</v>
      </c>
      <c r="F4721" s="195">
        <v>800</v>
      </c>
      <c r="G4721" s="197" t="s">
        <v>470</v>
      </c>
      <c r="H4721" s="197" t="s">
        <v>471</v>
      </c>
      <c r="J4721" s="195">
        <v>1</v>
      </c>
      <c r="K4721" s="204" t="s">
        <v>224</v>
      </c>
      <c r="L4721" s="199">
        <v>1</v>
      </c>
      <c r="M4721" s="200">
        <v>38.5</v>
      </c>
      <c r="N4721" s="201">
        <v>18</v>
      </c>
    </row>
    <row r="4722" spans="1:14">
      <c r="A4722" s="194">
        <v>41276.54519675926</v>
      </c>
      <c r="B4722" s="195">
        <v>3044</v>
      </c>
      <c r="C4722" s="194"/>
      <c r="D4722" s="194"/>
      <c r="E4722" s="196" t="s">
        <v>541</v>
      </c>
      <c r="F4722" s="195">
        <v>800</v>
      </c>
      <c r="G4722" s="197" t="s">
        <v>470</v>
      </c>
      <c r="H4722" s="197" t="s">
        <v>471</v>
      </c>
      <c r="J4722" s="195">
        <v>1</v>
      </c>
      <c r="K4722" s="204" t="s">
        <v>224</v>
      </c>
      <c r="L4722" s="199">
        <v>1</v>
      </c>
      <c r="M4722" s="200">
        <v>40.5</v>
      </c>
      <c r="N4722" s="201">
        <v>18</v>
      </c>
    </row>
    <row r="4723" spans="1:14">
      <c r="A4723" s="194">
        <v>41300.837800925925</v>
      </c>
      <c r="B4723" s="195">
        <v>3044</v>
      </c>
      <c r="C4723" s="194"/>
      <c r="D4723" s="194"/>
      <c r="E4723" s="196" t="s">
        <v>1252</v>
      </c>
      <c r="F4723" s="195">
        <v>800</v>
      </c>
      <c r="G4723" s="197" t="s">
        <v>470</v>
      </c>
      <c r="H4723" s="197" t="s">
        <v>471</v>
      </c>
      <c r="J4723" s="195">
        <v>1</v>
      </c>
      <c r="K4723" s="204" t="s">
        <v>224</v>
      </c>
      <c r="L4723" s="199">
        <v>1</v>
      </c>
      <c r="M4723" s="200">
        <v>40.6</v>
      </c>
      <c r="N4723" s="201">
        <v>18</v>
      </c>
    </row>
    <row r="4724" spans="1:14">
      <c r="A4724" s="194">
        <v>41275.435034722221</v>
      </c>
      <c r="B4724" s="195">
        <v>3044</v>
      </c>
      <c r="C4724" s="194"/>
      <c r="D4724" s="194"/>
      <c r="E4724" s="196" t="s">
        <v>474</v>
      </c>
      <c r="F4724" s="195">
        <v>800</v>
      </c>
      <c r="G4724" s="197" t="s">
        <v>470</v>
      </c>
      <c r="H4724" s="197" t="s">
        <v>471</v>
      </c>
      <c r="J4724" s="195">
        <v>1</v>
      </c>
      <c r="K4724" s="204" t="s">
        <v>224</v>
      </c>
      <c r="L4724" s="199">
        <v>1</v>
      </c>
      <c r="M4724" s="200">
        <v>41.4</v>
      </c>
      <c r="N4724" s="201">
        <v>18</v>
      </c>
    </row>
    <row r="4725" spans="1:14">
      <c r="A4725" s="194">
        <v>41287.974895833337</v>
      </c>
      <c r="B4725" s="195">
        <v>3044</v>
      </c>
      <c r="C4725" s="194"/>
      <c r="D4725" s="194"/>
      <c r="E4725" s="196" t="s">
        <v>817</v>
      </c>
      <c r="F4725" s="195">
        <v>800</v>
      </c>
      <c r="G4725" s="197" t="s">
        <v>470</v>
      </c>
      <c r="H4725" s="197" t="s">
        <v>471</v>
      </c>
      <c r="J4725" s="195">
        <v>1</v>
      </c>
      <c r="K4725" s="204" t="s">
        <v>224</v>
      </c>
      <c r="L4725" s="199">
        <v>1</v>
      </c>
      <c r="M4725" s="200">
        <v>41.9</v>
      </c>
      <c r="N4725" s="201">
        <v>18</v>
      </c>
    </row>
    <row r="4726" spans="1:14">
      <c r="A4726" s="194">
        <v>41294.928680555553</v>
      </c>
      <c r="B4726" s="195">
        <v>3044</v>
      </c>
      <c r="C4726" s="194"/>
      <c r="D4726" s="194"/>
      <c r="E4726" s="196" t="s">
        <v>1084</v>
      </c>
      <c r="F4726" s="195">
        <v>800</v>
      </c>
      <c r="G4726" s="197" t="s">
        <v>470</v>
      </c>
      <c r="H4726" s="197" t="s">
        <v>471</v>
      </c>
      <c r="J4726" s="195">
        <v>1</v>
      </c>
      <c r="K4726" s="204" t="s">
        <v>224</v>
      </c>
      <c r="L4726" s="199">
        <v>3</v>
      </c>
      <c r="M4726" s="200">
        <v>27.6</v>
      </c>
      <c r="N4726" s="201">
        <v>19</v>
      </c>
    </row>
    <row r="4727" spans="1:14">
      <c r="A4727" s="194">
        <v>41278.121631944443</v>
      </c>
      <c r="B4727" s="195">
        <v>3044</v>
      </c>
      <c r="C4727" s="194"/>
      <c r="D4727" s="194"/>
      <c r="E4727" s="196" t="s">
        <v>668</v>
      </c>
      <c r="F4727" s="195">
        <v>800</v>
      </c>
      <c r="G4727" s="197" t="s">
        <v>470</v>
      </c>
      <c r="H4727" s="197" t="s">
        <v>471</v>
      </c>
      <c r="J4727" s="195">
        <v>1</v>
      </c>
      <c r="K4727" s="204" t="s">
        <v>224</v>
      </c>
      <c r="L4727" s="199">
        <v>1</v>
      </c>
      <c r="M4727" s="200">
        <v>39</v>
      </c>
      <c r="N4727" s="201">
        <v>19</v>
      </c>
    </row>
    <row r="4728" spans="1:14">
      <c r="A4728" s="194">
        <v>41287.804780092592</v>
      </c>
      <c r="B4728" s="195">
        <v>3044</v>
      </c>
      <c r="C4728" s="194"/>
      <c r="D4728" s="194"/>
      <c r="E4728" s="196" t="s">
        <v>816</v>
      </c>
      <c r="F4728" s="195">
        <v>800</v>
      </c>
      <c r="G4728" s="197" t="s">
        <v>470</v>
      </c>
      <c r="H4728" s="197" t="s">
        <v>471</v>
      </c>
      <c r="J4728" s="195">
        <v>1</v>
      </c>
      <c r="K4728" s="204" t="s">
        <v>224</v>
      </c>
      <c r="L4728" s="199">
        <v>1</v>
      </c>
      <c r="M4728" s="200">
        <v>40.1</v>
      </c>
      <c r="N4728" s="201">
        <v>19</v>
      </c>
    </row>
    <row r="4729" spans="1:14">
      <c r="A4729" s="194">
        <v>41290.542627314811</v>
      </c>
      <c r="B4729" s="195">
        <v>3044</v>
      </c>
      <c r="C4729" s="194"/>
      <c r="D4729" s="194"/>
      <c r="E4729" s="196" t="s">
        <v>1063</v>
      </c>
      <c r="F4729" s="195">
        <v>800</v>
      </c>
      <c r="G4729" s="197" t="s">
        <v>470</v>
      </c>
      <c r="H4729" s="197" t="s">
        <v>471</v>
      </c>
      <c r="J4729" s="195">
        <v>1</v>
      </c>
      <c r="K4729" s="204" t="s">
        <v>224</v>
      </c>
      <c r="L4729" s="199">
        <v>1</v>
      </c>
      <c r="M4729" s="200">
        <v>41</v>
      </c>
      <c r="N4729" s="201">
        <v>19</v>
      </c>
    </row>
    <row r="4730" spans="1:14">
      <c r="A4730" s="194">
        <v>41275.16505787037</v>
      </c>
      <c r="B4730" s="195">
        <v>3044</v>
      </c>
      <c r="C4730" s="194"/>
      <c r="D4730" s="194"/>
      <c r="E4730" s="196" t="s">
        <v>473</v>
      </c>
      <c r="F4730" s="195">
        <v>800</v>
      </c>
      <c r="G4730" s="197" t="s">
        <v>470</v>
      </c>
      <c r="H4730" s="197" t="s">
        <v>471</v>
      </c>
      <c r="J4730" s="195">
        <v>1</v>
      </c>
      <c r="K4730" s="204" t="s">
        <v>224</v>
      </c>
      <c r="L4730" s="199">
        <v>1</v>
      </c>
      <c r="M4730" s="200">
        <v>42.9</v>
      </c>
      <c r="N4730" s="201">
        <v>19</v>
      </c>
    </row>
    <row r="4731" spans="1:14">
      <c r="A4731" s="194">
        <v>41303.092037037037</v>
      </c>
      <c r="B4731" s="195">
        <v>3044</v>
      </c>
      <c r="C4731" s="194"/>
      <c r="D4731" s="194"/>
      <c r="E4731" s="196" t="s">
        <v>1528</v>
      </c>
      <c r="F4731" s="195">
        <v>800</v>
      </c>
      <c r="G4731" s="197" t="s">
        <v>470</v>
      </c>
      <c r="H4731" s="197" t="s">
        <v>471</v>
      </c>
      <c r="J4731" s="195">
        <v>1</v>
      </c>
      <c r="K4731" s="204" t="s">
        <v>224</v>
      </c>
      <c r="L4731" s="199">
        <v>1</v>
      </c>
      <c r="M4731" s="200">
        <v>43.3</v>
      </c>
      <c r="N4731" s="201">
        <v>19</v>
      </c>
    </row>
    <row r="4732" spans="1:14">
      <c r="A4732" s="194">
        <v>41276.382800925923</v>
      </c>
      <c r="B4732" s="195">
        <v>3044</v>
      </c>
      <c r="C4732" s="194"/>
      <c r="D4732" s="194"/>
      <c r="E4732" s="196" t="s">
        <v>540</v>
      </c>
      <c r="F4732" s="195">
        <v>800</v>
      </c>
      <c r="G4732" s="197" t="s">
        <v>470</v>
      </c>
      <c r="H4732" s="197" t="s">
        <v>471</v>
      </c>
      <c r="J4732" s="195">
        <v>1</v>
      </c>
      <c r="K4732" s="204" t="s">
        <v>224</v>
      </c>
      <c r="L4732" s="199">
        <v>1</v>
      </c>
      <c r="M4732" s="200">
        <v>61.6</v>
      </c>
      <c r="N4732" s="201">
        <v>19</v>
      </c>
    </row>
    <row r="4733" spans="1:14">
      <c r="A4733" s="194">
        <v>41301.824791666666</v>
      </c>
      <c r="B4733" s="195">
        <v>3044</v>
      </c>
      <c r="C4733" s="194"/>
      <c r="D4733" s="194"/>
      <c r="E4733" s="196" t="s">
        <v>1260</v>
      </c>
      <c r="F4733" s="195">
        <v>800</v>
      </c>
      <c r="G4733" s="197" t="s">
        <v>470</v>
      </c>
      <c r="H4733" s="197" t="s">
        <v>471</v>
      </c>
      <c r="J4733" s="195">
        <v>1</v>
      </c>
      <c r="K4733" s="204" t="s">
        <v>224</v>
      </c>
      <c r="L4733" s="199">
        <v>1</v>
      </c>
      <c r="M4733" s="200">
        <v>37.299999999999997</v>
      </c>
      <c r="N4733" s="201">
        <v>20</v>
      </c>
    </row>
    <row r="4734" spans="1:14">
      <c r="A4734" s="194">
        <v>41279.100775462961</v>
      </c>
      <c r="B4734" s="195">
        <v>3044</v>
      </c>
      <c r="C4734" s="194"/>
      <c r="D4734" s="194"/>
      <c r="E4734" s="196" t="s">
        <v>687</v>
      </c>
      <c r="F4734" s="195">
        <v>800</v>
      </c>
      <c r="G4734" s="197" t="s">
        <v>470</v>
      </c>
      <c r="H4734" s="197" t="s">
        <v>471</v>
      </c>
      <c r="J4734" s="195">
        <v>1</v>
      </c>
      <c r="K4734" s="204" t="s">
        <v>224</v>
      </c>
      <c r="L4734" s="199">
        <v>1</v>
      </c>
      <c r="M4734" s="200">
        <v>39.200000000000003</v>
      </c>
      <c r="N4734" s="201">
        <v>20</v>
      </c>
    </row>
    <row r="4735" spans="1:14">
      <c r="A4735" s="194">
        <v>41295.532280092593</v>
      </c>
      <c r="B4735" s="195">
        <v>3044</v>
      </c>
      <c r="C4735" s="194"/>
      <c r="D4735" s="194"/>
      <c r="E4735" s="196" t="s">
        <v>1217</v>
      </c>
      <c r="F4735" s="195">
        <v>800</v>
      </c>
      <c r="G4735" s="197" t="s">
        <v>470</v>
      </c>
      <c r="H4735" s="197" t="s">
        <v>471</v>
      </c>
      <c r="J4735" s="195">
        <v>1</v>
      </c>
      <c r="K4735" s="204" t="s">
        <v>224</v>
      </c>
      <c r="L4735" s="199">
        <v>1</v>
      </c>
      <c r="M4735" s="200">
        <v>41.6</v>
      </c>
      <c r="N4735" s="201">
        <v>20</v>
      </c>
    </row>
    <row r="4736" spans="1:14">
      <c r="A4736" s="194">
        <v>41286.355162037034</v>
      </c>
      <c r="B4736" s="195">
        <v>3044</v>
      </c>
      <c r="C4736" s="194"/>
      <c r="D4736" s="194"/>
      <c r="E4736" s="196" t="s">
        <v>803</v>
      </c>
      <c r="F4736" s="195">
        <v>800</v>
      </c>
      <c r="G4736" s="197" t="s">
        <v>470</v>
      </c>
      <c r="H4736" s="197" t="s">
        <v>471</v>
      </c>
      <c r="J4736" s="195">
        <v>1</v>
      </c>
      <c r="K4736" s="204" t="s">
        <v>224</v>
      </c>
      <c r="L4736" s="199">
        <v>1</v>
      </c>
      <c r="M4736" s="200">
        <v>43.1</v>
      </c>
      <c r="N4736" s="201">
        <v>20</v>
      </c>
    </row>
    <row r="4737" spans="1:14">
      <c r="A4737" s="194">
        <v>41293.889074074075</v>
      </c>
      <c r="B4737" s="195">
        <v>3044</v>
      </c>
      <c r="C4737" s="194"/>
      <c r="D4737" s="194"/>
      <c r="E4737" s="196" t="s">
        <v>1077</v>
      </c>
      <c r="F4737" s="195">
        <v>800</v>
      </c>
      <c r="G4737" s="197" t="s">
        <v>470</v>
      </c>
      <c r="H4737" s="197" t="s">
        <v>471</v>
      </c>
      <c r="J4737" s="195">
        <v>1</v>
      </c>
      <c r="K4737" s="204" t="s">
        <v>224</v>
      </c>
      <c r="L4737" s="199">
        <v>1</v>
      </c>
      <c r="M4737" s="200">
        <v>43.9</v>
      </c>
      <c r="N4737" s="201">
        <v>20</v>
      </c>
    </row>
    <row r="4738" spans="1:14">
      <c r="A4738" s="194">
        <v>41293.797152777777</v>
      </c>
      <c r="B4738" s="195">
        <v>3044</v>
      </c>
      <c r="C4738" s="194"/>
      <c r="D4738" s="194"/>
      <c r="E4738" s="196" t="s">
        <v>1076</v>
      </c>
      <c r="F4738" s="195">
        <v>800</v>
      </c>
      <c r="G4738" s="197" t="s">
        <v>470</v>
      </c>
      <c r="H4738" s="197" t="s">
        <v>471</v>
      </c>
      <c r="J4738" s="195">
        <v>1</v>
      </c>
      <c r="K4738" s="204" t="s">
        <v>224</v>
      </c>
      <c r="L4738" s="199">
        <v>1</v>
      </c>
      <c r="M4738" s="200">
        <v>49.9</v>
      </c>
      <c r="N4738" s="201">
        <v>20</v>
      </c>
    </row>
    <row r="4739" spans="1:14">
      <c r="A4739" s="194">
        <v>41294.296932870369</v>
      </c>
      <c r="B4739" s="195">
        <v>3044</v>
      </c>
      <c r="C4739" s="194"/>
      <c r="D4739" s="194"/>
      <c r="E4739" s="196" t="s">
        <v>1082</v>
      </c>
      <c r="F4739" s="195">
        <v>800</v>
      </c>
      <c r="G4739" s="197" t="s">
        <v>470</v>
      </c>
      <c r="H4739" s="197" t="s">
        <v>471</v>
      </c>
      <c r="J4739" s="195">
        <v>1</v>
      </c>
      <c r="K4739" s="204" t="s">
        <v>224</v>
      </c>
      <c r="L4739" s="199">
        <v>1</v>
      </c>
      <c r="M4739" s="200">
        <v>35.4</v>
      </c>
      <c r="N4739" s="201">
        <v>21</v>
      </c>
    </row>
    <row r="4740" spans="1:14">
      <c r="A4740" s="194">
        <v>41291.836921296293</v>
      </c>
      <c r="B4740" s="195">
        <v>3044</v>
      </c>
      <c r="C4740" s="194"/>
      <c r="D4740" s="194"/>
      <c r="E4740" s="196" t="s">
        <v>996</v>
      </c>
      <c r="F4740" s="195">
        <v>800</v>
      </c>
      <c r="G4740" s="197" t="s">
        <v>470</v>
      </c>
      <c r="H4740" s="197" t="s">
        <v>471</v>
      </c>
      <c r="J4740" s="195">
        <v>1</v>
      </c>
      <c r="K4740" s="204" t="s">
        <v>224</v>
      </c>
      <c r="L4740" s="199">
        <v>1</v>
      </c>
      <c r="M4740" s="200">
        <v>43.2</v>
      </c>
      <c r="N4740" s="201">
        <v>21</v>
      </c>
    </row>
    <row r="4741" spans="1:14">
      <c r="A4741" s="194">
        <v>41286.511377314811</v>
      </c>
      <c r="B4741" s="195">
        <v>3044</v>
      </c>
      <c r="C4741" s="194"/>
      <c r="D4741" s="194"/>
      <c r="E4741" s="196" t="s">
        <v>804</v>
      </c>
      <c r="F4741" s="195">
        <v>800</v>
      </c>
      <c r="G4741" s="197" t="s">
        <v>470</v>
      </c>
      <c r="H4741" s="197" t="s">
        <v>471</v>
      </c>
      <c r="J4741" s="195">
        <v>1</v>
      </c>
      <c r="K4741" s="204" t="s">
        <v>224</v>
      </c>
      <c r="L4741" s="199">
        <v>1</v>
      </c>
      <c r="M4741" s="200">
        <v>43.4</v>
      </c>
      <c r="N4741" s="201">
        <v>21</v>
      </c>
    </row>
    <row r="4742" spans="1:14">
      <c r="A4742" s="194">
        <v>41292.848310185182</v>
      </c>
      <c r="B4742" s="195">
        <v>3044</v>
      </c>
      <c r="C4742" s="194"/>
      <c r="D4742" s="194"/>
      <c r="E4742" s="196" t="s">
        <v>1070</v>
      </c>
      <c r="F4742" s="195">
        <v>800</v>
      </c>
      <c r="G4742" s="197" t="s">
        <v>470</v>
      </c>
      <c r="H4742" s="197" t="s">
        <v>471</v>
      </c>
      <c r="J4742" s="195">
        <v>1</v>
      </c>
      <c r="K4742" s="204" t="s">
        <v>224</v>
      </c>
      <c r="L4742" s="199">
        <v>1</v>
      </c>
      <c r="M4742" s="200">
        <v>48.1</v>
      </c>
      <c r="N4742" s="201">
        <v>21</v>
      </c>
    </row>
    <row r="4743" spans="1:14">
      <c r="A4743" s="194">
        <v>41287.758877314816</v>
      </c>
      <c r="B4743" s="195">
        <v>3044</v>
      </c>
      <c r="C4743" s="194"/>
      <c r="D4743" s="194"/>
      <c r="E4743" s="196" t="s">
        <v>815</v>
      </c>
      <c r="F4743" s="195">
        <v>800</v>
      </c>
      <c r="G4743" s="197" t="s">
        <v>470</v>
      </c>
      <c r="H4743" s="197" t="s">
        <v>471</v>
      </c>
      <c r="J4743" s="195">
        <v>1</v>
      </c>
      <c r="K4743" s="204" t="s">
        <v>224</v>
      </c>
      <c r="L4743" s="199">
        <v>1</v>
      </c>
      <c r="M4743" s="200">
        <v>48.4</v>
      </c>
      <c r="N4743" s="201">
        <v>21</v>
      </c>
    </row>
    <row r="4744" spans="1:14">
      <c r="A4744" s="194">
        <v>41286.244849537034</v>
      </c>
      <c r="B4744" s="195">
        <v>3044</v>
      </c>
      <c r="C4744" s="194"/>
      <c r="D4744" s="194"/>
      <c r="E4744" s="196" t="s">
        <v>802</v>
      </c>
      <c r="F4744" s="195">
        <v>800</v>
      </c>
      <c r="G4744" s="197" t="s">
        <v>470</v>
      </c>
      <c r="H4744" s="197" t="s">
        <v>471</v>
      </c>
      <c r="J4744" s="195">
        <v>1</v>
      </c>
      <c r="K4744" s="204" t="s">
        <v>224</v>
      </c>
      <c r="L4744" s="199">
        <v>1</v>
      </c>
      <c r="M4744" s="200">
        <v>35.9</v>
      </c>
      <c r="N4744" s="201">
        <v>22</v>
      </c>
    </row>
    <row r="4745" spans="1:14">
      <c r="A4745" s="194">
        <v>41279.506354166668</v>
      </c>
      <c r="B4745" s="195">
        <v>3044</v>
      </c>
      <c r="C4745" s="194"/>
      <c r="D4745" s="194"/>
      <c r="E4745" s="196" t="s">
        <v>689</v>
      </c>
      <c r="F4745" s="195">
        <v>800</v>
      </c>
      <c r="G4745" s="197" t="s">
        <v>470</v>
      </c>
      <c r="H4745" s="197" t="s">
        <v>471</v>
      </c>
      <c r="J4745" s="195">
        <v>1</v>
      </c>
      <c r="K4745" s="204" t="s">
        <v>224</v>
      </c>
      <c r="L4745" s="199">
        <v>1</v>
      </c>
      <c r="M4745" s="200">
        <v>53.1</v>
      </c>
      <c r="N4745" s="201">
        <v>22</v>
      </c>
    </row>
    <row r="4746" spans="1:14">
      <c r="A4746" s="194">
        <v>41291.520219907405</v>
      </c>
      <c r="B4746" s="195">
        <v>3044</v>
      </c>
      <c r="C4746" s="194"/>
      <c r="D4746" s="194"/>
      <c r="E4746" s="196" t="s">
        <v>993</v>
      </c>
      <c r="F4746" s="195">
        <v>800</v>
      </c>
      <c r="G4746" s="197" t="s">
        <v>470</v>
      </c>
      <c r="H4746" s="197" t="s">
        <v>471</v>
      </c>
      <c r="J4746" s="195">
        <v>1</v>
      </c>
      <c r="K4746" s="204" t="s">
        <v>224</v>
      </c>
      <c r="L4746" s="199">
        <v>1</v>
      </c>
      <c r="M4746" s="200">
        <v>53.6</v>
      </c>
      <c r="N4746" s="201">
        <v>22</v>
      </c>
    </row>
    <row r="4747" spans="1:14">
      <c r="A4747" s="194">
        <v>41299.077430555553</v>
      </c>
      <c r="B4747" s="195">
        <v>3044</v>
      </c>
      <c r="C4747" s="194"/>
      <c r="D4747" s="194"/>
      <c r="E4747" s="196" t="s">
        <v>1240</v>
      </c>
      <c r="F4747" s="195">
        <v>800</v>
      </c>
      <c r="G4747" s="197" t="s">
        <v>470</v>
      </c>
      <c r="H4747" s="197" t="s">
        <v>471</v>
      </c>
      <c r="J4747" s="195">
        <v>1</v>
      </c>
      <c r="K4747" s="204" t="s">
        <v>224</v>
      </c>
      <c r="L4747" s="199">
        <v>1</v>
      </c>
      <c r="M4747" s="200">
        <v>50</v>
      </c>
      <c r="N4747" s="201">
        <v>23</v>
      </c>
    </row>
    <row r="4748" spans="1:14">
      <c r="A4748" s="194">
        <v>41291.511504629627</v>
      </c>
      <c r="B4748" s="195">
        <v>3044</v>
      </c>
      <c r="C4748" s="194"/>
      <c r="D4748" s="194"/>
      <c r="E4748" s="196" t="s">
        <v>986</v>
      </c>
      <c r="F4748" s="195">
        <v>800</v>
      </c>
      <c r="G4748" s="197" t="s">
        <v>470</v>
      </c>
      <c r="H4748" s="197" t="s">
        <v>471</v>
      </c>
      <c r="J4748" s="195">
        <v>1</v>
      </c>
      <c r="K4748" s="204" t="s">
        <v>224</v>
      </c>
      <c r="L4748" s="199">
        <v>1</v>
      </c>
      <c r="M4748" s="200">
        <v>51</v>
      </c>
      <c r="N4748" s="201">
        <v>23</v>
      </c>
    </row>
    <row r="4749" spans="1:14">
      <c r="A4749" s="194">
        <v>41293.999293981484</v>
      </c>
      <c r="B4749" s="195">
        <v>3044</v>
      </c>
      <c r="C4749" s="194"/>
      <c r="D4749" s="194"/>
      <c r="E4749" s="196" t="s">
        <v>1078</v>
      </c>
      <c r="F4749" s="195">
        <v>800</v>
      </c>
      <c r="G4749" s="197" t="s">
        <v>470</v>
      </c>
      <c r="H4749" s="197" t="s">
        <v>471</v>
      </c>
      <c r="J4749" s="195">
        <v>1</v>
      </c>
      <c r="K4749" s="204" t="s">
        <v>224</v>
      </c>
      <c r="L4749" s="199">
        <v>1</v>
      </c>
      <c r="M4749" s="200">
        <v>40.5</v>
      </c>
      <c r="N4749" s="201">
        <v>25</v>
      </c>
    </row>
    <row r="4750" spans="1:14">
      <c r="A4750" s="194">
        <v>41294.117337962962</v>
      </c>
      <c r="B4750" s="195">
        <v>3044</v>
      </c>
      <c r="C4750" s="194"/>
      <c r="D4750" s="194"/>
      <c r="E4750" s="196" t="s">
        <v>1081</v>
      </c>
      <c r="F4750" s="195">
        <v>800</v>
      </c>
      <c r="G4750" s="197" t="s">
        <v>470</v>
      </c>
      <c r="H4750" s="197" t="s">
        <v>471</v>
      </c>
      <c r="J4750" s="195">
        <v>1</v>
      </c>
      <c r="K4750" s="204" t="s">
        <v>224</v>
      </c>
      <c r="L4750" s="199">
        <v>1</v>
      </c>
      <c r="M4750" s="200">
        <v>38.299999999999997</v>
      </c>
      <c r="N4750" s="201">
        <v>27</v>
      </c>
    </row>
    <row r="4751" spans="1:14">
      <c r="A4751" s="194">
        <v>41297.906273148146</v>
      </c>
      <c r="B4751" s="195">
        <v>3044</v>
      </c>
      <c r="C4751" s="194"/>
      <c r="D4751" s="194"/>
      <c r="E4751" s="196" t="s">
        <v>1225</v>
      </c>
      <c r="F4751" s="195">
        <v>800</v>
      </c>
      <c r="G4751" s="197" t="s">
        <v>470</v>
      </c>
      <c r="H4751" s="197" t="s">
        <v>471</v>
      </c>
      <c r="J4751" s="195">
        <v>1</v>
      </c>
      <c r="K4751" s="204" t="s">
        <v>224</v>
      </c>
      <c r="L4751" s="199">
        <v>1</v>
      </c>
      <c r="M4751" s="200">
        <v>36.5</v>
      </c>
      <c r="N4751" s="201">
        <v>35</v>
      </c>
    </row>
    <row r="4752" spans="1:14">
      <c r="A4752" s="194">
        <v>41294.738807870373</v>
      </c>
      <c r="B4752" s="195">
        <v>3044</v>
      </c>
      <c r="C4752" s="194"/>
      <c r="D4752" s="194"/>
      <c r="E4752" s="198"/>
      <c r="G4752" s="202"/>
      <c r="J4752" s="195">
        <v>2</v>
      </c>
      <c r="K4752" s="204" t="s">
        <v>32</v>
      </c>
      <c r="L4752" s="199">
        <v>1</v>
      </c>
      <c r="M4752" s="200">
        <v>46.7</v>
      </c>
      <c r="N4752" s="201">
        <v>15</v>
      </c>
    </row>
    <row r="4753" spans="1:14">
      <c r="A4753" s="194">
        <v>41302.117349537039</v>
      </c>
      <c r="B4753" s="195">
        <v>3044</v>
      </c>
      <c r="C4753" s="194"/>
      <c r="D4753" s="194"/>
      <c r="E4753" s="198"/>
      <c r="G4753" s="202"/>
      <c r="J4753" s="195">
        <v>2</v>
      </c>
      <c r="K4753" s="204" t="s">
        <v>32</v>
      </c>
      <c r="L4753" s="199">
        <v>1</v>
      </c>
      <c r="M4753" s="200">
        <v>40.1</v>
      </c>
      <c r="N4753" s="201">
        <v>16</v>
      </c>
    </row>
    <row r="4754" spans="1:14">
      <c r="A4754" s="194">
        <v>41283.596516203703</v>
      </c>
      <c r="B4754" s="195">
        <v>3044</v>
      </c>
      <c r="C4754" s="194"/>
      <c r="D4754" s="194"/>
      <c r="E4754" s="198"/>
      <c r="G4754" s="202"/>
      <c r="J4754" s="195">
        <v>2</v>
      </c>
      <c r="K4754" s="204" t="s">
        <v>32</v>
      </c>
      <c r="L4754" s="199">
        <v>1</v>
      </c>
      <c r="M4754" s="200">
        <v>47.3</v>
      </c>
      <c r="N4754" s="201">
        <v>16</v>
      </c>
    </row>
    <row r="4755" spans="1:14">
      <c r="A4755" s="194">
        <v>41285.241400462961</v>
      </c>
      <c r="B4755" s="195">
        <v>3044</v>
      </c>
      <c r="C4755" s="194"/>
      <c r="D4755" s="194"/>
      <c r="E4755" s="198"/>
      <c r="G4755" s="202"/>
      <c r="J4755" s="195">
        <v>2</v>
      </c>
      <c r="K4755" s="204" t="s">
        <v>32</v>
      </c>
      <c r="L4755" s="199">
        <v>1</v>
      </c>
      <c r="M4755" s="200">
        <v>38.1</v>
      </c>
      <c r="N4755" s="201">
        <v>18</v>
      </c>
    </row>
    <row r="4756" spans="1:14">
      <c r="A4756" s="194">
        <v>41295.889085648145</v>
      </c>
      <c r="B4756" s="195">
        <v>3044</v>
      </c>
      <c r="C4756" s="194"/>
      <c r="D4756" s="194"/>
      <c r="E4756" s="198"/>
      <c r="G4756" s="202"/>
      <c r="J4756" s="195">
        <v>2</v>
      </c>
      <c r="K4756" s="204" t="s">
        <v>32</v>
      </c>
      <c r="L4756" s="199">
        <v>1</v>
      </c>
      <c r="M4756" s="200">
        <v>45.3</v>
      </c>
      <c r="N4756" s="201">
        <v>19</v>
      </c>
    </row>
    <row r="4757" spans="1:14">
      <c r="A4757" s="194">
        <v>41287.040914351855</v>
      </c>
      <c r="B4757" s="195">
        <v>3044</v>
      </c>
      <c r="C4757" s="194"/>
      <c r="D4757" s="194"/>
      <c r="E4757" s="198"/>
      <c r="G4757" s="202"/>
      <c r="J4757" s="195">
        <v>2</v>
      </c>
      <c r="K4757" s="204" t="s">
        <v>32</v>
      </c>
      <c r="L4757" s="199">
        <v>1</v>
      </c>
      <c r="M4757" s="200">
        <v>39.5</v>
      </c>
      <c r="N4757" s="201">
        <v>20</v>
      </c>
    </row>
    <row r="4758" spans="1:14">
      <c r="A4758" s="194">
        <v>41304.668611111112</v>
      </c>
      <c r="B4758" s="195">
        <v>3044</v>
      </c>
      <c r="C4758" s="194"/>
      <c r="D4758" s="194"/>
      <c r="E4758" s="198"/>
      <c r="G4758" s="202"/>
      <c r="J4758" s="195">
        <v>2</v>
      </c>
      <c r="K4758" s="204" t="s">
        <v>32</v>
      </c>
      <c r="L4758" s="199">
        <v>1</v>
      </c>
      <c r="M4758" s="200">
        <v>56.6</v>
      </c>
      <c r="N4758" s="201">
        <v>25</v>
      </c>
    </row>
    <row r="4759" spans="1:14">
      <c r="A4759" s="194">
        <v>41298.485358796293</v>
      </c>
      <c r="B4759" s="195">
        <v>3044</v>
      </c>
      <c r="C4759" s="194"/>
      <c r="D4759" s="194"/>
      <c r="E4759" s="198"/>
      <c r="G4759" s="202"/>
      <c r="J4759" s="195">
        <v>3</v>
      </c>
      <c r="K4759" s="204" t="s">
        <v>1595</v>
      </c>
      <c r="L4759" s="199">
        <v>1</v>
      </c>
      <c r="M4759" s="200">
        <v>41.3</v>
      </c>
      <c r="N4759" s="201">
        <v>15</v>
      </c>
    </row>
    <row r="4760" spans="1:14">
      <c r="A4760" s="194">
        <v>41287.552175925928</v>
      </c>
      <c r="B4760" s="195">
        <v>3044</v>
      </c>
      <c r="C4760" s="194"/>
      <c r="D4760" s="194"/>
      <c r="E4760" s="198"/>
      <c r="G4760" s="202"/>
      <c r="J4760" s="195">
        <v>3</v>
      </c>
      <c r="K4760" s="204" t="s">
        <v>1595</v>
      </c>
      <c r="L4760" s="199">
        <v>1</v>
      </c>
      <c r="M4760" s="200">
        <v>43</v>
      </c>
      <c r="N4760" s="201">
        <v>15</v>
      </c>
    </row>
    <row r="4761" spans="1:14">
      <c r="A4761" s="194">
        <v>41275.533993055556</v>
      </c>
      <c r="B4761" s="195">
        <v>3044</v>
      </c>
      <c r="C4761" s="194"/>
      <c r="D4761" s="194"/>
      <c r="E4761" s="198"/>
      <c r="G4761" s="202"/>
      <c r="J4761" s="195">
        <v>3</v>
      </c>
      <c r="K4761" s="204" t="s">
        <v>1595</v>
      </c>
      <c r="L4761" s="199">
        <v>1</v>
      </c>
      <c r="M4761" s="200">
        <v>44.9</v>
      </c>
      <c r="N4761" s="201">
        <v>15</v>
      </c>
    </row>
    <row r="4762" spans="1:14">
      <c r="A4762" s="194">
        <v>41296.947106481479</v>
      </c>
      <c r="B4762" s="195">
        <v>3044</v>
      </c>
      <c r="C4762" s="194"/>
      <c r="D4762" s="194"/>
      <c r="E4762" s="198"/>
      <c r="G4762" s="202"/>
      <c r="J4762" s="195">
        <v>3</v>
      </c>
      <c r="K4762" s="204" t="s">
        <v>1595</v>
      </c>
      <c r="L4762" s="199">
        <v>1</v>
      </c>
      <c r="M4762" s="200">
        <v>40.4</v>
      </c>
      <c r="N4762" s="201">
        <v>17</v>
      </c>
    </row>
    <row r="4763" spans="1:14">
      <c r="A4763" s="194">
        <v>41300.903738425928</v>
      </c>
      <c r="B4763" s="195">
        <v>3044</v>
      </c>
      <c r="C4763" s="194"/>
      <c r="D4763" s="194"/>
      <c r="E4763" s="198"/>
      <c r="G4763" s="202"/>
      <c r="J4763" s="195">
        <v>3</v>
      </c>
      <c r="K4763" s="204" t="s">
        <v>1595</v>
      </c>
      <c r="L4763" s="199">
        <v>1</v>
      </c>
      <c r="M4763" s="200">
        <v>38.1</v>
      </c>
      <c r="N4763" s="201">
        <v>18</v>
      </c>
    </row>
    <row r="4764" spans="1:14">
      <c r="A4764" s="194">
        <v>41283.4922337963</v>
      </c>
      <c r="B4764" s="195">
        <v>3044</v>
      </c>
      <c r="C4764" s="194"/>
      <c r="D4764" s="194"/>
      <c r="E4764" s="198"/>
      <c r="G4764" s="202"/>
      <c r="J4764" s="195">
        <v>3</v>
      </c>
      <c r="K4764" s="204" t="s">
        <v>1595</v>
      </c>
      <c r="L4764" s="199">
        <v>1</v>
      </c>
      <c r="M4764" s="200">
        <v>38.1</v>
      </c>
      <c r="N4764" s="201">
        <v>18</v>
      </c>
    </row>
    <row r="4765" spans="1:14">
      <c r="A4765" s="194">
        <v>41304.031354166669</v>
      </c>
      <c r="B4765" s="195">
        <v>3044</v>
      </c>
      <c r="C4765" s="194"/>
      <c r="D4765" s="194"/>
      <c r="E4765" s="198"/>
      <c r="G4765" s="202"/>
      <c r="J4765" s="195">
        <v>3</v>
      </c>
      <c r="K4765" s="204" t="s">
        <v>1595</v>
      </c>
      <c r="L4765" s="199">
        <v>1</v>
      </c>
      <c r="M4765" s="200">
        <v>38</v>
      </c>
      <c r="N4765" s="201">
        <v>19</v>
      </c>
    </row>
    <row r="4766" spans="1:14">
      <c r="A4766" s="194">
        <v>41278.949826388889</v>
      </c>
      <c r="B4766" s="195">
        <v>3044</v>
      </c>
      <c r="C4766" s="194"/>
      <c r="D4766" s="194"/>
      <c r="E4766" s="198"/>
      <c r="G4766" s="202"/>
      <c r="J4766" s="195">
        <v>3</v>
      </c>
      <c r="K4766" s="204" t="s">
        <v>1595</v>
      </c>
      <c r="L4766" s="199">
        <v>1</v>
      </c>
      <c r="M4766" s="200">
        <v>46.4</v>
      </c>
      <c r="N4766" s="201">
        <v>19</v>
      </c>
    </row>
    <row r="4767" spans="1:14">
      <c r="A4767" s="194">
        <v>41287.801354166666</v>
      </c>
      <c r="B4767" s="195">
        <v>3044</v>
      </c>
      <c r="C4767" s="194"/>
      <c r="D4767" s="194"/>
      <c r="E4767" s="198"/>
      <c r="G4767" s="202"/>
      <c r="J4767" s="195">
        <v>3</v>
      </c>
      <c r="K4767" s="204" t="s">
        <v>1595</v>
      </c>
      <c r="L4767" s="199">
        <v>1</v>
      </c>
      <c r="M4767" s="200">
        <v>44</v>
      </c>
      <c r="N4767" s="201">
        <v>20</v>
      </c>
    </row>
    <row r="4768" spans="1:14">
      <c r="A4768" s="194">
        <v>41297.280740740738</v>
      </c>
      <c r="B4768" s="195">
        <v>3044</v>
      </c>
      <c r="C4768" s="194"/>
      <c r="D4768" s="194"/>
      <c r="E4768" s="198"/>
      <c r="G4768" s="202"/>
      <c r="J4768" s="195">
        <v>3</v>
      </c>
      <c r="K4768" s="204" t="s">
        <v>1595</v>
      </c>
      <c r="L4768" s="199">
        <v>1</v>
      </c>
      <c r="M4768" s="200">
        <v>67.900000000000006</v>
      </c>
      <c r="N4768" s="201">
        <v>21</v>
      </c>
    </row>
    <row r="4769" spans="1:14">
      <c r="A4769" s="194">
        <v>41299.749189814815</v>
      </c>
      <c r="B4769" s="195">
        <v>3044</v>
      </c>
      <c r="C4769" s="194"/>
      <c r="D4769" s="194"/>
      <c r="E4769" s="198"/>
      <c r="G4769" s="202"/>
      <c r="J4769" s="195">
        <v>3</v>
      </c>
      <c r="K4769" s="204" t="s">
        <v>1595</v>
      </c>
      <c r="L4769" s="199">
        <v>2</v>
      </c>
      <c r="M4769" s="200">
        <v>0.3</v>
      </c>
      <c r="N4769" s="201">
        <v>33</v>
      </c>
    </row>
    <row r="4770" spans="1:14">
      <c r="A4770" s="194">
        <v>41279.019189814811</v>
      </c>
      <c r="B4770" s="195">
        <v>3044</v>
      </c>
      <c r="C4770" s="194"/>
      <c r="D4770" s="194"/>
      <c r="E4770" s="196" t="s">
        <v>1836</v>
      </c>
      <c r="G4770" s="202"/>
      <c r="J4770" s="195">
        <v>11</v>
      </c>
      <c r="K4770" s="204" t="s">
        <v>1</v>
      </c>
      <c r="L4770" s="199">
        <v>1</v>
      </c>
      <c r="M4770" s="200">
        <v>39.200000000000003</v>
      </c>
      <c r="N4770" s="201">
        <v>20</v>
      </c>
    </row>
    <row r="4771" spans="1:14">
      <c r="A4771" s="194">
        <v>41279.65384259259</v>
      </c>
      <c r="B4771" s="195">
        <v>3044</v>
      </c>
      <c r="C4771" s="194"/>
      <c r="D4771" s="194"/>
      <c r="E4771" s="196" t="s">
        <v>2075</v>
      </c>
      <c r="G4771" s="202"/>
      <c r="J4771" s="195">
        <v>11</v>
      </c>
      <c r="K4771" s="204" t="s">
        <v>1</v>
      </c>
      <c r="L4771" s="199">
        <v>1</v>
      </c>
      <c r="M4771" s="200">
        <v>47.9</v>
      </c>
      <c r="N4771" s="201">
        <v>22</v>
      </c>
    </row>
    <row r="4772" spans="1:14">
      <c r="A4772" s="194">
        <v>41276.559016203704</v>
      </c>
      <c r="B4772" s="195">
        <v>3044</v>
      </c>
      <c r="C4772" s="194"/>
      <c r="D4772" s="194"/>
      <c r="E4772" s="198"/>
      <c r="G4772" s="202"/>
      <c r="J4772" s="195">
        <v>17</v>
      </c>
      <c r="K4772" s="204" t="s">
        <v>11</v>
      </c>
      <c r="L4772" s="199">
        <v>1</v>
      </c>
      <c r="M4772" s="200">
        <v>34.700000000000003</v>
      </c>
      <c r="N4772" s="201">
        <v>15</v>
      </c>
    </row>
    <row r="4773" spans="1:14">
      <c r="A4773" s="194">
        <v>41292.026030092595</v>
      </c>
      <c r="B4773" s="195">
        <v>3044</v>
      </c>
      <c r="C4773" s="194"/>
      <c r="D4773" s="194"/>
      <c r="E4773" s="198"/>
      <c r="G4773" s="202"/>
      <c r="J4773" s="195">
        <v>17</v>
      </c>
      <c r="K4773" s="204" t="s">
        <v>11</v>
      </c>
      <c r="L4773" s="199">
        <v>1</v>
      </c>
      <c r="M4773" s="200">
        <v>35.9</v>
      </c>
      <c r="N4773" s="201">
        <v>15</v>
      </c>
    </row>
    <row r="4774" spans="1:14">
      <c r="A4774" s="194">
        <v>41278.426296296297</v>
      </c>
      <c r="B4774" s="195">
        <v>3044</v>
      </c>
      <c r="C4774" s="194"/>
      <c r="D4774" s="194"/>
      <c r="E4774" s="198"/>
      <c r="G4774" s="202"/>
      <c r="J4774" s="195">
        <v>17</v>
      </c>
      <c r="K4774" s="204" t="s">
        <v>11</v>
      </c>
      <c r="L4774" s="199">
        <v>1</v>
      </c>
      <c r="M4774" s="200">
        <v>36.299999999999997</v>
      </c>
      <c r="N4774" s="201">
        <v>15</v>
      </c>
    </row>
    <row r="4775" spans="1:14">
      <c r="A4775" s="194">
        <v>41290.185833333337</v>
      </c>
      <c r="B4775" s="195">
        <v>3044</v>
      </c>
      <c r="C4775" s="194"/>
      <c r="D4775" s="194"/>
      <c r="E4775" s="198"/>
      <c r="G4775" s="202"/>
      <c r="J4775" s="195">
        <v>17</v>
      </c>
      <c r="K4775" s="204" t="s">
        <v>11</v>
      </c>
      <c r="L4775" s="199">
        <v>1</v>
      </c>
      <c r="M4775" s="200">
        <v>37.4</v>
      </c>
      <c r="N4775" s="201">
        <v>15</v>
      </c>
    </row>
    <row r="4776" spans="1:14">
      <c r="A4776" s="194">
        <v>41286.747488425928</v>
      </c>
      <c r="B4776" s="195">
        <v>3044</v>
      </c>
      <c r="C4776" s="194"/>
      <c r="D4776" s="194"/>
      <c r="E4776" s="198"/>
      <c r="G4776" s="202"/>
      <c r="J4776" s="195">
        <v>17</v>
      </c>
      <c r="K4776" s="204" t="s">
        <v>11</v>
      </c>
      <c r="L4776" s="199">
        <v>1</v>
      </c>
      <c r="M4776" s="200">
        <v>37.5</v>
      </c>
      <c r="N4776" s="201">
        <v>15</v>
      </c>
    </row>
    <row r="4777" spans="1:14">
      <c r="A4777" s="194">
        <v>41293.906365740739</v>
      </c>
      <c r="B4777" s="195">
        <v>3044</v>
      </c>
      <c r="C4777" s="194"/>
      <c r="D4777" s="194"/>
      <c r="E4777" s="198"/>
      <c r="G4777" s="202"/>
      <c r="J4777" s="195">
        <v>17</v>
      </c>
      <c r="K4777" s="204" t="s">
        <v>11</v>
      </c>
      <c r="L4777" s="199">
        <v>1</v>
      </c>
      <c r="M4777" s="200">
        <v>37.799999999999997</v>
      </c>
      <c r="N4777" s="201">
        <v>15</v>
      </c>
    </row>
    <row r="4778" spans="1:14">
      <c r="A4778" s="194">
        <v>41279.606851851851</v>
      </c>
      <c r="B4778" s="195">
        <v>3044</v>
      </c>
      <c r="C4778" s="194"/>
      <c r="D4778" s="194"/>
      <c r="E4778" s="198"/>
      <c r="G4778" s="202"/>
      <c r="J4778" s="195">
        <v>17</v>
      </c>
      <c r="K4778" s="204" t="s">
        <v>11</v>
      </c>
      <c r="L4778" s="199">
        <v>1</v>
      </c>
      <c r="M4778" s="200">
        <v>38</v>
      </c>
      <c r="N4778" s="201">
        <v>15</v>
      </c>
    </row>
    <row r="4779" spans="1:14">
      <c r="A4779" s="194">
        <v>41278.099050925928</v>
      </c>
      <c r="B4779" s="195">
        <v>3044</v>
      </c>
      <c r="C4779" s="194"/>
      <c r="D4779" s="194"/>
      <c r="E4779" s="198"/>
      <c r="G4779" s="202"/>
      <c r="J4779" s="195">
        <v>17</v>
      </c>
      <c r="K4779" s="204" t="s">
        <v>11</v>
      </c>
      <c r="L4779" s="199">
        <v>1</v>
      </c>
      <c r="M4779" s="200">
        <v>38.200000000000003</v>
      </c>
      <c r="N4779" s="201">
        <v>15</v>
      </c>
    </row>
    <row r="4780" spans="1:14">
      <c r="A4780" s="194">
        <v>41305.513124999998</v>
      </c>
      <c r="B4780" s="195">
        <v>3044</v>
      </c>
      <c r="C4780" s="194"/>
      <c r="D4780" s="194"/>
      <c r="E4780" s="198"/>
      <c r="G4780" s="202"/>
      <c r="J4780" s="195">
        <v>17</v>
      </c>
      <c r="K4780" s="204" t="s">
        <v>11</v>
      </c>
      <c r="L4780" s="199">
        <v>1</v>
      </c>
      <c r="M4780" s="200">
        <v>39.1</v>
      </c>
      <c r="N4780" s="201">
        <v>15</v>
      </c>
    </row>
    <row r="4781" spans="1:14">
      <c r="A4781" s="194">
        <v>41282.007789351854</v>
      </c>
      <c r="B4781" s="195">
        <v>3044</v>
      </c>
      <c r="C4781" s="194"/>
      <c r="D4781" s="194"/>
      <c r="E4781" s="198"/>
      <c r="G4781" s="202"/>
      <c r="J4781" s="195">
        <v>17</v>
      </c>
      <c r="K4781" s="204" t="s">
        <v>11</v>
      </c>
      <c r="L4781" s="199">
        <v>1</v>
      </c>
      <c r="M4781" s="200">
        <v>40.1</v>
      </c>
      <c r="N4781" s="201">
        <v>15</v>
      </c>
    </row>
    <row r="4782" spans="1:14">
      <c r="A4782" s="194">
        <v>41301.104247685187</v>
      </c>
      <c r="B4782" s="195">
        <v>3044</v>
      </c>
      <c r="C4782" s="194"/>
      <c r="D4782" s="194"/>
      <c r="E4782" s="198"/>
      <c r="G4782" s="202"/>
      <c r="J4782" s="195">
        <v>17</v>
      </c>
      <c r="K4782" s="204" t="s">
        <v>11</v>
      </c>
      <c r="L4782" s="199">
        <v>1</v>
      </c>
      <c r="M4782" s="200">
        <v>40.299999999999997</v>
      </c>
      <c r="N4782" s="201">
        <v>15</v>
      </c>
    </row>
    <row r="4783" spans="1:14">
      <c r="A4783" s="194">
        <v>41293.839583333334</v>
      </c>
      <c r="B4783" s="195">
        <v>3044</v>
      </c>
      <c r="C4783" s="194"/>
      <c r="D4783" s="194"/>
      <c r="E4783" s="198"/>
      <c r="G4783" s="202"/>
      <c r="J4783" s="195">
        <v>17</v>
      </c>
      <c r="K4783" s="204" t="s">
        <v>11</v>
      </c>
      <c r="L4783" s="199">
        <v>1</v>
      </c>
      <c r="M4783" s="200">
        <v>40.9</v>
      </c>
      <c r="N4783" s="201">
        <v>15</v>
      </c>
    </row>
    <row r="4784" spans="1:14">
      <c r="A4784" s="194">
        <v>41292.549583333333</v>
      </c>
      <c r="B4784" s="195">
        <v>3044</v>
      </c>
      <c r="C4784" s="194"/>
      <c r="D4784" s="194"/>
      <c r="E4784" s="198"/>
      <c r="G4784" s="202"/>
      <c r="J4784" s="195">
        <v>17</v>
      </c>
      <c r="K4784" s="204" t="s">
        <v>11</v>
      </c>
      <c r="L4784" s="199">
        <v>1</v>
      </c>
      <c r="M4784" s="200">
        <v>41.6</v>
      </c>
      <c r="N4784" s="201">
        <v>15</v>
      </c>
    </row>
    <row r="4785" spans="1:14">
      <c r="A4785" s="194">
        <v>41279.89162037037</v>
      </c>
      <c r="B4785" s="195">
        <v>3044</v>
      </c>
      <c r="C4785" s="194"/>
      <c r="D4785" s="194"/>
      <c r="E4785" s="198"/>
      <c r="G4785" s="202"/>
      <c r="J4785" s="195">
        <v>17</v>
      </c>
      <c r="K4785" s="204" t="s">
        <v>11</v>
      </c>
      <c r="L4785" s="199">
        <v>1</v>
      </c>
      <c r="M4785" s="200">
        <v>42.2</v>
      </c>
      <c r="N4785" s="201">
        <v>15</v>
      </c>
    </row>
    <row r="4786" spans="1:14">
      <c r="A4786" s="194">
        <v>41304.010578703703</v>
      </c>
      <c r="B4786" s="195">
        <v>3044</v>
      </c>
      <c r="C4786" s="194"/>
      <c r="D4786" s="194"/>
      <c r="E4786" s="198"/>
      <c r="G4786" s="202"/>
      <c r="J4786" s="195">
        <v>17</v>
      </c>
      <c r="K4786" s="204" t="s">
        <v>11</v>
      </c>
      <c r="L4786" s="199">
        <v>1</v>
      </c>
      <c r="M4786" s="200">
        <v>42.6</v>
      </c>
      <c r="N4786" s="201">
        <v>15</v>
      </c>
    </row>
    <row r="4787" spans="1:14">
      <c r="A4787" s="194">
        <v>41296.851678240739</v>
      </c>
      <c r="B4787" s="195">
        <v>3044</v>
      </c>
      <c r="C4787" s="194"/>
      <c r="D4787" s="194"/>
      <c r="E4787" s="198"/>
      <c r="G4787" s="202"/>
      <c r="J4787" s="195">
        <v>17</v>
      </c>
      <c r="K4787" s="204" t="s">
        <v>11</v>
      </c>
      <c r="L4787" s="199">
        <v>1</v>
      </c>
      <c r="M4787" s="200">
        <v>42.6</v>
      </c>
      <c r="N4787" s="201">
        <v>15</v>
      </c>
    </row>
    <row r="4788" spans="1:14">
      <c r="A4788" s="194">
        <v>41276.52789351852</v>
      </c>
      <c r="B4788" s="195">
        <v>3044</v>
      </c>
      <c r="C4788" s="194"/>
      <c r="D4788" s="194"/>
      <c r="E4788" s="198"/>
      <c r="G4788" s="202"/>
      <c r="J4788" s="195">
        <v>17</v>
      </c>
      <c r="K4788" s="204" t="s">
        <v>11</v>
      </c>
      <c r="L4788" s="199">
        <v>1</v>
      </c>
      <c r="M4788" s="200">
        <v>43.8</v>
      </c>
      <c r="N4788" s="201">
        <v>15</v>
      </c>
    </row>
    <row r="4789" spans="1:14">
      <c r="A4789" s="194">
        <v>41300.747581018521</v>
      </c>
      <c r="B4789" s="195">
        <v>3044</v>
      </c>
      <c r="C4789" s="194"/>
      <c r="D4789" s="194"/>
      <c r="E4789" s="198"/>
      <c r="G4789" s="202"/>
      <c r="J4789" s="195">
        <v>17</v>
      </c>
      <c r="K4789" s="204" t="s">
        <v>11</v>
      </c>
      <c r="L4789" s="199">
        <v>1</v>
      </c>
      <c r="M4789" s="200">
        <v>44.3</v>
      </c>
      <c r="N4789" s="201">
        <v>15</v>
      </c>
    </row>
    <row r="4790" spans="1:14">
      <c r="A4790" s="194">
        <v>41287.760567129626</v>
      </c>
      <c r="B4790" s="195">
        <v>3044</v>
      </c>
      <c r="C4790" s="194"/>
      <c r="D4790" s="194"/>
      <c r="E4790" s="198"/>
      <c r="G4790" s="202"/>
      <c r="J4790" s="195">
        <v>17</v>
      </c>
      <c r="K4790" s="204" t="s">
        <v>11</v>
      </c>
      <c r="L4790" s="199">
        <v>1</v>
      </c>
      <c r="M4790" s="200">
        <v>44.7</v>
      </c>
      <c r="N4790" s="201">
        <v>15</v>
      </c>
    </row>
    <row r="4791" spans="1:14">
      <c r="A4791" s="194">
        <v>41294.588622685187</v>
      </c>
      <c r="B4791" s="195">
        <v>3044</v>
      </c>
      <c r="C4791" s="194"/>
      <c r="D4791" s="194"/>
      <c r="E4791" s="198"/>
      <c r="G4791" s="202"/>
      <c r="J4791" s="195">
        <v>17</v>
      </c>
      <c r="K4791" s="204" t="s">
        <v>11</v>
      </c>
      <c r="L4791" s="199">
        <v>1</v>
      </c>
      <c r="M4791" s="200">
        <v>44.8</v>
      </c>
      <c r="N4791" s="201">
        <v>15</v>
      </c>
    </row>
    <row r="4792" spans="1:14">
      <c r="A4792" s="194">
        <v>41284.498460648145</v>
      </c>
      <c r="B4792" s="195">
        <v>3044</v>
      </c>
      <c r="C4792" s="194"/>
      <c r="D4792" s="194"/>
      <c r="E4792" s="198"/>
      <c r="G4792" s="202"/>
      <c r="J4792" s="195">
        <v>17</v>
      </c>
      <c r="K4792" s="204" t="s">
        <v>11</v>
      </c>
      <c r="L4792" s="199">
        <v>1</v>
      </c>
      <c r="M4792" s="200">
        <v>45</v>
      </c>
      <c r="N4792" s="201">
        <v>15</v>
      </c>
    </row>
    <row r="4793" spans="1:14">
      <c r="A4793" s="194">
        <v>41281.616319444445</v>
      </c>
      <c r="B4793" s="195">
        <v>3044</v>
      </c>
      <c r="C4793" s="194"/>
      <c r="D4793" s="194"/>
      <c r="E4793" s="198"/>
      <c r="G4793" s="202"/>
      <c r="J4793" s="195">
        <v>17</v>
      </c>
      <c r="K4793" s="204" t="s">
        <v>11</v>
      </c>
      <c r="L4793" s="199">
        <v>1</v>
      </c>
      <c r="M4793" s="200">
        <v>45.7</v>
      </c>
      <c r="N4793" s="201">
        <v>15</v>
      </c>
    </row>
    <row r="4794" spans="1:14">
      <c r="A4794" s="194">
        <v>41291.901180555556</v>
      </c>
      <c r="B4794" s="195">
        <v>3044</v>
      </c>
      <c r="C4794" s="194"/>
      <c r="D4794" s="194"/>
      <c r="E4794" s="198"/>
      <c r="G4794" s="202"/>
      <c r="J4794" s="195">
        <v>17</v>
      </c>
      <c r="K4794" s="204" t="s">
        <v>11</v>
      </c>
      <c r="L4794" s="199">
        <v>1</v>
      </c>
      <c r="M4794" s="200">
        <v>46.2</v>
      </c>
      <c r="N4794" s="201">
        <v>15</v>
      </c>
    </row>
    <row r="4795" spans="1:14">
      <c r="A4795" s="194">
        <v>41296.47761574074</v>
      </c>
      <c r="B4795" s="195">
        <v>3044</v>
      </c>
      <c r="C4795" s="194"/>
      <c r="D4795" s="194"/>
      <c r="E4795" s="198"/>
      <c r="G4795" s="202"/>
      <c r="J4795" s="195">
        <v>17</v>
      </c>
      <c r="K4795" s="204" t="s">
        <v>11</v>
      </c>
      <c r="L4795" s="199">
        <v>1</v>
      </c>
      <c r="M4795" s="200">
        <v>48.2</v>
      </c>
      <c r="N4795" s="201">
        <v>15</v>
      </c>
    </row>
    <row r="4796" spans="1:14">
      <c r="A4796" s="194">
        <v>41289.571388888886</v>
      </c>
      <c r="B4796" s="195">
        <v>3044</v>
      </c>
      <c r="C4796" s="194"/>
      <c r="D4796" s="194"/>
      <c r="E4796" s="198"/>
      <c r="G4796" s="202"/>
      <c r="J4796" s="195">
        <v>17</v>
      </c>
      <c r="K4796" s="204" t="s">
        <v>11</v>
      </c>
      <c r="L4796" s="199">
        <v>1</v>
      </c>
      <c r="M4796" s="200">
        <v>49.1</v>
      </c>
      <c r="N4796" s="201">
        <v>15</v>
      </c>
    </row>
    <row r="4797" spans="1:14">
      <c r="A4797" s="194">
        <v>41300.495127314818</v>
      </c>
      <c r="B4797" s="195">
        <v>3044</v>
      </c>
      <c r="C4797" s="194"/>
      <c r="D4797" s="194"/>
      <c r="E4797" s="198"/>
      <c r="G4797" s="202"/>
      <c r="J4797" s="195">
        <v>17</v>
      </c>
      <c r="K4797" s="204" t="s">
        <v>11</v>
      </c>
      <c r="L4797" s="199">
        <v>1</v>
      </c>
      <c r="M4797" s="200">
        <v>55</v>
      </c>
      <c r="N4797" s="201">
        <v>15</v>
      </c>
    </row>
    <row r="4798" spans="1:14">
      <c r="A4798" s="194">
        <v>41303.797824074078</v>
      </c>
      <c r="B4798" s="195">
        <v>3044</v>
      </c>
      <c r="C4798" s="194"/>
      <c r="D4798" s="194"/>
      <c r="E4798" s="198"/>
      <c r="G4798" s="202"/>
      <c r="J4798" s="195">
        <v>17</v>
      </c>
      <c r="K4798" s="204" t="s">
        <v>11</v>
      </c>
      <c r="L4798" s="199">
        <v>1</v>
      </c>
      <c r="M4798" s="200">
        <v>57.5</v>
      </c>
      <c r="N4798" s="201">
        <v>15</v>
      </c>
    </row>
    <row r="4799" spans="1:14">
      <c r="A4799" s="194">
        <v>41305.689837962964</v>
      </c>
      <c r="B4799" s="195">
        <v>3044</v>
      </c>
      <c r="C4799" s="194"/>
      <c r="D4799" s="194"/>
      <c r="E4799" s="198"/>
      <c r="G4799" s="202"/>
      <c r="J4799" s="195">
        <v>17</v>
      </c>
      <c r="K4799" s="204" t="s">
        <v>11</v>
      </c>
      <c r="L4799" s="199">
        <v>1</v>
      </c>
      <c r="M4799" s="200">
        <v>0.4</v>
      </c>
      <c r="N4799" s="201">
        <v>16</v>
      </c>
    </row>
    <row r="4800" spans="1:14">
      <c r="A4800" s="194">
        <v>41302.639745370368</v>
      </c>
      <c r="B4800" s="195">
        <v>3044</v>
      </c>
      <c r="C4800" s="194"/>
      <c r="D4800" s="194"/>
      <c r="E4800" s="198"/>
      <c r="G4800" s="202"/>
      <c r="J4800" s="195">
        <v>17</v>
      </c>
      <c r="K4800" s="204" t="s">
        <v>11</v>
      </c>
      <c r="L4800" s="199">
        <v>1</v>
      </c>
      <c r="M4800" s="200">
        <v>0.4</v>
      </c>
      <c r="N4800" s="201">
        <v>16</v>
      </c>
    </row>
    <row r="4801" spans="1:14">
      <c r="A4801" s="194">
        <v>41291.53087962963</v>
      </c>
      <c r="B4801" s="195">
        <v>3044</v>
      </c>
      <c r="C4801" s="194"/>
      <c r="D4801" s="194"/>
      <c r="E4801" s="198"/>
      <c r="G4801" s="202"/>
      <c r="J4801" s="195">
        <v>17</v>
      </c>
      <c r="K4801" s="204" t="s">
        <v>11</v>
      </c>
      <c r="L4801" s="199">
        <v>2</v>
      </c>
      <c r="M4801" s="200">
        <v>0.5</v>
      </c>
      <c r="N4801" s="201">
        <v>16</v>
      </c>
    </row>
    <row r="4802" spans="1:14">
      <c r="A4802" s="194">
        <v>41288.577881944446</v>
      </c>
      <c r="B4802" s="195">
        <v>3044</v>
      </c>
      <c r="C4802" s="194"/>
      <c r="D4802" s="194"/>
      <c r="E4802" s="198"/>
      <c r="G4802" s="202"/>
      <c r="J4802" s="195">
        <v>17</v>
      </c>
      <c r="K4802" s="204" t="s">
        <v>11</v>
      </c>
      <c r="L4802" s="199">
        <v>2</v>
      </c>
      <c r="M4802" s="200">
        <v>8.6999999999999993</v>
      </c>
      <c r="N4802" s="201">
        <v>16</v>
      </c>
    </row>
    <row r="4803" spans="1:14">
      <c r="A4803" s="194">
        <v>41286.88113425926</v>
      </c>
      <c r="B4803" s="195">
        <v>3044</v>
      </c>
      <c r="C4803" s="194"/>
      <c r="D4803" s="194"/>
      <c r="E4803" s="198"/>
      <c r="G4803" s="202"/>
      <c r="J4803" s="195">
        <v>17</v>
      </c>
      <c r="K4803" s="204" t="s">
        <v>11</v>
      </c>
      <c r="L4803" s="199">
        <v>1</v>
      </c>
      <c r="M4803" s="200">
        <v>32.9</v>
      </c>
      <c r="N4803" s="201">
        <v>16</v>
      </c>
    </row>
    <row r="4804" spans="1:14">
      <c r="A4804" s="194">
        <v>41303.841296296298</v>
      </c>
      <c r="B4804" s="195">
        <v>3044</v>
      </c>
      <c r="C4804" s="194"/>
      <c r="D4804" s="194"/>
      <c r="E4804" s="198"/>
      <c r="G4804" s="202"/>
      <c r="J4804" s="195">
        <v>17</v>
      </c>
      <c r="K4804" s="204" t="s">
        <v>11</v>
      </c>
      <c r="L4804" s="199">
        <v>1</v>
      </c>
      <c r="M4804" s="200">
        <v>38.4</v>
      </c>
      <c r="N4804" s="201">
        <v>16</v>
      </c>
    </row>
    <row r="4805" spans="1:14">
      <c r="A4805" s="194">
        <v>41282.572118055556</v>
      </c>
      <c r="B4805" s="195">
        <v>3044</v>
      </c>
      <c r="C4805" s="194"/>
      <c r="D4805" s="194"/>
      <c r="E4805" s="198"/>
      <c r="G4805" s="202"/>
      <c r="J4805" s="195">
        <v>17</v>
      </c>
      <c r="K4805" s="204" t="s">
        <v>11</v>
      </c>
      <c r="L4805" s="199">
        <v>1</v>
      </c>
      <c r="M4805" s="200">
        <v>38.6</v>
      </c>
      <c r="N4805" s="201">
        <v>16</v>
      </c>
    </row>
    <row r="4806" spans="1:14">
      <c r="A4806" s="194">
        <v>41280.223171296297</v>
      </c>
      <c r="B4806" s="195">
        <v>3044</v>
      </c>
      <c r="C4806" s="194"/>
      <c r="D4806" s="194"/>
      <c r="E4806" s="198"/>
      <c r="G4806" s="202"/>
      <c r="J4806" s="195">
        <v>17</v>
      </c>
      <c r="K4806" s="204" t="s">
        <v>11</v>
      </c>
      <c r="L4806" s="199">
        <v>1</v>
      </c>
      <c r="M4806" s="200">
        <v>38.9</v>
      </c>
      <c r="N4806" s="201">
        <v>16</v>
      </c>
    </row>
    <row r="4807" spans="1:14">
      <c r="A4807" s="194">
        <v>41293.37164351852</v>
      </c>
      <c r="B4807" s="195">
        <v>3044</v>
      </c>
      <c r="C4807" s="194"/>
      <c r="D4807" s="194"/>
      <c r="E4807" s="198"/>
      <c r="G4807" s="202"/>
      <c r="J4807" s="195">
        <v>17</v>
      </c>
      <c r="K4807" s="204" t="s">
        <v>11</v>
      </c>
      <c r="L4807" s="199">
        <v>1</v>
      </c>
      <c r="M4807" s="200">
        <v>39.4</v>
      </c>
      <c r="N4807" s="201">
        <v>16</v>
      </c>
    </row>
    <row r="4808" spans="1:14">
      <c r="A4808" s="194">
        <v>41295.943680555552</v>
      </c>
      <c r="B4808" s="195">
        <v>3044</v>
      </c>
      <c r="C4808" s="194"/>
      <c r="D4808" s="194"/>
      <c r="E4808" s="198"/>
      <c r="G4808" s="202"/>
      <c r="J4808" s="195">
        <v>17</v>
      </c>
      <c r="K4808" s="204" t="s">
        <v>11</v>
      </c>
      <c r="L4808" s="199">
        <v>1</v>
      </c>
      <c r="M4808" s="200">
        <v>40.200000000000003</v>
      </c>
      <c r="N4808" s="201">
        <v>16</v>
      </c>
    </row>
    <row r="4809" spans="1:14">
      <c r="A4809" s="194">
        <v>41290.235347222224</v>
      </c>
      <c r="B4809" s="195">
        <v>3044</v>
      </c>
      <c r="C4809" s="194"/>
      <c r="D4809" s="194"/>
      <c r="E4809" s="198"/>
      <c r="G4809" s="202"/>
      <c r="J4809" s="195">
        <v>17</v>
      </c>
      <c r="K4809" s="204" t="s">
        <v>11</v>
      </c>
      <c r="L4809" s="199">
        <v>1</v>
      </c>
      <c r="M4809" s="200">
        <v>40.4</v>
      </c>
      <c r="N4809" s="201">
        <v>16</v>
      </c>
    </row>
    <row r="4810" spans="1:14">
      <c r="A4810" s="194">
        <v>41277.132048611114</v>
      </c>
      <c r="B4810" s="195">
        <v>3044</v>
      </c>
      <c r="C4810" s="194"/>
      <c r="D4810" s="194"/>
      <c r="E4810" s="198"/>
      <c r="G4810" s="202"/>
      <c r="J4810" s="195">
        <v>17</v>
      </c>
      <c r="K4810" s="204" t="s">
        <v>11</v>
      </c>
      <c r="L4810" s="199">
        <v>1</v>
      </c>
      <c r="M4810" s="200">
        <v>40.4</v>
      </c>
      <c r="N4810" s="201">
        <v>16</v>
      </c>
    </row>
    <row r="4811" spans="1:14">
      <c r="A4811" s="194">
        <v>41277.50440972222</v>
      </c>
      <c r="B4811" s="195">
        <v>3044</v>
      </c>
      <c r="C4811" s="194"/>
      <c r="D4811" s="194"/>
      <c r="E4811" s="198"/>
      <c r="G4811" s="202"/>
      <c r="J4811" s="195">
        <v>17</v>
      </c>
      <c r="K4811" s="204" t="s">
        <v>11</v>
      </c>
      <c r="L4811" s="199">
        <v>1</v>
      </c>
      <c r="M4811" s="200">
        <v>42</v>
      </c>
      <c r="N4811" s="201">
        <v>16</v>
      </c>
    </row>
    <row r="4812" spans="1:14">
      <c r="A4812" s="194">
        <v>41280.375138888892</v>
      </c>
      <c r="B4812" s="195">
        <v>3044</v>
      </c>
      <c r="C4812" s="194"/>
      <c r="D4812" s="194"/>
      <c r="E4812" s="198"/>
      <c r="G4812" s="202"/>
      <c r="J4812" s="195">
        <v>17</v>
      </c>
      <c r="K4812" s="204" t="s">
        <v>11</v>
      </c>
      <c r="L4812" s="199">
        <v>1</v>
      </c>
      <c r="M4812" s="200">
        <v>43.3</v>
      </c>
      <c r="N4812" s="201">
        <v>16</v>
      </c>
    </row>
    <row r="4813" spans="1:14">
      <c r="A4813" s="194">
        <v>41300.851736111108</v>
      </c>
      <c r="B4813" s="195">
        <v>3044</v>
      </c>
      <c r="C4813" s="194"/>
      <c r="D4813" s="194"/>
      <c r="E4813" s="198"/>
      <c r="G4813" s="202"/>
      <c r="J4813" s="195">
        <v>17</v>
      </c>
      <c r="K4813" s="204" t="s">
        <v>11</v>
      </c>
      <c r="L4813" s="199">
        <v>1</v>
      </c>
      <c r="M4813" s="200">
        <v>45.1</v>
      </c>
      <c r="N4813" s="201">
        <v>16</v>
      </c>
    </row>
    <row r="4814" spans="1:14">
      <c r="A4814" s="194">
        <v>41275.688402777778</v>
      </c>
      <c r="B4814" s="195">
        <v>3044</v>
      </c>
      <c r="C4814" s="194"/>
      <c r="D4814" s="194"/>
      <c r="E4814" s="198"/>
      <c r="G4814" s="202"/>
      <c r="J4814" s="195">
        <v>17</v>
      </c>
      <c r="K4814" s="204" t="s">
        <v>11</v>
      </c>
      <c r="L4814" s="199">
        <v>1</v>
      </c>
      <c r="M4814" s="200">
        <v>58.4</v>
      </c>
      <c r="N4814" s="201">
        <v>16</v>
      </c>
    </row>
    <row r="4815" spans="1:14">
      <c r="A4815" s="194">
        <v>41291.351620370369</v>
      </c>
      <c r="B4815" s="195">
        <v>3044</v>
      </c>
      <c r="C4815" s="194"/>
      <c r="D4815" s="194"/>
      <c r="E4815" s="198"/>
      <c r="G4815" s="202"/>
      <c r="J4815" s="195">
        <v>17</v>
      </c>
      <c r="K4815" s="204" t="s">
        <v>11</v>
      </c>
      <c r="L4815" s="199">
        <v>1</v>
      </c>
      <c r="M4815" s="200">
        <v>68</v>
      </c>
      <c r="N4815" s="201">
        <v>16</v>
      </c>
    </row>
    <row r="4816" spans="1:14">
      <c r="A4816" s="194">
        <v>41290.297430555554</v>
      </c>
      <c r="B4816" s="195">
        <v>3044</v>
      </c>
      <c r="C4816" s="194"/>
      <c r="D4816" s="194"/>
      <c r="E4816" s="198"/>
      <c r="G4816" s="202"/>
      <c r="J4816" s="195">
        <v>17</v>
      </c>
      <c r="K4816" s="204" t="s">
        <v>11</v>
      </c>
      <c r="L4816" s="199">
        <v>1</v>
      </c>
      <c r="M4816" s="200">
        <v>68.400000000000006</v>
      </c>
      <c r="N4816" s="201">
        <v>16</v>
      </c>
    </row>
    <row r="4817" spans="1:14">
      <c r="A4817" s="194">
        <v>41296.827314814815</v>
      </c>
      <c r="B4817" s="195">
        <v>3044</v>
      </c>
      <c r="C4817" s="194"/>
      <c r="D4817" s="194"/>
      <c r="E4817" s="198"/>
      <c r="G4817" s="202"/>
      <c r="J4817" s="195">
        <v>17</v>
      </c>
      <c r="K4817" s="204" t="s">
        <v>11</v>
      </c>
      <c r="L4817" s="199">
        <v>1</v>
      </c>
      <c r="M4817" s="200">
        <v>0.2</v>
      </c>
      <c r="N4817" s="201">
        <v>17</v>
      </c>
    </row>
    <row r="4818" spans="1:14">
      <c r="A4818" s="194">
        <v>41287.432951388888</v>
      </c>
      <c r="B4818" s="195">
        <v>3044</v>
      </c>
      <c r="C4818" s="194"/>
      <c r="D4818" s="194"/>
      <c r="E4818" s="198"/>
      <c r="G4818" s="202"/>
      <c r="J4818" s="195">
        <v>17</v>
      </c>
      <c r="K4818" s="204" t="s">
        <v>11</v>
      </c>
      <c r="L4818" s="199">
        <v>1</v>
      </c>
      <c r="M4818" s="200">
        <v>14.2</v>
      </c>
      <c r="N4818" s="201">
        <v>17</v>
      </c>
    </row>
    <row r="4819" spans="1:14">
      <c r="A4819" s="194">
        <v>41285.944490740738</v>
      </c>
      <c r="B4819" s="195">
        <v>3044</v>
      </c>
      <c r="C4819" s="194"/>
      <c r="D4819" s="194"/>
      <c r="E4819" s="198"/>
      <c r="G4819" s="202"/>
      <c r="J4819" s="195">
        <v>17</v>
      </c>
      <c r="K4819" s="204" t="s">
        <v>11</v>
      </c>
      <c r="L4819" s="199">
        <v>1</v>
      </c>
      <c r="M4819" s="200">
        <v>37.4</v>
      </c>
      <c r="N4819" s="201">
        <v>17</v>
      </c>
    </row>
    <row r="4820" spans="1:14">
      <c r="A4820" s="194">
        <v>41275.993993055556</v>
      </c>
      <c r="B4820" s="195">
        <v>3044</v>
      </c>
      <c r="C4820" s="194"/>
      <c r="D4820" s="194"/>
      <c r="E4820" s="198"/>
      <c r="G4820" s="202"/>
      <c r="J4820" s="195">
        <v>17</v>
      </c>
      <c r="K4820" s="204" t="s">
        <v>11</v>
      </c>
      <c r="L4820" s="199">
        <v>1</v>
      </c>
      <c r="M4820" s="200">
        <v>38.200000000000003</v>
      </c>
      <c r="N4820" s="201">
        <v>17</v>
      </c>
    </row>
    <row r="4821" spans="1:14">
      <c r="A4821" s="194">
        <v>41281.956562500003</v>
      </c>
      <c r="B4821" s="195">
        <v>3044</v>
      </c>
      <c r="C4821" s="194"/>
      <c r="D4821" s="194"/>
      <c r="E4821" s="198"/>
      <c r="G4821" s="202"/>
      <c r="J4821" s="195">
        <v>17</v>
      </c>
      <c r="K4821" s="204" t="s">
        <v>11</v>
      </c>
      <c r="L4821" s="199">
        <v>1</v>
      </c>
      <c r="M4821" s="200">
        <v>38.6</v>
      </c>
      <c r="N4821" s="201">
        <v>17</v>
      </c>
    </row>
    <row r="4822" spans="1:14">
      <c r="A4822" s="194">
        <v>41301.248356481483</v>
      </c>
      <c r="B4822" s="195">
        <v>3044</v>
      </c>
      <c r="C4822" s="194"/>
      <c r="D4822" s="194"/>
      <c r="E4822" s="198"/>
      <c r="G4822" s="202"/>
      <c r="J4822" s="195">
        <v>17</v>
      </c>
      <c r="K4822" s="204" t="s">
        <v>11</v>
      </c>
      <c r="L4822" s="199">
        <v>1</v>
      </c>
      <c r="M4822" s="200">
        <v>38.9</v>
      </c>
      <c r="N4822" s="201">
        <v>17</v>
      </c>
    </row>
    <row r="4823" spans="1:14">
      <c r="A4823" s="194">
        <v>41286.147650462961</v>
      </c>
      <c r="B4823" s="195">
        <v>3044</v>
      </c>
      <c r="C4823" s="194"/>
      <c r="D4823" s="194"/>
      <c r="E4823" s="198"/>
      <c r="G4823" s="202"/>
      <c r="J4823" s="195">
        <v>17</v>
      </c>
      <c r="K4823" s="204" t="s">
        <v>11</v>
      </c>
      <c r="L4823" s="199">
        <v>1</v>
      </c>
      <c r="M4823" s="200">
        <v>38.9</v>
      </c>
      <c r="N4823" s="201">
        <v>17</v>
      </c>
    </row>
    <row r="4824" spans="1:14">
      <c r="A4824" s="194">
        <v>41279.356886574074</v>
      </c>
      <c r="B4824" s="195">
        <v>3044</v>
      </c>
      <c r="C4824" s="194"/>
      <c r="D4824" s="194"/>
      <c r="E4824" s="198"/>
      <c r="G4824" s="202"/>
      <c r="J4824" s="195">
        <v>17</v>
      </c>
      <c r="K4824" s="204" t="s">
        <v>11</v>
      </c>
      <c r="L4824" s="199">
        <v>1</v>
      </c>
      <c r="M4824" s="200">
        <v>39.5</v>
      </c>
      <c r="N4824" s="201">
        <v>17</v>
      </c>
    </row>
    <row r="4825" spans="1:14">
      <c r="A4825" s="194">
        <v>41289.098171296297</v>
      </c>
      <c r="B4825" s="195">
        <v>3044</v>
      </c>
      <c r="C4825" s="194"/>
      <c r="D4825" s="194"/>
      <c r="E4825" s="198"/>
      <c r="G4825" s="202"/>
      <c r="J4825" s="195">
        <v>17</v>
      </c>
      <c r="K4825" s="204" t="s">
        <v>11</v>
      </c>
      <c r="L4825" s="199">
        <v>1</v>
      </c>
      <c r="M4825" s="200">
        <v>39.799999999999997</v>
      </c>
      <c r="N4825" s="201">
        <v>17</v>
      </c>
    </row>
    <row r="4826" spans="1:14">
      <c r="A4826" s="194">
        <v>41287.549537037034</v>
      </c>
      <c r="B4826" s="195">
        <v>3044</v>
      </c>
      <c r="C4826" s="194"/>
      <c r="D4826" s="194"/>
      <c r="E4826" s="198"/>
      <c r="G4826" s="202"/>
      <c r="J4826" s="195">
        <v>17</v>
      </c>
      <c r="K4826" s="204" t="s">
        <v>11</v>
      </c>
      <c r="L4826" s="199">
        <v>1</v>
      </c>
      <c r="M4826" s="200">
        <v>40.200000000000003</v>
      </c>
      <c r="N4826" s="201">
        <v>17</v>
      </c>
    </row>
    <row r="4827" spans="1:14">
      <c r="A4827" s="194">
        <v>41285.47488425926</v>
      </c>
      <c r="B4827" s="195">
        <v>3044</v>
      </c>
      <c r="C4827" s="194"/>
      <c r="D4827" s="194"/>
      <c r="E4827" s="198"/>
      <c r="G4827" s="202"/>
      <c r="J4827" s="195">
        <v>17</v>
      </c>
      <c r="K4827" s="204" t="s">
        <v>11</v>
      </c>
      <c r="L4827" s="199">
        <v>1</v>
      </c>
      <c r="M4827" s="200">
        <v>41.6</v>
      </c>
      <c r="N4827" s="201">
        <v>17</v>
      </c>
    </row>
    <row r="4828" spans="1:14">
      <c r="A4828" s="194">
        <v>41303.854363425926</v>
      </c>
      <c r="B4828" s="195">
        <v>3044</v>
      </c>
      <c r="C4828" s="194"/>
      <c r="D4828" s="194"/>
      <c r="E4828" s="198"/>
      <c r="G4828" s="202"/>
      <c r="J4828" s="195">
        <v>17</v>
      </c>
      <c r="K4828" s="204" t="s">
        <v>11</v>
      </c>
      <c r="L4828" s="199">
        <v>1</v>
      </c>
      <c r="M4828" s="200">
        <v>42.1</v>
      </c>
      <c r="N4828" s="201">
        <v>17</v>
      </c>
    </row>
    <row r="4829" spans="1:14">
      <c r="A4829" s="194">
        <v>41286.316967592589</v>
      </c>
      <c r="B4829" s="195">
        <v>3044</v>
      </c>
      <c r="C4829" s="194"/>
      <c r="D4829" s="194"/>
      <c r="E4829" s="198"/>
      <c r="G4829" s="202"/>
      <c r="J4829" s="195">
        <v>17</v>
      </c>
      <c r="K4829" s="204" t="s">
        <v>11</v>
      </c>
      <c r="L4829" s="199">
        <v>1</v>
      </c>
      <c r="M4829" s="200">
        <v>42.3</v>
      </c>
      <c r="N4829" s="201">
        <v>17</v>
      </c>
    </row>
    <row r="4830" spans="1:14">
      <c r="A4830" s="194">
        <v>41303.846550925926</v>
      </c>
      <c r="B4830" s="195">
        <v>3044</v>
      </c>
      <c r="C4830" s="194"/>
      <c r="D4830" s="194"/>
      <c r="E4830" s="198"/>
      <c r="G4830" s="202"/>
      <c r="J4830" s="195">
        <v>17</v>
      </c>
      <c r="K4830" s="204" t="s">
        <v>11</v>
      </c>
      <c r="L4830" s="199">
        <v>1</v>
      </c>
      <c r="M4830" s="200">
        <v>42.4</v>
      </c>
      <c r="N4830" s="201">
        <v>17</v>
      </c>
    </row>
    <row r="4831" spans="1:14">
      <c r="A4831" s="194">
        <v>41294.949675925927</v>
      </c>
      <c r="B4831" s="195">
        <v>3044</v>
      </c>
      <c r="C4831" s="194"/>
      <c r="D4831" s="194"/>
      <c r="E4831" s="198"/>
      <c r="G4831" s="202"/>
      <c r="J4831" s="195">
        <v>17</v>
      </c>
      <c r="K4831" s="204" t="s">
        <v>11</v>
      </c>
      <c r="L4831" s="199">
        <v>1</v>
      </c>
      <c r="M4831" s="200">
        <v>42.5</v>
      </c>
      <c r="N4831" s="201">
        <v>17</v>
      </c>
    </row>
    <row r="4832" spans="1:14">
      <c r="A4832" s="194">
        <v>41295.581770833334</v>
      </c>
      <c r="B4832" s="195">
        <v>3044</v>
      </c>
      <c r="C4832" s="194"/>
      <c r="D4832" s="194"/>
      <c r="E4832" s="198"/>
      <c r="G4832" s="202"/>
      <c r="J4832" s="195">
        <v>17</v>
      </c>
      <c r="K4832" s="204" t="s">
        <v>11</v>
      </c>
      <c r="L4832" s="199">
        <v>1</v>
      </c>
      <c r="M4832" s="200">
        <v>43.1</v>
      </c>
      <c r="N4832" s="201">
        <v>17</v>
      </c>
    </row>
    <row r="4833" spans="1:14">
      <c r="A4833" s="194">
        <v>41283.95579861111</v>
      </c>
      <c r="B4833" s="195">
        <v>3044</v>
      </c>
      <c r="C4833" s="194"/>
      <c r="D4833" s="194"/>
      <c r="E4833" s="198"/>
      <c r="G4833" s="202"/>
      <c r="J4833" s="195">
        <v>17</v>
      </c>
      <c r="K4833" s="204" t="s">
        <v>11</v>
      </c>
      <c r="L4833" s="199">
        <v>1</v>
      </c>
      <c r="M4833" s="200">
        <v>43.8</v>
      </c>
      <c r="N4833" s="201">
        <v>17</v>
      </c>
    </row>
    <row r="4834" spans="1:14">
      <c r="A4834" s="194">
        <v>41303.922083333331</v>
      </c>
      <c r="B4834" s="195">
        <v>3044</v>
      </c>
      <c r="C4834" s="194"/>
      <c r="D4834" s="194"/>
      <c r="E4834" s="198"/>
      <c r="G4834" s="202"/>
      <c r="J4834" s="195">
        <v>17</v>
      </c>
      <c r="K4834" s="204" t="s">
        <v>11</v>
      </c>
      <c r="L4834" s="199">
        <v>1</v>
      </c>
      <c r="M4834" s="200">
        <v>45.1</v>
      </c>
      <c r="N4834" s="201">
        <v>17</v>
      </c>
    </row>
    <row r="4835" spans="1:14">
      <c r="A4835" s="194">
        <v>41280.69635416667</v>
      </c>
      <c r="B4835" s="195">
        <v>3044</v>
      </c>
      <c r="C4835" s="194"/>
      <c r="D4835" s="194"/>
      <c r="E4835" s="198"/>
      <c r="G4835" s="202"/>
      <c r="J4835" s="195">
        <v>17</v>
      </c>
      <c r="K4835" s="204" t="s">
        <v>11</v>
      </c>
      <c r="L4835" s="199">
        <v>1</v>
      </c>
      <c r="M4835" s="200">
        <v>45.9</v>
      </c>
      <c r="N4835" s="201">
        <v>17</v>
      </c>
    </row>
    <row r="4836" spans="1:14">
      <c r="A4836" s="194">
        <v>41293.06355324074</v>
      </c>
      <c r="B4836" s="195">
        <v>3044</v>
      </c>
      <c r="C4836" s="194"/>
      <c r="D4836" s="194"/>
      <c r="E4836" s="198"/>
      <c r="G4836" s="202"/>
      <c r="J4836" s="195">
        <v>17</v>
      </c>
      <c r="K4836" s="204" t="s">
        <v>11</v>
      </c>
      <c r="L4836" s="199">
        <v>1</v>
      </c>
      <c r="M4836" s="200">
        <v>47.1</v>
      </c>
      <c r="N4836" s="201">
        <v>17</v>
      </c>
    </row>
    <row r="4837" spans="1:14">
      <c r="A4837" s="194">
        <v>41275.859583333331</v>
      </c>
      <c r="B4837" s="195">
        <v>3044</v>
      </c>
      <c r="C4837" s="194"/>
      <c r="D4837" s="194"/>
      <c r="E4837" s="198"/>
      <c r="G4837" s="202"/>
      <c r="J4837" s="195">
        <v>17</v>
      </c>
      <c r="K4837" s="204" t="s">
        <v>11</v>
      </c>
      <c r="L4837" s="199">
        <v>1</v>
      </c>
      <c r="M4837" s="200">
        <v>47.1</v>
      </c>
      <c r="N4837" s="201">
        <v>17</v>
      </c>
    </row>
    <row r="4838" spans="1:14">
      <c r="A4838" s="194">
        <v>41279.929016203707</v>
      </c>
      <c r="B4838" s="195">
        <v>3044</v>
      </c>
      <c r="C4838" s="194"/>
      <c r="D4838" s="194"/>
      <c r="E4838" s="198"/>
      <c r="G4838" s="202"/>
      <c r="J4838" s="195">
        <v>17</v>
      </c>
      <c r="K4838" s="204" t="s">
        <v>11</v>
      </c>
      <c r="L4838" s="199">
        <v>1</v>
      </c>
      <c r="M4838" s="200">
        <v>49.2</v>
      </c>
      <c r="N4838" s="201">
        <v>17</v>
      </c>
    </row>
    <row r="4839" spans="1:14">
      <c r="A4839" s="194">
        <v>41281.786180555559</v>
      </c>
      <c r="B4839" s="195">
        <v>3044</v>
      </c>
      <c r="C4839" s="194"/>
      <c r="D4839" s="194"/>
      <c r="E4839" s="198"/>
      <c r="G4839" s="202"/>
      <c r="J4839" s="195">
        <v>17</v>
      </c>
      <c r="K4839" s="204" t="s">
        <v>11</v>
      </c>
      <c r="L4839" s="199">
        <v>1</v>
      </c>
      <c r="M4839" s="200">
        <v>53.1</v>
      </c>
      <c r="N4839" s="201">
        <v>17</v>
      </c>
    </row>
    <row r="4840" spans="1:14">
      <c r="A4840" s="194">
        <v>41275.063807870371</v>
      </c>
      <c r="B4840" s="195">
        <v>3044</v>
      </c>
      <c r="C4840" s="194"/>
      <c r="D4840" s="194"/>
      <c r="E4840" s="198"/>
      <c r="G4840" s="202"/>
      <c r="J4840" s="195">
        <v>17</v>
      </c>
      <c r="K4840" s="204" t="s">
        <v>11</v>
      </c>
      <c r="L4840" s="199">
        <v>1</v>
      </c>
      <c r="M4840" s="200">
        <v>0.2</v>
      </c>
      <c r="N4840" s="201">
        <v>18</v>
      </c>
    </row>
    <row r="4841" spans="1:14">
      <c r="A4841" s="194">
        <v>41289.651273148149</v>
      </c>
      <c r="B4841" s="195">
        <v>3044</v>
      </c>
      <c r="C4841" s="194"/>
      <c r="D4841" s="194"/>
      <c r="E4841" s="198"/>
      <c r="G4841" s="202"/>
      <c r="J4841" s="195">
        <v>17</v>
      </c>
      <c r="K4841" s="204" t="s">
        <v>11</v>
      </c>
      <c r="L4841" s="199">
        <v>1</v>
      </c>
      <c r="M4841" s="200">
        <v>0.3</v>
      </c>
      <c r="N4841" s="201">
        <v>18</v>
      </c>
    </row>
    <row r="4842" spans="1:14">
      <c r="A4842" s="194">
        <v>41296.935752314814</v>
      </c>
      <c r="B4842" s="195">
        <v>3044</v>
      </c>
      <c r="C4842" s="194"/>
      <c r="D4842" s="194"/>
      <c r="E4842" s="198"/>
      <c r="G4842" s="202"/>
      <c r="J4842" s="195">
        <v>17</v>
      </c>
      <c r="K4842" s="204" t="s">
        <v>11</v>
      </c>
      <c r="L4842" s="199">
        <v>1</v>
      </c>
      <c r="M4842" s="200">
        <v>34.1</v>
      </c>
      <c r="N4842" s="201">
        <v>18</v>
      </c>
    </row>
    <row r="4843" spans="1:14">
      <c r="A4843" s="194">
        <v>41294.115567129629</v>
      </c>
      <c r="B4843" s="195">
        <v>3044</v>
      </c>
      <c r="C4843" s="194"/>
      <c r="D4843" s="194"/>
      <c r="E4843" s="196" t="s">
        <v>1960</v>
      </c>
      <c r="G4843" s="202"/>
      <c r="J4843" s="195">
        <v>17</v>
      </c>
      <c r="K4843" s="204" t="s">
        <v>11</v>
      </c>
      <c r="L4843" s="199">
        <v>1</v>
      </c>
      <c r="M4843" s="200">
        <v>35.4</v>
      </c>
      <c r="N4843" s="201">
        <v>18</v>
      </c>
    </row>
    <row r="4844" spans="1:14">
      <c r="A4844" s="194">
        <v>41300.882893518516</v>
      </c>
      <c r="B4844" s="195">
        <v>3044</v>
      </c>
      <c r="C4844" s="194"/>
      <c r="D4844" s="194"/>
      <c r="E4844" s="198"/>
      <c r="G4844" s="202"/>
      <c r="J4844" s="195">
        <v>17</v>
      </c>
      <c r="K4844" s="204" t="s">
        <v>11</v>
      </c>
      <c r="L4844" s="199">
        <v>1</v>
      </c>
      <c r="M4844" s="200">
        <v>36.4</v>
      </c>
      <c r="N4844" s="201">
        <v>18</v>
      </c>
    </row>
    <row r="4845" spans="1:14">
      <c r="A4845" s="194">
        <v>41286.121574074074</v>
      </c>
      <c r="B4845" s="195">
        <v>3044</v>
      </c>
      <c r="C4845" s="194"/>
      <c r="D4845" s="194"/>
      <c r="E4845" s="198"/>
      <c r="G4845" s="202"/>
      <c r="J4845" s="195">
        <v>17</v>
      </c>
      <c r="K4845" s="204" t="s">
        <v>11</v>
      </c>
      <c r="L4845" s="199">
        <v>1</v>
      </c>
      <c r="M4845" s="200">
        <v>36.4</v>
      </c>
      <c r="N4845" s="201">
        <v>18</v>
      </c>
    </row>
    <row r="4846" spans="1:14">
      <c r="A4846" s="194">
        <v>41283.5312962963</v>
      </c>
      <c r="B4846" s="195">
        <v>3044</v>
      </c>
      <c r="C4846" s="194"/>
      <c r="D4846" s="194"/>
      <c r="E4846" s="198"/>
      <c r="G4846" s="202"/>
      <c r="J4846" s="195">
        <v>17</v>
      </c>
      <c r="K4846" s="204" t="s">
        <v>11</v>
      </c>
      <c r="L4846" s="199">
        <v>1</v>
      </c>
      <c r="M4846" s="200">
        <v>37.5</v>
      </c>
      <c r="N4846" s="201">
        <v>18</v>
      </c>
    </row>
    <row r="4847" spans="1:14">
      <c r="A4847" s="194">
        <v>41288.425439814811</v>
      </c>
      <c r="B4847" s="195">
        <v>3044</v>
      </c>
      <c r="C4847" s="194"/>
      <c r="D4847" s="194"/>
      <c r="E4847" s="198"/>
      <c r="G4847" s="202"/>
      <c r="J4847" s="195">
        <v>17</v>
      </c>
      <c r="K4847" s="204" t="s">
        <v>11</v>
      </c>
      <c r="L4847" s="199">
        <v>1</v>
      </c>
      <c r="M4847" s="200">
        <v>37.700000000000003</v>
      </c>
      <c r="N4847" s="201">
        <v>18</v>
      </c>
    </row>
    <row r="4848" spans="1:14">
      <c r="A4848" s="194">
        <v>41287.822106481479</v>
      </c>
      <c r="B4848" s="195">
        <v>3044</v>
      </c>
      <c r="C4848" s="194"/>
      <c r="D4848" s="194"/>
      <c r="E4848" s="198"/>
      <c r="G4848" s="202"/>
      <c r="J4848" s="195">
        <v>17</v>
      </c>
      <c r="K4848" s="204" t="s">
        <v>11</v>
      </c>
      <c r="L4848" s="199">
        <v>1</v>
      </c>
      <c r="M4848" s="200">
        <v>37.799999999999997</v>
      </c>
      <c r="N4848" s="201">
        <v>18</v>
      </c>
    </row>
    <row r="4849" spans="1:14">
      <c r="A4849" s="194">
        <v>41276.861145833333</v>
      </c>
      <c r="B4849" s="195">
        <v>3044</v>
      </c>
      <c r="C4849" s="194"/>
      <c r="D4849" s="194"/>
      <c r="E4849" s="196" t="s">
        <v>1770</v>
      </c>
      <c r="G4849" s="202"/>
      <c r="J4849" s="195">
        <v>17</v>
      </c>
      <c r="K4849" s="204" t="s">
        <v>11</v>
      </c>
      <c r="L4849" s="199">
        <v>1</v>
      </c>
      <c r="M4849" s="200">
        <v>38</v>
      </c>
      <c r="N4849" s="201">
        <v>18</v>
      </c>
    </row>
    <row r="4850" spans="1:14">
      <c r="A4850" s="194">
        <v>41280.811724537038</v>
      </c>
      <c r="B4850" s="195">
        <v>3044</v>
      </c>
      <c r="C4850" s="194"/>
      <c r="D4850" s="194"/>
      <c r="E4850" s="198"/>
      <c r="G4850" s="202"/>
      <c r="J4850" s="195">
        <v>17</v>
      </c>
      <c r="K4850" s="204" t="s">
        <v>11</v>
      </c>
      <c r="L4850" s="199">
        <v>1</v>
      </c>
      <c r="M4850" s="200">
        <v>39.700000000000003</v>
      </c>
      <c r="N4850" s="201">
        <v>18</v>
      </c>
    </row>
    <row r="4851" spans="1:14">
      <c r="A4851" s="194">
        <v>41301.075624999998</v>
      </c>
      <c r="B4851" s="195">
        <v>3044</v>
      </c>
      <c r="C4851" s="194"/>
      <c r="D4851" s="194"/>
      <c r="E4851" s="198"/>
      <c r="G4851" s="202"/>
      <c r="J4851" s="195">
        <v>17</v>
      </c>
      <c r="K4851" s="204" t="s">
        <v>11</v>
      </c>
      <c r="L4851" s="199">
        <v>1</v>
      </c>
      <c r="M4851" s="200">
        <v>41.8</v>
      </c>
      <c r="N4851" s="201">
        <v>18</v>
      </c>
    </row>
    <row r="4852" spans="1:14">
      <c r="A4852" s="194">
        <v>41291.122499999998</v>
      </c>
      <c r="B4852" s="195">
        <v>3044</v>
      </c>
      <c r="C4852" s="194"/>
      <c r="D4852" s="194"/>
      <c r="E4852" s="198"/>
      <c r="G4852" s="202"/>
      <c r="J4852" s="195">
        <v>17</v>
      </c>
      <c r="K4852" s="204" t="s">
        <v>11</v>
      </c>
      <c r="L4852" s="199">
        <v>1</v>
      </c>
      <c r="M4852" s="200">
        <v>41.8</v>
      </c>
      <c r="N4852" s="201">
        <v>18</v>
      </c>
    </row>
    <row r="4853" spans="1:14">
      <c r="A4853" s="194">
        <v>41305.430706018517</v>
      </c>
      <c r="B4853" s="195">
        <v>3044</v>
      </c>
      <c r="C4853" s="194"/>
      <c r="D4853" s="194"/>
      <c r="E4853" s="198"/>
      <c r="G4853" s="202"/>
      <c r="J4853" s="195">
        <v>17</v>
      </c>
      <c r="K4853" s="204" t="s">
        <v>11</v>
      </c>
      <c r="L4853" s="199">
        <v>1</v>
      </c>
      <c r="M4853" s="200">
        <v>42.1</v>
      </c>
      <c r="N4853" s="201">
        <v>18</v>
      </c>
    </row>
    <row r="4854" spans="1:14">
      <c r="A4854" s="194">
        <v>41290.020972222221</v>
      </c>
      <c r="B4854" s="195">
        <v>3044</v>
      </c>
      <c r="C4854" s="194"/>
      <c r="D4854" s="194"/>
      <c r="E4854" s="198"/>
      <c r="G4854" s="202"/>
      <c r="J4854" s="195">
        <v>17</v>
      </c>
      <c r="K4854" s="204" t="s">
        <v>11</v>
      </c>
      <c r="L4854" s="199">
        <v>1</v>
      </c>
      <c r="M4854" s="200">
        <v>42.9</v>
      </c>
      <c r="N4854" s="201">
        <v>18</v>
      </c>
    </row>
    <row r="4855" spans="1:14">
      <c r="A4855" s="194">
        <v>41291.945416666669</v>
      </c>
      <c r="B4855" s="195">
        <v>3044</v>
      </c>
      <c r="C4855" s="194"/>
      <c r="D4855" s="194"/>
      <c r="E4855" s="198"/>
      <c r="G4855" s="202"/>
      <c r="J4855" s="195">
        <v>17</v>
      </c>
      <c r="K4855" s="204" t="s">
        <v>11</v>
      </c>
      <c r="L4855" s="199">
        <v>1</v>
      </c>
      <c r="M4855" s="200">
        <v>43.9</v>
      </c>
      <c r="N4855" s="201">
        <v>18</v>
      </c>
    </row>
    <row r="4856" spans="1:14">
      <c r="A4856" s="194">
        <v>41297.584374999999</v>
      </c>
      <c r="B4856" s="195">
        <v>3044</v>
      </c>
      <c r="C4856" s="194"/>
      <c r="D4856" s="194"/>
      <c r="E4856" s="198"/>
      <c r="G4856" s="202"/>
      <c r="J4856" s="195">
        <v>17</v>
      </c>
      <c r="K4856" s="204" t="s">
        <v>11</v>
      </c>
      <c r="L4856" s="199">
        <v>1</v>
      </c>
      <c r="M4856" s="200">
        <v>45.6</v>
      </c>
      <c r="N4856" s="201">
        <v>18</v>
      </c>
    </row>
    <row r="4857" spans="1:14">
      <c r="A4857" s="194">
        <v>41275.762280092589</v>
      </c>
      <c r="B4857" s="195">
        <v>3044</v>
      </c>
      <c r="C4857" s="194"/>
      <c r="D4857" s="194"/>
      <c r="E4857" s="198"/>
      <c r="G4857" s="202"/>
      <c r="J4857" s="195">
        <v>17</v>
      </c>
      <c r="K4857" s="204" t="s">
        <v>11</v>
      </c>
      <c r="L4857" s="199">
        <v>1</v>
      </c>
      <c r="M4857" s="200">
        <v>49.2</v>
      </c>
      <c r="N4857" s="201">
        <v>18</v>
      </c>
    </row>
    <row r="4858" spans="1:14">
      <c r="A4858" s="194">
        <v>41291.523668981485</v>
      </c>
      <c r="B4858" s="195">
        <v>3044</v>
      </c>
      <c r="C4858" s="194"/>
      <c r="D4858" s="194"/>
      <c r="E4858" s="198"/>
      <c r="G4858" s="202"/>
      <c r="J4858" s="195">
        <v>17</v>
      </c>
      <c r="K4858" s="204" t="s">
        <v>11</v>
      </c>
      <c r="L4858" s="199">
        <v>1</v>
      </c>
      <c r="M4858" s="200">
        <v>51.9</v>
      </c>
      <c r="N4858" s="201">
        <v>18</v>
      </c>
    </row>
    <row r="4859" spans="1:14">
      <c r="A4859" s="194">
        <v>41293.409120370372</v>
      </c>
      <c r="B4859" s="195">
        <v>3044</v>
      </c>
      <c r="C4859" s="194"/>
      <c r="D4859" s="194"/>
      <c r="E4859" s="198"/>
      <c r="G4859" s="202"/>
      <c r="J4859" s="195">
        <v>17</v>
      </c>
      <c r="K4859" s="204" t="s">
        <v>11</v>
      </c>
      <c r="L4859" s="199">
        <v>1</v>
      </c>
      <c r="M4859" s="200">
        <v>52.2</v>
      </c>
      <c r="N4859" s="201">
        <v>18</v>
      </c>
    </row>
    <row r="4860" spans="1:14">
      <c r="A4860" s="194">
        <v>41304.677928240744</v>
      </c>
      <c r="B4860" s="195">
        <v>3044</v>
      </c>
      <c r="C4860" s="194"/>
      <c r="D4860" s="194"/>
      <c r="E4860" s="198"/>
      <c r="G4860" s="202"/>
      <c r="J4860" s="195">
        <v>17</v>
      </c>
      <c r="K4860" s="204" t="s">
        <v>11</v>
      </c>
      <c r="L4860" s="199">
        <v>1</v>
      </c>
      <c r="M4860" s="200">
        <v>52.5</v>
      </c>
      <c r="N4860" s="201">
        <v>18</v>
      </c>
    </row>
    <row r="4861" spans="1:14">
      <c r="A4861" s="194">
        <v>41304.40148148148</v>
      </c>
      <c r="B4861" s="195">
        <v>3044</v>
      </c>
      <c r="C4861" s="194"/>
      <c r="D4861" s="194"/>
      <c r="E4861" s="198"/>
      <c r="G4861" s="202"/>
      <c r="J4861" s="195">
        <v>17</v>
      </c>
      <c r="K4861" s="204" t="s">
        <v>11</v>
      </c>
      <c r="L4861" s="199">
        <v>1</v>
      </c>
      <c r="M4861" s="200">
        <v>56.9</v>
      </c>
      <c r="N4861" s="201">
        <v>18</v>
      </c>
    </row>
    <row r="4862" spans="1:14">
      <c r="A4862" s="194">
        <v>41281.8827662037</v>
      </c>
      <c r="B4862" s="195">
        <v>3044</v>
      </c>
      <c r="C4862" s="194"/>
      <c r="D4862" s="194"/>
      <c r="E4862" s="198"/>
      <c r="G4862" s="202"/>
      <c r="J4862" s="195">
        <v>17</v>
      </c>
      <c r="K4862" s="204" t="s">
        <v>11</v>
      </c>
      <c r="L4862" s="199">
        <v>1</v>
      </c>
      <c r="M4862" s="200">
        <v>35.6</v>
      </c>
      <c r="N4862" s="201">
        <v>19</v>
      </c>
    </row>
    <row r="4863" spans="1:14">
      <c r="A4863" s="194">
        <v>41287.13894675926</v>
      </c>
      <c r="B4863" s="195">
        <v>3044</v>
      </c>
      <c r="C4863" s="194"/>
      <c r="D4863" s="194"/>
      <c r="E4863" s="198"/>
      <c r="G4863" s="202"/>
      <c r="J4863" s="195">
        <v>17</v>
      </c>
      <c r="K4863" s="204" t="s">
        <v>11</v>
      </c>
      <c r="L4863" s="199">
        <v>1</v>
      </c>
      <c r="M4863" s="200">
        <v>36.799999999999997</v>
      </c>
      <c r="N4863" s="201">
        <v>19</v>
      </c>
    </row>
    <row r="4864" spans="1:14">
      <c r="A4864" s="194">
        <v>41275.939328703702</v>
      </c>
      <c r="B4864" s="195">
        <v>3044</v>
      </c>
      <c r="C4864" s="194"/>
      <c r="D4864" s="194"/>
      <c r="E4864" s="198"/>
      <c r="G4864" s="202"/>
      <c r="J4864" s="195">
        <v>17</v>
      </c>
      <c r="K4864" s="204" t="s">
        <v>11</v>
      </c>
      <c r="L4864" s="199">
        <v>1</v>
      </c>
      <c r="M4864" s="200">
        <v>38.799999999999997</v>
      </c>
      <c r="N4864" s="201">
        <v>19</v>
      </c>
    </row>
    <row r="4865" spans="1:14">
      <c r="A4865" s="194">
        <v>41291.70385416667</v>
      </c>
      <c r="B4865" s="195">
        <v>3044</v>
      </c>
      <c r="C4865" s="194"/>
      <c r="D4865" s="194"/>
      <c r="E4865" s="198"/>
      <c r="G4865" s="202"/>
      <c r="J4865" s="195">
        <v>17</v>
      </c>
      <c r="K4865" s="204" t="s">
        <v>11</v>
      </c>
      <c r="L4865" s="199">
        <v>1</v>
      </c>
      <c r="M4865" s="200">
        <v>43.5</v>
      </c>
      <c r="N4865" s="201">
        <v>19</v>
      </c>
    </row>
    <row r="4866" spans="1:14">
      <c r="A4866" s="194">
        <v>41302.441122685188</v>
      </c>
      <c r="B4866" s="195">
        <v>3044</v>
      </c>
      <c r="C4866" s="194"/>
      <c r="D4866" s="194"/>
      <c r="E4866" s="198"/>
      <c r="G4866" s="202"/>
      <c r="J4866" s="195">
        <v>17</v>
      </c>
      <c r="K4866" s="204" t="s">
        <v>11</v>
      </c>
      <c r="L4866" s="199">
        <v>1</v>
      </c>
      <c r="M4866" s="200">
        <v>46.6</v>
      </c>
      <c r="N4866" s="201">
        <v>19</v>
      </c>
    </row>
    <row r="4867" spans="1:14">
      <c r="A4867" s="194">
        <v>41275.000011574077</v>
      </c>
      <c r="B4867" s="195">
        <v>3044</v>
      </c>
      <c r="C4867" s="194"/>
      <c r="D4867" s="194"/>
      <c r="E4867" s="198"/>
      <c r="G4867" s="202"/>
      <c r="J4867" s="195">
        <v>17</v>
      </c>
      <c r="K4867" s="204" t="s">
        <v>11</v>
      </c>
      <c r="L4867" s="199">
        <v>1</v>
      </c>
      <c r="M4867" s="200">
        <v>1023.9</v>
      </c>
      <c r="N4867" s="201">
        <v>19</v>
      </c>
    </row>
    <row r="4868" spans="1:14">
      <c r="A4868" s="194">
        <v>41303.700277777774</v>
      </c>
      <c r="B4868" s="195">
        <v>3044</v>
      </c>
      <c r="C4868" s="194"/>
      <c r="D4868" s="194"/>
      <c r="E4868" s="198"/>
      <c r="G4868" s="202"/>
      <c r="J4868" s="195">
        <v>17</v>
      </c>
      <c r="K4868" s="204" t="s">
        <v>11</v>
      </c>
      <c r="L4868" s="199">
        <v>2</v>
      </c>
      <c r="M4868" s="200">
        <v>0.6</v>
      </c>
      <c r="N4868" s="201">
        <v>20</v>
      </c>
    </row>
    <row r="4869" spans="1:14">
      <c r="A4869" s="194">
        <v>41288.919328703705</v>
      </c>
      <c r="B4869" s="195">
        <v>3044</v>
      </c>
      <c r="C4869" s="194"/>
      <c r="D4869" s="194"/>
      <c r="E4869" s="198"/>
      <c r="G4869" s="202"/>
      <c r="J4869" s="195">
        <v>17</v>
      </c>
      <c r="K4869" s="204" t="s">
        <v>11</v>
      </c>
      <c r="L4869" s="199">
        <v>1</v>
      </c>
      <c r="M4869" s="200">
        <v>36.200000000000003</v>
      </c>
      <c r="N4869" s="201">
        <v>20</v>
      </c>
    </row>
    <row r="4870" spans="1:14">
      <c r="A4870" s="194">
        <v>41278.843807870369</v>
      </c>
      <c r="B4870" s="195">
        <v>3044</v>
      </c>
      <c r="C4870" s="194"/>
      <c r="D4870" s="194"/>
      <c r="E4870" s="198"/>
      <c r="G4870" s="202"/>
      <c r="J4870" s="195">
        <v>17</v>
      </c>
      <c r="K4870" s="204" t="s">
        <v>11</v>
      </c>
      <c r="L4870" s="199">
        <v>1</v>
      </c>
      <c r="M4870" s="200">
        <v>36.299999999999997</v>
      </c>
      <c r="N4870" s="201">
        <v>20</v>
      </c>
    </row>
    <row r="4871" spans="1:14">
      <c r="A4871" s="194">
        <v>41304.979224537034</v>
      </c>
      <c r="B4871" s="195">
        <v>3044</v>
      </c>
      <c r="C4871" s="194"/>
      <c r="D4871" s="194"/>
      <c r="E4871" s="198"/>
      <c r="G4871" s="202"/>
      <c r="J4871" s="195">
        <v>17</v>
      </c>
      <c r="K4871" s="204" t="s">
        <v>11</v>
      </c>
      <c r="L4871" s="199">
        <v>1</v>
      </c>
      <c r="M4871" s="200">
        <v>37.200000000000003</v>
      </c>
      <c r="N4871" s="201">
        <v>20</v>
      </c>
    </row>
    <row r="4872" spans="1:14">
      <c r="A4872" s="194">
        <v>41294.668414351851</v>
      </c>
      <c r="B4872" s="195">
        <v>3044</v>
      </c>
      <c r="C4872" s="194"/>
      <c r="D4872" s="194"/>
      <c r="E4872" s="198"/>
      <c r="G4872" s="202"/>
      <c r="J4872" s="195">
        <v>17</v>
      </c>
      <c r="K4872" s="204" t="s">
        <v>11</v>
      </c>
      <c r="L4872" s="199">
        <v>1</v>
      </c>
      <c r="M4872" s="200">
        <v>39.6</v>
      </c>
      <c r="N4872" s="201">
        <v>20</v>
      </c>
    </row>
    <row r="4873" spans="1:14">
      <c r="A4873" s="194">
        <v>41300.729328703703</v>
      </c>
      <c r="B4873" s="195">
        <v>3044</v>
      </c>
      <c r="C4873" s="194"/>
      <c r="D4873" s="194"/>
      <c r="E4873" s="198"/>
      <c r="G4873" s="202"/>
      <c r="J4873" s="195">
        <v>17</v>
      </c>
      <c r="K4873" s="204" t="s">
        <v>11</v>
      </c>
      <c r="L4873" s="199">
        <v>1</v>
      </c>
      <c r="M4873" s="200">
        <v>43</v>
      </c>
      <c r="N4873" s="201">
        <v>20</v>
      </c>
    </row>
    <row r="4874" spans="1:14">
      <c r="A4874" s="194">
        <v>41280.958483796298</v>
      </c>
      <c r="B4874" s="195">
        <v>3044</v>
      </c>
      <c r="C4874" s="194"/>
      <c r="D4874" s="194"/>
      <c r="E4874" s="198"/>
      <c r="G4874" s="202"/>
      <c r="J4874" s="195">
        <v>17</v>
      </c>
      <c r="K4874" s="204" t="s">
        <v>11</v>
      </c>
      <c r="L4874" s="199">
        <v>1</v>
      </c>
      <c r="M4874" s="200">
        <v>45.3</v>
      </c>
      <c r="N4874" s="201">
        <v>20</v>
      </c>
    </row>
    <row r="4875" spans="1:14">
      <c r="A4875" s="194">
        <v>41289.228379629632</v>
      </c>
      <c r="B4875" s="195">
        <v>3044</v>
      </c>
      <c r="C4875" s="194"/>
      <c r="D4875" s="194"/>
      <c r="E4875" s="198"/>
      <c r="G4875" s="202"/>
      <c r="J4875" s="195">
        <v>17</v>
      </c>
      <c r="K4875" s="204" t="s">
        <v>11</v>
      </c>
      <c r="L4875" s="199">
        <v>1</v>
      </c>
      <c r="M4875" s="200">
        <v>36.700000000000003</v>
      </c>
      <c r="N4875" s="201">
        <v>21</v>
      </c>
    </row>
    <row r="4876" spans="1:14">
      <c r="A4876" s="194">
        <v>41280.000960648147</v>
      </c>
      <c r="B4876" s="195">
        <v>3044</v>
      </c>
      <c r="C4876" s="194"/>
      <c r="D4876" s="194"/>
      <c r="E4876" s="198"/>
      <c r="G4876" s="202"/>
      <c r="J4876" s="195">
        <v>17</v>
      </c>
      <c r="K4876" s="204" t="s">
        <v>11</v>
      </c>
      <c r="L4876" s="199">
        <v>1</v>
      </c>
      <c r="M4876" s="200">
        <v>40.6</v>
      </c>
      <c r="N4876" s="201">
        <v>21</v>
      </c>
    </row>
    <row r="4877" spans="1:14">
      <c r="A4877" s="194">
        <v>41282.97928240741</v>
      </c>
      <c r="B4877" s="195">
        <v>3044</v>
      </c>
      <c r="C4877" s="194"/>
      <c r="D4877" s="194"/>
      <c r="E4877" s="198"/>
      <c r="G4877" s="202"/>
      <c r="J4877" s="195">
        <v>17</v>
      </c>
      <c r="K4877" s="204" t="s">
        <v>11</v>
      </c>
      <c r="L4877" s="199">
        <v>1</v>
      </c>
      <c r="M4877" s="200">
        <v>42.6</v>
      </c>
      <c r="N4877" s="201">
        <v>21</v>
      </c>
    </row>
    <row r="4878" spans="1:14">
      <c r="A4878" s="194">
        <v>41296.804398148146</v>
      </c>
      <c r="B4878" s="195">
        <v>3044</v>
      </c>
      <c r="C4878" s="194"/>
      <c r="D4878" s="194"/>
      <c r="E4878" s="198"/>
      <c r="G4878" s="202"/>
      <c r="J4878" s="195">
        <v>17</v>
      </c>
      <c r="K4878" s="204" t="s">
        <v>11</v>
      </c>
      <c r="L4878" s="199">
        <v>3</v>
      </c>
      <c r="M4878" s="200">
        <v>0.3</v>
      </c>
      <c r="N4878" s="201">
        <v>22</v>
      </c>
    </row>
    <row r="4879" spans="1:14">
      <c r="A4879" s="194">
        <v>41301.536493055559</v>
      </c>
      <c r="B4879" s="195">
        <v>3044</v>
      </c>
      <c r="C4879" s="194"/>
      <c r="D4879" s="194"/>
      <c r="E4879" s="198"/>
      <c r="G4879" s="202"/>
      <c r="J4879" s="195">
        <v>17</v>
      </c>
      <c r="K4879" s="204" t="s">
        <v>11</v>
      </c>
      <c r="L4879" s="199">
        <v>1</v>
      </c>
      <c r="M4879" s="200">
        <v>31</v>
      </c>
      <c r="N4879" s="201">
        <v>22</v>
      </c>
    </row>
    <row r="4880" spans="1:14">
      <c r="A4880" s="194">
        <v>41295.253541666665</v>
      </c>
      <c r="B4880" s="195">
        <v>3044</v>
      </c>
      <c r="C4880" s="194"/>
      <c r="D4880" s="194"/>
      <c r="E4880" s="198"/>
      <c r="G4880" s="202"/>
      <c r="J4880" s="195">
        <v>17</v>
      </c>
      <c r="K4880" s="204" t="s">
        <v>11</v>
      </c>
      <c r="L4880" s="199">
        <v>1</v>
      </c>
      <c r="M4880" s="200">
        <v>55.8</v>
      </c>
      <c r="N4880" s="201">
        <v>22</v>
      </c>
    </row>
    <row r="4881" spans="1:14">
      <c r="A4881" s="194">
        <v>41278.089467592596</v>
      </c>
      <c r="B4881" s="195">
        <v>3044</v>
      </c>
      <c r="C4881" s="194"/>
      <c r="D4881" s="194"/>
      <c r="E4881" s="198"/>
      <c r="G4881" s="202"/>
      <c r="J4881" s="195">
        <v>17</v>
      </c>
      <c r="K4881" s="204" t="s">
        <v>11</v>
      </c>
      <c r="L4881" s="199">
        <v>1</v>
      </c>
      <c r="M4881" s="200">
        <v>35.200000000000003</v>
      </c>
      <c r="N4881" s="201">
        <v>23</v>
      </c>
    </row>
    <row r="4882" spans="1:14">
      <c r="A4882" s="194">
        <v>41280.410763888889</v>
      </c>
      <c r="B4882" s="195">
        <v>3044</v>
      </c>
      <c r="C4882" s="194"/>
      <c r="D4882" s="194"/>
      <c r="E4882" s="198"/>
      <c r="G4882" s="202"/>
      <c r="J4882" s="195">
        <v>17</v>
      </c>
      <c r="K4882" s="204" t="s">
        <v>11</v>
      </c>
      <c r="L4882" s="199">
        <v>1</v>
      </c>
      <c r="M4882" s="200">
        <v>46.7</v>
      </c>
      <c r="N4882" s="201">
        <v>23</v>
      </c>
    </row>
    <row r="4883" spans="1:14">
      <c r="A4883" s="194">
        <v>41301.402939814812</v>
      </c>
      <c r="B4883" s="195">
        <v>3044</v>
      </c>
      <c r="C4883" s="194"/>
      <c r="D4883" s="194"/>
      <c r="E4883" s="198"/>
      <c r="G4883" s="202"/>
      <c r="J4883" s="195">
        <v>17</v>
      </c>
      <c r="K4883" s="204" t="s">
        <v>11</v>
      </c>
      <c r="L4883" s="199">
        <v>1</v>
      </c>
      <c r="M4883" s="200">
        <v>42.9</v>
      </c>
      <c r="N4883" s="201">
        <v>24</v>
      </c>
    </row>
    <row r="4884" spans="1:14">
      <c r="A4884" s="194">
        <v>41280.899456018517</v>
      </c>
      <c r="B4884" s="195">
        <v>3044</v>
      </c>
      <c r="C4884" s="194"/>
      <c r="D4884" s="194"/>
      <c r="E4884" s="198"/>
      <c r="G4884" s="202"/>
      <c r="J4884" s="195">
        <v>17</v>
      </c>
      <c r="K4884" s="204" t="s">
        <v>11</v>
      </c>
      <c r="L4884" s="199">
        <v>1</v>
      </c>
      <c r="M4884" s="200">
        <v>43.7</v>
      </c>
      <c r="N4884" s="201">
        <v>24</v>
      </c>
    </row>
    <row r="4885" spans="1:14">
      <c r="A4885" s="194">
        <v>41280.421597222223</v>
      </c>
      <c r="B4885" s="195">
        <v>3044</v>
      </c>
      <c r="C4885" s="194"/>
      <c r="D4885" s="194"/>
      <c r="E4885" s="198"/>
      <c r="G4885" s="202"/>
      <c r="J4885" s="195">
        <v>17</v>
      </c>
      <c r="K4885" s="204" t="s">
        <v>11</v>
      </c>
      <c r="L4885" s="199">
        <v>2</v>
      </c>
      <c r="M4885" s="200">
        <v>7.7</v>
      </c>
      <c r="N4885" s="201">
        <v>25</v>
      </c>
    </row>
    <row r="4886" spans="1:14">
      <c r="A4886" s="194">
        <v>41279.285682870373</v>
      </c>
      <c r="B4886" s="195">
        <v>3044</v>
      </c>
      <c r="C4886" s="194"/>
      <c r="D4886" s="194"/>
      <c r="E4886" s="198"/>
      <c r="G4886" s="202"/>
      <c r="J4886" s="195">
        <v>17</v>
      </c>
      <c r="K4886" s="204" t="s">
        <v>11</v>
      </c>
      <c r="L4886" s="199">
        <v>1</v>
      </c>
      <c r="M4886" s="200">
        <v>38.9</v>
      </c>
      <c r="N4886" s="201">
        <v>25</v>
      </c>
    </row>
    <row r="4887" spans="1:14">
      <c r="A4887" s="194">
        <v>41287.359490740739</v>
      </c>
      <c r="B4887" s="195">
        <v>3044</v>
      </c>
      <c r="C4887" s="194"/>
      <c r="D4887" s="194"/>
      <c r="E4887" s="198"/>
      <c r="G4887" s="202"/>
      <c r="J4887" s="195">
        <v>17</v>
      </c>
      <c r="K4887" s="204" t="s">
        <v>11</v>
      </c>
      <c r="L4887" s="199">
        <v>1</v>
      </c>
      <c r="M4887" s="200">
        <v>40.6</v>
      </c>
      <c r="N4887" s="201">
        <v>26</v>
      </c>
    </row>
    <row r="4888" spans="1:14">
      <c r="A4888" s="194">
        <v>41293.985486111109</v>
      </c>
      <c r="B4888" s="195">
        <v>3044</v>
      </c>
      <c r="C4888" s="194"/>
      <c r="D4888" s="194"/>
      <c r="E4888" s="198"/>
      <c r="G4888" s="202"/>
      <c r="J4888" s="195">
        <v>17</v>
      </c>
      <c r="K4888" s="204" t="s">
        <v>11</v>
      </c>
      <c r="L4888" s="199">
        <v>1</v>
      </c>
      <c r="M4888" s="200">
        <v>47.1</v>
      </c>
      <c r="N4888" s="201">
        <v>26</v>
      </c>
    </row>
    <row r="4889" spans="1:14">
      <c r="A4889" s="194">
        <v>41301.79283564815</v>
      </c>
      <c r="B4889" s="195">
        <v>3044</v>
      </c>
      <c r="C4889" s="194"/>
      <c r="D4889" s="194"/>
      <c r="E4889" s="198"/>
      <c r="G4889" s="202"/>
      <c r="J4889" s="195">
        <v>17</v>
      </c>
      <c r="K4889" s="204" t="s">
        <v>11</v>
      </c>
      <c r="L4889" s="199">
        <v>1</v>
      </c>
      <c r="M4889" s="200">
        <v>51.9</v>
      </c>
      <c r="N4889" s="201">
        <v>26</v>
      </c>
    </row>
    <row r="4890" spans="1:14">
      <c r="A4890" s="194">
        <v>41303.77008101852</v>
      </c>
      <c r="B4890" s="195">
        <v>3044</v>
      </c>
      <c r="C4890" s="194"/>
      <c r="D4890" s="194"/>
      <c r="E4890" s="198"/>
      <c r="G4890" s="202"/>
      <c r="J4890" s="195">
        <v>17</v>
      </c>
      <c r="K4890" s="204" t="s">
        <v>11</v>
      </c>
      <c r="L4890" s="199">
        <v>1</v>
      </c>
      <c r="M4890" s="200">
        <v>0.3</v>
      </c>
      <c r="N4890" s="201">
        <v>29</v>
      </c>
    </row>
    <row r="4891" spans="1:14">
      <c r="A4891" s="194">
        <v>41286.687569444446</v>
      </c>
      <c r="B4891" s="195">
        <v>3044</v>
      </c>
      <c r="C4891" s="194"/>
      <c r="D4891" s="194"/>
      <c r="E4891" s="198"/>
      <c r="G4891" s="202"/>
      <c r="J4891" s="195">
        <v>17</v>
      </c>
      <c r="K4891" s="204" t="s">
        <v>11</v>
      </c>
      <c r="L4891" s="199">
        <v>1</v>
      </c>
      <c r="M4891" s="200">
        <v>38</v>
      </c>
      <c r="N4891" s="201">
        <v>31</v>
      </c>
    </row>
    <row r="4892" spans="1:14">
      <c r="A4892" s="194">
        <v>41283.397638888891</v>
      </c>
      <c r="B4892" s="195">
        <v>3044</v>
      </c>
      <c r="C4892" s="194"/>
      <c r="D4892" s="194"/>
      <c r="E4892" s="198"/>
      <c r="G4892" s="202"/>
      <c r="J4892" s="195">
        <v>17</v>
      </c>
      <c r="K4892" s="204" t="s">
        <v>11</v>
      </c>
      <c r="L4892" s="199">
        <v>3</v>
      </c>
      <c r="M4892" s="200">
        <v>0.2</v>
      </c>
      <c r="N4892" s="201">
        <v>34</v>
      </c>
    </row>
    <row r="4893" spans="1:14">
      <c r="A4893" s="194">
        <v>41279.754444444443</v>
      </c>
      <c r="B4893" s="195">
        <v>3044</v>
      </c>
      <c r="C4893" s="194"/>
      <c r="D4893" s="194"/>
      <c r="E4893" s="198"/>
      <c r="G4893" s="202"/>
      <c r="J4893" s="195">
        <v>17</v>
      </c>
      <c r="K4893" s="204" t="s">
        <v>11</v>
      </c>
      <c r="L4893" s="199">
        <v>1</v>
      </c>
      <c r="M4893" s="200">
        <v>38.9</v>
      </c>
      <c r="N4893" s="201">
        <v>35</v>
      </c>
    </row>
    <row r="4894" spans="1:14">
      <c r="A4894" s="194">
        <v>41292.980208333334</v>
      </c>
      <c r="B4894" s="195">
        <v>3044</v>
      </c>
      <c r="C4894" s="194"/>
      <c r="D4894" s="194"/>
      <c r="E4894" s="198"/>
      <c r="G4894" s="202"/>
      <c r="J4894" s="195">
        <v>17</v>
      </c>
      <c r="K4894" s="204" t="s">
        <v>11</v>
      </c>
      <c r="L4894" s="199">
        <v>1</v>
      </c>
      <c r="M4894" s="200">
        <v>45</v>
      </c>
      <c r="N4894" s="201">
        <v>38</v>
      </c>
    </row>
    <row r="4895" spans="1:14">
      <c r="A4895" s="194">
        <v>41304.30709490741</v>
      </c>
      <c r="B4895" s="195">
        <v>3044</v>
      </c>
      <c r="C4895" s="194"/>
      <c r="D4895" s="194"/>
      <c r="E4895" s="198"/>
      <c r="G4895" s="202"/>
      <c r="J4895" s="195">
        <v>17</v>
      </c>
      <c r="K4895" s="204" t="s">
        <v>11</v>
      </c>
      <c r="L4895" s="199">
        <v>3</v>
      </c>
      <c r="M4895" s="200">
        <v>1.1000000000000001</v>
      </c>
      <c r="N4895" s="201">
        <v>42</v>
      </c>
    </row>
    <row r="4896" spans="1:14">
      <c r="A4896" s="194">
        <v>41289.604409722226</v>
      </c>
      <c r="B4896" s="195">
        <v>3044</v>
      </c>
      <c r="C4896" s="194"/>
      <c r="D4896" s="194"/>
      <c r="E4896" s="198"/>
      <c r="G4896" s="202"/>
      <c r="J4896" s="195">
        <v>17</v>
      </c>
      <c r="K4896" s="204" t="s">
        <v>11</v>
      </c>
      <c r="L4896" s="199">
        <v>1</v>
      </c>
      <c r="M4896" s="200">
        <v>51.1</v>
      </c>
      <c r="N4896" s="201">
        <v>48</v>
      </c>
    </row>
    <row r="4897" spans="1:14">
      <c r="A4897" s="194">
        <v>41282.506168981483</v>
      </c>
      <c r="B4897" s="195">
        <v>3044</v>
      </c>
      <c r="C4897" s="194"/>
      <c r="D4897" s="194"/>
      <c r="E4897" s="198"/>
      <c r="G4897" s="202"/>
      <c r="J4897" s="195">
        <v>17</v>
      </c>
      <c r="K4897" s="204" t="s">
        <v>11</v>
      </c>
      <c r="L4897" s="199">
        <v>1</v>
      </c>
      <c r="M4897" s="200">
        <v>39.9</v>
      </c>
      <c r="N4897" s="201">
        <v>66</v>
      </c>
    </row>
    <row r="4898" spans="1:14">
      <c r="A4898" s="194">
        <v>41297.51903935185</v>
      </c>
      <c r="B4898" s="195">
        <v>3044</v>
      </c>
      <c r="C4898" s="194"/>
      <c r="D4898" s="194"/>
      <c r="E4898" s="198"/>
      <c r="G4898" s="202"/>
      <c r="J4898" s="195">
        <v>18</v>
      </c>
      <c r="K4898" s="204" t="s">
        <v>5</v>
      </c>
      <c r="L4898" s="199">
        <v>3</v>
      </c>
      <c r="M4898" s="200">
        <v>25</v>
      </c>
      <c r="N4898" s="201">
        <v>15</v>
      </c>
    </row>
    <row r="4899" spans="1:14">
      <c r="A4899" s="194">
        <v>41295.847083333334</v>
      </c>
      <c r="B4899" s="195">
        <v>3044</v>
      </c>
      <c r="C4899" s="194"/>
      <c r="D4899" s="194"/>
      <c r="E4899" s="198"/>
      <c r="G4899" s="202"/>
      <c r="J4899" s="195">
        <v>18</v>
      </c>
      <c r="K4899" s="204" t="s">
        <v>5</v>
      </c>
      <c r="L4899" s="199">
        <v>3</v>
      </c>
      <c r="M4899" s="200">
        <v>16.899999999999999</v>
      </c>
      <c r="N4899" s="201">
        <v>17</v>
      </c>
    </row>
    <row r="4900" spans="1:14">
      <c r="A4900" s="194">
        <v>41287.716944444444</v>
      </c>
      <c r="B4900" s="195">
        <v>3044</v>
      </c>
      <c r="C4900" s="194"/>
      <c r="D4900" s="194"/>
      <c r="E4900" s="198"/>
      <c r="G4900" s="202"/>
      <c r="J4900" s="195">
        <v>18</v>
      </c>
      <c r="K4900" s="204" t="s">
        <v>5</v>
      </c>
      <c r="L4900" s="199">
        <v>3</v>
      </c>
      <c r="M4900" s="200">
        <v>27.1</v>
      </c>
      <c r="N4900" s="201">
        <v>17</v>
      </c>
    </row>
    <row r="4901" spans="1:14">
      <c r="A4901" s="194">
        <v>41294.939780092594</v>
      </c>
      <c r="B4901" s="195">
        <v>3044</v>
      </c>
      <c r="C4901" s="194"/>
      <c r="D4901" s="194"/>
      <c r="E4901" s="198"/>
      <c r="G4901" s="202"/>
      <c r="J4901" s="195">
        <v>18</v>
      </c>
      <c r="K4901" s="204" t="s">
        <v>5</v>
      </c>
      <c r="L4901" s="199">
        <v>3</v>
      </c>
      <c r="M4901" s="200">
        <v>11.6</v>
      </c>
      <c r="N4901" s="201">
        <v>19</v>
      </c>
    </row>
    <row r="4902" spans="1:14">
      <c r="A4902" s="194">
        <v>41282.230879629627</v>
      </c>
      <c r="B4902" s="195">
        <v>3044</v>
      </c>
      <c r="C4902" s="194"/>
      <c r="D4902" s="194"/>
      <c r="E4902" s="198"/>
      <c r="G4902" s="202"/>
      <c r="J4902" s="195">
        <v>18</v>
      </c>
      <c r="K4902" s="204" t="s">
        <v>5</v>
      </c>
      <c r="L4902" s="199">
        <v>3</v>
      </c>
      <c r="M4902" s="200">
        <v>28.4</v>
      </c>
      <c r="N4902" s="201">
        <v>19</v>
      </c>
    </row>
    <row r="4903" spans="1:14">
      <c r="A4903" s="194">
        <v>41304.401979166665</v>
      </c>
      <c r="B4903" s="195">
        <v>3044</v>
      </c>
      <c r="C4903" s="194"/>
      <c r="D4903" s="194"/>
      <c r="E4903" s="198"/>
      <c r="G4903" s="202"/>
      <c r="J4903" s="195">
        <v>18</v>
      </c>
      <c r="K4903" s="204" t="s">
        <v>5</v>
      </c>
      <c r="L4903" s="199">
        <v>2</v>
      </c>
      <c r="M4903" s="200">
        <v>9.6999999999999993</v>
      </c>
      <c r="N4903" s="201">
        <v>20</v>
      </c>
    </row>
    <row r="4904" spans="1:14">
      <c r="A4904" s="194">
        <v>41279.618888888886</v>
      </c>
      <c r="B4904" s="195">
        <v>3044</v>
      </c>
      <c r="C4904" s="194"/>
      <c r="D4904" s="194"/>
      <c r="E4904" s="198"/>
      <c r="G4904" s="202"/>
      <c r="J4904" s="195">
        <v>18</v>
      </c>
      <c r="K4904" s="204" t="s">
        <v>5</v>
      </c>
      <c r="L4904" s="199">
        <v>3</v>
      </c>
      <c r="M4904" s="200">
        <v>28.9</v>
      </c>
      <c r="N4904" s="201">
        <v>20</v>
      </c>
    </row>
    <row r="4905" spans="1:14">
      <c r="A4905" s="194">
        <v>41291.658958333333</v>
      </c>
      <c r="B4905" s="195">
        <v>3044</v>
      </c>
      <c r="C4905" s="194"/>
      <c r="D4905" s="194"/>
      <c r="E4905" s="198"/>
      <c r="G4905" s="202"/>
      <c r="J4905" s="195">
        <v>18</v>
      </c>
      <c r="K4905" s="204" t="s">
        <v>5</v>
      </c>
      <c r="L4905" s="199">
        <v>3</v>
      </c>
      <c r="M4905" s="200">
        <v>33.5</v>
      </c>
      <c r="N4905" s="201">
        <v>20</v>
      </c>
    </row>
    <row r="4906" spans="1:14">
      <c r="A4906" s="194">
        <v>41283.582245370373</v>
      </c>
      <c r="B4906" s="195">
        <v>3044</v>
      </c>
      <c r="C4906" s="194"/>
      <c r="D4906" s="194"/>
      <c r="E4906" s="198"/>
      <c r="G4906" s="202"/>
      <c r="J4906" s="195">
        <v>18</v>
      </c>
      <c r="K4906" s="204" t="s">
        <v>5</v>
      </c>
      <c r="L4906" s="199">
        <v>3</v>
      </c>
      <c r="M4906" s="200">
        <v>12.5</v>
      </c>
      <c r="N4906" s="201">
        <v>21</v>
      </c>
    </row>
    <row r="4907" spans="1:14">
      <c r="A4907" s="194">
        <v>41300.032870370371</v>
      </c>
      <c r="B4907" s="195">
        <v>3044</v>
      </c>
      <c r="C4907" s="194"/>
      <c r="D4907" s="194"/>
      <c r="E4907" s="198"/>
      <c r="G4907" s="202"/>
      <c r="J4907" s="195">
        <v>18</v>
      </c>
      <c r="K4907" s="204" t="s">
        <v>5</v>
      </c>
      <c r="L4907" s="199">
        <v>3</v>
      </c>
      <c r="M4907" s="200">
        <v>23.5</v>
      </c>
      <c r="N4907" s="201">
        <v>21</v>
      </c>
    </row>
    <row r="4908" spans="1:14">
      <c r="A4908" s="194">
        <v>41286.683946759258</v>
      </c>
      <c r="B4908" s="195">
        <v>3044</v>
      </c>
      <c r="C4908" s="194"/>
      <c r="D4908" s="194"/>
      <c r="E4908" s="198"/>
      <c r="G4908" s="202"/>
      <c r="J4908" s="195">
        <v>18</v>
      </c>
      <c r="K4908" s="204" t="s">
        <v>5</v>
      </c>
      <c r="L4908" s="199">
        <v>3</v>
      </c>
      <c r="M4908" s="200">
        <v>25.6</v>
      </c>
      <c r="N4908" s="201">
        <v>21</v>
      </c>
    </row>
    <row r="4909" spans="1:14">
      <c r="A4909" s="194">
        <v>41279.014479166668</v>
      </c>
      <c r="B4909" s="195">
        <v>3044</v>
      </c>
      <c r="C4909" s="194"/>
      <c r="D4909" s="194"/>
      <c r="E4909" s="198"/>
      <c r="G4909" s="202"/>
      <c r="J4909" s="195">
        <v>18</v>
      </c>
      <c r="K4909" s="204" t="s">
        <v>5</v>
      </c>
      <c r="L4909" s="199">
        <v>3</v>
      </c>
      <c r="M4909" s="200">
        <v>7.7</v>
      </c>
      <c r="N4909" s="201">
        <v>22</v>
      </c>
    </row>
    <row r="4910" spans="1:14">
      <c r="A4910" s="194">
        <v>41299.978159722225</v>
      </c>
      <c r="B4910" s="195">
        <v>3044</v>
      </c>
      <c r="C4910" s="194"/>
      <c r="D4910" s="194"/>
      <c r="E4910" s="198"/>
      <c r="G4910" s="202"/>
      <c r="J4910" s="195">
        <v>18</v>
      </c>
      <c r="K4910" s="204" t="s">
        <v>5</v>
      </c>
      <c r="L4910" s="199">
        <v>3</v>
      </c>
      <c r="M4910" s="200">
        <v>19</v>
      </c>
      <c r="N4910" s="201">
        <v>22</v>
      </c>
    </row>
    <row r="4911" spans="1:14">
      <c r="A4911" s="194">
        <v>41291.658946759257</v>
      </c>
      <c r="B4911" s="195">
        <v>3044</v>
      </c>
      <c r="C4911" s="194"/>
      <c r="D4911" s="194"/>
      <c r="E4911" s="198"/>
      <c r="G4911" s="202"/>
      <c r="J4911" s="195">
        <v>18</v>
      </c>
      <c r="K4911" s="204" t="s">
        <v>5</v>
      </c>
      <c r="L4911" s="199">
        <v>2</v>
      </c>
      <c r="M4911" s="200">
        <v>33</v>
      </c>
      <c r="N4911" s="201">
        <v>23</v>
      </c>
    </row>
    <row r="4912" spans="1:14">
      <c r="A4912" s="194">
        <v>41280.861273148148</v>
      </c>
      <c r="B4912" s="195">
        <v>3044</v>
      </c>
      <c r="C4912" s="194"/>
      <c r="D4912" s="194"/>
      <c r="E4912" s="196" t="s">
        <v>1979</v>
      </c>
      <c r="G4912" s="202"/>
      <c r="J4912" s="195">
        <v>24</v>
      </c>
      <c r="K4912" s="204" t="s">
        <v>25</v>
      </c>
      <c r="L4912" s="199">
        <v>1</v>
      </c>
      <c r="M4912" s="200">
        <v>45.1</v>
      </c>
      <c r="N4912" s="201">
        <v>15</v>
      </c>
    </row>
    <row r="4913" spans="1:14">
      <c r="A4913" s="194">
        <v>41299.948877314811</v>
      </c>
      <c r="B4913" s="195">
        <v>3044</v>
      </c>
      <c r="C4913" s="194"/>
      <c r="D4913" s="194"/>
      <c r="E4913" s="196" t="s">
        <v>1689</v>
      </c>
      <c r="G4913" s="202"/>
      <c r="J4913" s="195">
        <v>24</v>
      </c>
      <c r="K4913" s="204" t="s">
        <v>25</v>
      </c>
      <c r="L4913" s="199">
        <v>1</v>
      </c>
      <c r="M4913" s="200">
        <v>38.799999999999997</v>
      </c>
      <c r="N4913" s="201">
        <v>17</v>
      </c>
    </row>
    <row r="4914" spans="1:14">
      <c r="A4914" s="194">
        <v>41285.948854166665</v>
      </c>
      <c r="B4914" s="195">
        <v>3044</v>
      </c>
      <c r="C4914" s="194"/>
      <c r="D4914" s="194"/>
      <c r="E4914" s="196" t="s">
        <v>2130</v>
      </c>
      <c r="G4914" s="202"/>
      <c r="J4914" s="195">
        <v>24</v>
      </c>
      <c r="K4914" s="204" t="s">
        <v>25</v>
      </c>
      <c r="L4914" s="199">
        <v>1</v>
      </c>
      <c r="M4914" s="200">
        <v>38.799999999999997</v>
      </c>
      <c r="N4914" s="201">
        <v>17</v>
      </c>
    </row>
    <row r="4915" spans="1:14">
      <c r="A4915" s="194">
        <v>41283.547824074078</v>
      </c>
      <c r="B4915" s="195">
        <v>3044</v>
      </c>
      <c r="C4915" s="194"/>
      <c r="D4915" s="194"/>
      <c r="E4915" s="196" t="s">
        <v>1617</v>
      </c>
      <c r="G4915" s="202"/>
      <c r="J4915" s="195">
        <v>24</v>
      </c>
      <c r="K4915" s="204" t="s">
        <v>25</v>
      </c>
      <c r="L4915" s="199">
        <v>1</v>
      </c>
      <c r="M4915" s="200">
        <v>39.700000000000003</v>
      </c>
      <c r="N4915" s="201">
        <v>17</v>
      </c>
    </row>
    <row r="4916" spans="1:14">
      <c r="A4916" s="194">
        <v>41298.858576388891</v>
      </c>
      <c r="B4916" s="195">
        <v>3044</v>
      </c>
      <c r="C4916" s="194"/>
      <c r="D4916" s="194"/>
      <c r="E4916" s="196" t="s">
        <v>1732</v>
      </c>
      <c r="G4916" s="202"/>
      <c r="J4916" s="195">
        <v>24</v>
      </c>
      <c r="K4916" s="204" t="s">
        <v>25</v>
      </c>
      <c r="L4916" s="199">
        <v>1</v>
      </c>
      <c r="M4916" s="200">
        <v>39.799999999999997</v>
      </c>
      <c r="N4916" s="201">
        <v>17</v>
      </c>
    </row>
    <row r="4917" spans="1:14">
      <c r="A4917" s="194">
        <v>41303.244074074071</v>
      </c>
      <c r="B4917" s="195">
        <v>3044</v>
      </c>
      <c r="C4917" s="194"/>
      <c r="D4917" s="194"/>
      <c r="E4917" s="196" t="s">
        <v>1790</v>
      </c>
      <c r="G4917" s="202"/>
      <c r="J4917" s="195">
        <v>24</v>
      </c>
      <c r="K4917" s="204" t="s">
        <v>25</v>
      </c>
      <c r="L4917" s="199">
        <v>1</v>
      </c>
      <c r="M4917" s="200">
        <v>43.5</v>
      </c>
      <c r="N4917" s="201">
        <v>17</v>
      </c>
    </row>
    <row r="4918" spans="1:14">
      <c r="A4918" s="194">
        <v>41285.198958333334</v>
      </c>
      <c r="B4918" s="195">
        <v>3044</v>
      </c>
      <c r="C4918" s="194"/>
      <c r="D4918" s="194"/>
      <c r="E4918" s="196" t="s">
        <v>1696</v>
      </c>
      <c r="G4918" s="202"/>
      <c r="J4918" s="195">
        <v>24</v>
      </c>
      <c r="K4918" s="204" t="s">
        <v>25</v>
      </c>
      <c r="L4918" s="199">
        <v>1</v>
      </c>
      <c r="M4918" s="200">
        <v>46.6</v>
      </c>
      <c r="N4918" s="201">
        <v>17</v>
      </c>
    </row>
    <row r="4919" spans="1:14">
      <c r="A4919" s="194">
        <v>41301.74417824074</v>
      </c>
      <c r="B4919" s="195">
        <v>3044</v>
      </c>
      <c r="C4919" s="194"/>
      <c r="D4919" s="194"/>
      <c r="E4919" s="196" t="s">
        <v>2157</v>
      </c>
      <c r="G4919" s="202"/>
      <c r="J4919" s="195">
        <v>24</v>
      </c>
      <c r="K4919" s="204" t="s">
        <v>25</v>
      </c>
      <c r="L4919" s="199">
        <v>1</v>
      </c>
      <c r="M4919" s="200">
        <v>46.7</v>
      </c>
      <c r="N4919" s="201">
        <v>17</v>
      </c>
    </row>
    <row r="4920" spans="1:14">
      <c r="A4920" s="194">
        <v>41293.935902777775</v>
      </c>
      <c r="B4920" s="195">
        <v>3044</v>
      </c>
      <c r="C4920" s="194"/>
      <c r="D4920" s="194"/>
      <c r="E4920" s="196" t="s">
        <v>1675</v>
      </c>
      <c r="G4920" s="202"/>
      <c r="J4920" s="195">
        <v>24</v>
      </c>
      <c r="K4920" s="204" t="s">
        <v>25</v>
      </c>
      <c r="L4920" s="199">
        <v>1</v>
      </c>
      <c r="M4920" s="200">
        <v>38.6</v>
      </c>
      <c r="N4920" s="201">
        <v>18</v>
      </c>
    </row>
    <row r="4921" spans="1:14">
      <c r="A4921" s="194">
        <v>41300.606909722221</v>
      </c>
      <c r="B4921" s="195">
        <v>3044</v>
      </c>
      <c r="C4921" s="194"/>
      <c r="D4921" s="194"/>
      <c r="E4921" s="196" t="s">
        <v>1787</v>
      </c>
      <c r="G4921" s="202"/>
      <c r="J4921" s="195">
        <v>24</v>
      </c>
      <c r="K4921" s="204" t="s">
        <v>25</v>
      </c>
      <c r="L4921" s="199">
        <v>1</v>
      </c>
      <c r="M4921" s="200">
        <v>39.6</v>
      </c>
      <c r="N4921" s="201">
        <v>18</v>
      </c>
    </row>
    <row r="4922" spans="1:14">
      <c r="A4922" s="194">
        <v>41282.873333333337</v>
      </c>
      <c r="B4922" s="195">
        <v>3044</v>
      </c>
      <c r="C4922" s="194"/>
      <c r="D4922" s="194"/>
      <c r="E4922" s="196" t="s">
        <v>2124</v>
      </c>
      <c r="G4922" s="202"/>
      <c r="J4922" s="195">
        <v>24</v>
      </c>
      <c r="K4922" s="204" t="s">
        <v>25</v>
      </c>
      <c r="L4922" s="199">
        <v>1</v>
      </c>
      <c r="M4922" s="200">
        <v>39.799999999999997</v>
      </c>
      <c r="N4922" s="201">
        <v>18</v>
      </c>
    </row>
    <row r="4923" spans="1:14">
      <c r="A4923" s="194">
        <v>41294.421064814815</v>
      </c>
      <c r="B4923" s="195">
        <v>3044</v>
      </c>
      <c r="C4923" s="194"/>
      <c r="D4923" s="194"/>
      <c r="E4923" s="196" t="s">
        <v>1627</v>
      </c>
      <c r="G4923" s="202"/>
      <c r="J4923" s="195">
        <v>24</v>
      </c>
      <c r="K4923" s="204" t="s">
        <v>25</v>
      </c>
      <c r="L4923" s="199">
        <v>1</v>
      </c>
      <c r="M4923" s="200">
        <v>37.6</v>
      </c>
      <c r="N4923" s="201">
        <v>19</v>
      </c>
    </row>
    <row r="4924" spans="1:14">
      <c r="A4924" s="194">
        <v>41294.734398148146</v>
      </c>
      <c r="B4924" s="195">
        <v>3044</v>
      </c>
      <c r="C4924" s="194"/>
      <c r="D4924" s="194"/>
      <c r="E4924" s="196" t="s">
        <v>1755</v>
      </c>
      <c r="G4924" s="202"/>
      <c r="J4924" s="195">
        <v>24</v>
      </c>
      <c r="K4924" s="204" t="s">
        <v>25</v>
      </c>
      <c r="L4924" s="199">
        <v>1</v>
      </c>
      <c r="M4924" s="200">
        <v>40.700000000000003</v>
      </c>
      <c r="N4924" s="201">
        <v>19</v>
      </c>
    </row>
    <row r="4925" spans="1:14">
      <c r="A4925" s="194">
        <v>41277.341099537036</v>
      </c>
      <c r="B4925" s="195">
        <v>3044</v>
      </c>
      <c r="C4925" s="194"/>
      <c r="D4925" s="194"/>
      <c r="E4925" s="196" t="s">
        <v>1953</v>
      </c>
      <c r="G4925" s="202"/>
      <c r="J4925" s="195">
        <v>24</v>
      </c>
      <c r="K4925" s="204" t="s">
        <v>25</v>
      </c>
      <c r="L4925" s="199">
        <v>1</v>
      </c>
      <c r="M4925" s="200">
        <v>63.6</v>
      </c>
      <c r="N4925" s="201">
        <v>19</v>
      </c>
    </row>
    <row r="4926" spans="1:14">
      <c r="A4926" s="194">
        <v>41287.336006944446</v>
      </c>
      <c r="B4926" s="195">
        <v>3044</v>
      </c>
      <c r="C4926" s="194"/>
      <c r="D4926" s="194"/>
      <c r="E4926" s="196" t="s">
        <v>1647</v>
      </c>
      <c r="G4926" s="202"/>
      <c r="J4926" s="195">
        <v>24</v>
      </c>
      <c r="K4926" s="204" t="s">
        <v>25</v>
      </c>
      <c r="L4926" s="199">
        <v>1</v>
      </c>
      <c r="M4926" s="200">
        <v>36.5</v>
      </c>
      <c r="N4926" s="201">
        <v>20</v>
      </c>
    </row>
    <row r="4927" spans="1:14">
      <c r="A4927" s="194">
        <v>41294.806527777779</v>
      </c>
      <c r="B4927" s="195">
        <v>3044</v>
      </c>
      <c r="C4927" s="194"/>
      <c r="D4927" s="194"/>
      <c r="E4927" s="196" t="s">
        <v>1870</v>
      </c>
      <c r="G4927" s="202"/>
      <c r="J4927" s="195">
        <v>24</v>
      </c>
      <c r="K4927" s="204" t="s">
        <v>25</v>
      </c>
      <c r="L4927" s="199">
        <v>1</v>
      </c>
      <c r="M4927" s="200">
        <v>48</v>
      </c>
      <c r="N4927" s="201">
        <v>20</v>
      </c>
    </row>
    <row r="4928" spans="1:14">
      <c r="A4928" s="194">
        <v>41300.689421296294</v>
      </c>
      <c r="B4928" s="195">
        <v>3044</v>
      </c>
      <c r="C4928" s="194"/>
      <c r="D4928" s="194"/>
      <c r="E4928" s="196" t="s">
        <v>1971</v>
      </c>
      <c r="G4928" s="202"/>
      <c r="J4928" s="195">
        <v>24</v>
      </c>
      <c r="K4928" s="204" t="s">
        <v>25</v>
      </c>
      <c r="L4928" s="199">
        <v>1</v>
      </c>
      <c r="M4928" s="200">
        <v>46.1</v>
      </c>
      <c r="N4928" s="201">
        <v>21</v>
      </c>
    </row>
    <row r="4929" spans="1:14">
      <c r="A4929" s="194">
        <v>41305.577476851853</v>
      </c>
      <c r="B4929" s="195">
        <v>3044</v>
      </c>
      <c r="C4929" s="194"/>
      <c r="D4929" s="194"/>
      <c r="E4929" s="196" t="s">
        <v>1977</v>
      </c>
      <c r="G4929" s="202"/>
      <c r="J4929" s="195">
        <v>24</v>
      </c>
      <c r="K4929" s="204" t="s">
        <v>25</v>
      </c>
      <c r="L4929" s="199">
        <v>1</v>
      </c>
      <c r="M4929" s="200">
        <v>48.9</v>
      </c>
      <c r="N4929" s="201">
        <v>22</v>
      </c>
    </row>
    <row r="4930" spans="1:14">
      <c r="A4930" s="194">
        <v>41298.111145833333</v>
      </c>
      <c r="B4930" s="195">
        <v>3044</v>
      </c>
      <c r="C4930" s="194"/>
      <c r="D4930" s="194"/>
      <c r="E4930" s="196" t="s">
        <v>1966</v>
      </c>
      <c r="G4930" s="202"/>
      <c r="J4930" s="195">
        <v>24</v>
      </c>
      <c r="K4930" s="204" t="s">
        <v>25</v>
      </c>
      <c r="L4930" s="199">
        <v>1</v>
      </c>
      <c r="M4930" s="200">
        <v>36.200000000000003</v>
      </c>
      <c r="N4930" s="201">
        <v>24</v>
      </c>
    </row>
    <row r="4931" spans="1:14">
      <c r="A4931" s="194">
        <v>41275.94195601852</v>
      </c>
      <c r="B4931" s="195">
        <v>3044</v>
      </c>
      <c r="C4931" s="194"/>
      <c r="D4931" s="194"/>
      <c r="E4931" s="196" t="s">
        <v>1942</v>
      </c>
      <c r="G4931" s="202"/>
      <c r="J4931" s="195">
        <v>29</v>
      </c>
      <c r="K4931" s="204" t="s">
        <v>39</v>
      </c>
      <c r="L4931" s="199">
        <v>1</v>
      </c>
      <c r="M4931" s="200">
        <v>41.8</v>
      </c>
      <c r="N4931" s="201">
        <v>15</v>
      </c>
    </row>
    <row r="4932" spans="1:14">
      <c r="A4932" s="194">
        <v>41299.996550925927</v>
      </c>
      <c r="B4932" s="195">
        <v>3044</v>
      </c>
      <c r="C4932" s="194"/>
      <c r="D4932" s="194"/>
      <c r="E4932" s="196" t="s">
        <v>2004</v>
      </c>
      <c r="G4932" s="202"/>
      <c r="J4932" s="195">
        <v>29</v>
      </c>
      <c r="K4932" s="204" t="s">
        <v>39</v>
      </c>
      <c r="L4932" s="199">
        <v>1</v>
      </c>
      <c r="M4932" s="200">
        <v>34.9</v>
      </c>
      <c r="N4932" s="201">
        <v>16</v>
      </c>
    </row>
    <row r="4933" spans="1:14">
      <c r="A4933" s="194">
        <v>41305.099050925928</v>
      </c>
      <c r="B4933" s="195">
        <v>3044</v>
      </c>
      <c r="C4933" s="194"/>
      <c r="D4933" s="194"/>
      <c r="E4933" s="196" t="s">
        <v>1905</v>
      </c>
      <c r="G4933" s="202"/>
      <c r="J4933" s="195">
        <v>29</v>
      </c>
      <c r="K4933" s="204" t="s">
        <v>39</v>
      </c>
      <c r="L4933" s="199">
        <v>1</v>
      </c>
      <c r="M4933" s="200">
        <v>40.200000000000003</v>
      </c>
      <c r="N4933" s="201">
        <v>17</v>
      </c>
    </row>
    <row r="4934" spans="1:14">
      <c r="A4934" s="194">
        <v>41285.602013888885</v>
      </c>
      <c r="B4934" s="195">
        <v>3044</v>
      </c>
      <c r="C4934" s="194"/>
      <c r="D4934" s="194"/>
      <c r="E4934" s="196" t="s">
        <v>2119</v>
      </c>
      <c r="G4934" s="202"/>
      <c r="J4934" s="195">
        <v>29</v>
      </c>
      <c r="K4934" s="204" t="s">
        <v>39</v>
      </c>
      <c r="L4934" s="199">
        <v>1</v>
      </c>
      <c r="M4934" s="200">
        <v>0.4</v>
      </c>
      <c r="N4934" s="201">
        <v>18</v>
      </c>
    </row>
    <row r="4935" spans="1:14">
      <c r="A4935" s="194">
        <v>41291.064293981479</v>
      </c>
      <c r="B4935" s="195">
        <v>3044</v>
      </c>
      <c r="C4935" s="194"/>
      <c r="D4935" s="194"/>
      <c r="E4935" s="196" t="s">
        <v>2038</v>
      </c>
      <c r="G4935" s="202"/>
      <c r="J4935" s="195">
        <v>29</v>
      </c>
      <c r="K4935" s="204" t="s">
        <v>39</v>
      </c>
      <c r="L4935" s="199">
        <v>1</v>
      </c>
      <c r="M4935" s="200">
        <v>38.6</v>
      </c>
      <c r="N4935" s="201">
        <v>18</v>
      </c>
    </row>
    <row r="4936" spans="1:14">
      <c r="A4936" s="194">
        <v>41286.859525462962</v>
      </c>
      <c r="B4936" s="195">
        <v>3044</v>
      </c>
      <c r="C4936" s="194"/>
      <c r="D4936" s="194"/>
      <c r="E4936" s="196" t="s">
        <v>1822</v>
      </c>
      <c r="G4936" s="202"/>
      <c r="J4936" s="195">
        <v>29</v>
      </c>
      <c r="K4936" s="204" t="s">
        <v>39</v>
      </c>
      <c r="L4936" s="199">
        <v>1</v>
      </c>
      <c r="M4936" s="200">
        <v>41.1</v>
      </c>
      <c r="N4936" s="201">
        <v>18</v>
      </c>
    </row>
    <row r="4937" spans="1:14">
      <c r="A4937" s="194">
        <v>41286.819571759261</v>
      </c>
      <c r="B4937" s="195">
        <v>3044</v>
      </c>
      <c r="C4937" s="194"/>
      <c r="D4937" s="194"/>
      <c r="E4937" s="196" t="s">
        <v>2145</v>
      </c>
      <c r="G4937" s="202"/>
      <c r="J4937" s="195">
        <v>29</v>
      </c>
      <c r="K4937" s="204" t="s">
        <v>39</v>
      </c>
      <c r="L4937" s="199">
        <v>1</v>
      </c>
      <c r="M4937" s="200">
        <v>38.200000000000003</v>
      </c>
      <c r="N4937" s="201">
        <v>20</v>
      </c>
    </row>
    <row r="4938" spans="1:14">
      <c r="A4938" s="194">
        <v>41287.893379629626</v>
      </c>
      <c r="B4938" s="195">
        <v>3044</v>
      </c>
      <c r="C4938" s="194"/>
      <c r="D4938" s="194"/>
      <c r="E4938" s="196" t="s">
        <v>1847</v>
      </c>
      <c r="G4938" s="202"/>
      <c r="J4938" s="195">
        <v>29</v>
      </c>
      <c r="K4938" s="204" t="s">
        <v>39</v>
      </c>
      <c r="L4938" s="199">
        <v>1</v>
      </c>
      <c r="M4938" s="200">
        <v>47.3</v>
      </c>
      <c r="N4938" s="201">
        <v>22</v>
      </c>
    </row>
    <row r="4939" spans="1:14">
      <c r="A4939" s="194">
        <v>41296.244872685187</v>
      </c>
      <c r="B4939" s="195">
        <v>3044</v>
      </c>
      <c r="C4939" s="194"/>
      <c r="D4939" s="194"/>
      <c r="E4939" s="196" t="s">
        <v>1680</v>
      </c>
      <c r="G4939" s="202"/>
      <c r="J4939" s="195">
        <v>40</v>
      </c>
      <c r="K4939" s="204" t="s">
        <v>33</v>
      </c>
      <c r="L4939" s="199">
        <v>1</v>
      </c>
      <c r="M4939" s="200">
        <v>37.9</v>
      </c>
      <c r="N4939" s="201">
        <v>15</v>
      </c>
    </row>
    <row r="4940" spans="1:14">
      <c r="A4940" s="194">
        <v>41280.766608796293</v>
      </c>
      <c r="B4940" s="195">
        <v>3044</v>
      </c>
      <c r="C4940" s="194"/>
      <c r="D4940" s="194"/>
      <c r="E4940" s="196" t="s">
        <v>2112</v>
      </c>
      <c r="G4940" s="202"/>
      <c r="J4940" s="195">
        <v>40</v>
      </c>
      <c r="K4940" s="204" t="s">
        <v>33</v>
      </c>
      <c r="L4940" s="199">
        <v>1</v>
      </c>
      <c r="M4940" s="200">
        <v>39.799999999999997</v>
      </c>
      <c r="N4940" s="201">
        <v>18</v>
      </c>
    </row>
    <row r="4941" spans="1:14">
      <c r="A4941" s="194">
        <v>41275.190138888887</v>
      </c>
      <c r="B4941" s="195">
        <v>3044</v>
      </c>
      <c r="C4941" s="194"/>
      <c r="D4941" s="194"/>
      <c r="E4941" s="196" t="s">
        <v>2155</v>
      </c>
      <c r="G4941" s="202"/>
      <c r="J4941" s="195">
        <v>40</v>
      </c>
      <c r="K4941" s="204" t="s">
        <v>33</v>
      </c>
      <c r="L4941" s="199">
        <v>1</v>
      </c>
      <c r="M4941" s="200">
        <v>35.200000000000003</v>
      </c>
      <c r="N4941" s="201">
        <v>19</v>
      </c>
    </row>
    <row r="4942" spans="1:14">
      <c r="A4942" s="194">
        <v>41300.293483796297</v>
      </c>
      <c r="B4942" s="195">
        <v>3044</v>
      </c>
      <c r="C4942" s="194"/>
      <c r="D4942" s="194"/>
      <c r="E4942" s="198"/>
      <c r="G4942" s="202"/>
      <c r="J4942" s="195">
        <v>6200</v>
      </c>
      <c r="K4942" s="204" t="s">
        <v>36</v>
      </c>
      <c r="L4942" s="199">
        <v>1</v>
      </c>
      <c r="M4942" s="200">
        <v>35.200000000000003</v>
      </c>
      <c r="N4942" s="201">
        <v>-1</v>
      </c>
    </row>
    <row r="4943" spans="1:14">
      <c r="A4943" s="194">
        <v>41301.733668981484</v>
      </c>
      <c r="B4943" s="195">
        <v>3044</v>
      </c>
      <c r="C4943" s="194"/>
      <c r="D4943" s="194"/>
      <c r="E4943" s="198"/>
      <c r="G4943" s="202"/>
      <c r="J4943" s="195">
        <v>6200</v>
      </c>
      <c r="K4943" s="204" t="s">
        <v>36</v>
      </c>
      <c r="L4943" s="199">
        <v>1</v>
      </c>
      <c r="M4943" s="200">
        <v>38.700000000000003</v>
      </c>
      <c r="N4943" s="201">
        <v>-1</v>
      </c>
    </row>
    <row r="4944" spans="1:14">
      <c r="A4944" s="194">
        <v>41277.49832175926</v>
      </c>
      <c r="B4944" s="195">
        <v>3044</v>
      </c>
      <c r="C4944" s="194"/>
      <c r="D4944" s="194"/>
      <c r="E4944" s="198"/>
      <c r="G4944" s="202"/>
      <c r="J4944" s="195">
        <v>6200</v>
      </c>
      <c r="K4944" s="204" t="s">
        <v>36</v>
      </c>
      <c r="L4944" s="199">
        <v>1</v>
      </c>
      <c r="M4944" s="200">
        <v>40</v>
      </c>
      <c r="N4944" s="201">
        <v>-1</v>
      </c>
    </row>
    <row r="4945" spans="1:14">
      <c r="A4945" s="194">
        <v>41293.630428240744</v>
      </c>
      <c r="B4945" s="195">
        <v>3044</v>
      </c>
      <c r="C4945" s="194"/>
      <c r="D4945" s="194"/>
      <c r="E4945" s="198"/>
      <c r="G4945" s="202"/>
      <c r="J4945" s="195">
        <v>6200</v>
      </c>
      <c r="K4945" s="204" t="s">
        <v>36</v>
      </c>
      <c r="L4945" s="199">
        <v>1</v>
      </c>
      <c r="M4945" s="200">
        <v>47.3</v>
      </c>
      <c r="N4945" s="201">
        <v>-1</v>
      </c>
    </row>
    <row r="4946" spans="1:14">
      <c r="A4946" s="194">
        <v>41283.589895833335</v>
      </c>
      <c r="B4946" s="195">
        <v>3044</v>
      </c>
      <c r="C4946" s="194"/>
      <c r="D4946" s="194"/>
      <c r="E4946" s="198"/>
      <c r="G4946" s="202"/>
      <c r="J4946" s="195">
        <v>6200</v>
      </c>
      <c r="K4946" s="204" t="s">
        <v>36</v>
      </c>
      <c r="L4946" s="199">
        <v>1</v>
      </c>
      <c r="M4946" s="200">
        <v>0.2</v>
      </c>
      <c r="N4946" s="201">
        <v>16</v>
      </c>
    </row>
    <row r="4947" spans="1:14">
      <c r="A4947" s="194">
        <v>41296.296284722222</v>
      </c>
      <c r="B4947" s="195">
        <v>3044</v>
      </c>
      <c r="C4947" s="194"/>
      <c r="D4947" s="194"/>
      <c r="E4947" s="198"/>
      <c r="G4947" s="202"/>
      <c r="J4947" s="195">
        <v>6200</v>
      </c>
      <c r="K4947" s="204" t="s">
        <v>36</v>
      </c>
      <c r="L4947" s="199">
        <v>1</v>
      </c>
      <c r="M4947" s="200">
        <v>60.1</v>
      </c>
      <c r="N4947" s="201">
        <v>16</v>
      </c>
    </row>
    <row r="4948" spans="1:14">
      <c r="A4948" s="194">
        <v>41278.580011574071</v>
      </c>
      <c r="B4948" s="195">
        <v>3044</v>
      </c>
      <c r="C4948" s="194"/>
      <c r="D4948" s="194"/>
      <c r="E4948" s="198"/>
      <c r="G4948" s="202"/>
      <c r="J4948" s="195">
        <v>6200</v>
      </c>
      <c r="K4948" s="204" t="s">
        <v>36</v>
      </c>
      <c r="L4948" s="199">
        <v>1</v>
      </c>
      <c r="M4948" s="200">
        <v>42</v>
      </c>
      <c r="N4948" s="201">
        <v>20</v>
      </c>
    </row>
    <row r="4949" spans="1:14">
      <c r="A4949" s="194">
        <v>41286.963680555556</v>
      </c>
      <c r="B4949" s="195">
        <v>3044</v>
      </c>
      <c r="C4949" s="194"/>
      <c r="D4949" s="194"/>
      <c r="E4949" s="198"/>
      <c r="G4949" s="202"/>
      <c r="J4949" s="195">
        <v>6200</v>
      </c>
      <c r="K4949" s="204" t="s">
        <v>36</v>
      </c>
      <c r="L4949" s="199">
        <v>1</v>
      </c>
      <c r="M4949" s="200">
        <v>41.5</v>
      </c>
      <c r="N4949" s="201">
        <v>21</v>
      </c>
    </row>
    <row r="4950" spans="1:14">
      <c r="A4950" s="194">
        <v>41286.797939814816</v>
      </c>
      <c r="B4950" s="195">
        <v>3044</v>
      </c>
      <c r="C4950" s="194"/>
      <c r="D4950" s="194"/>
      <c r="E4950" s="198"/>
      <c r="G4950" s="202"/>
      <c r="J4950" s="195">
        <v>6200</v>
      </c>
      <c r="K4950" s="204" t="s">
        <v>36</v>
      </c>
      <c r="L4950" s="199">
        <v>1</v>
      </c>
      <c r="M4950" s="200">
        <v>45.2</v>
      </c>
      <c r="N4950" s="201">
        <v>21</v>
      </c>
    </row>
  </sheetData>
  <sortState ref="A2:P4950">
    <sortCondition ref="B2:B4950"/>
    <sortCondition ref="J2:J4950"/>
    <sortCondition ref="F2:F4950"/>
    <sortCondition ref="N2:N4950"/>
  </sortState>
  <pageMargins left="0.25" right="0.25" top="0.2" bottom="0.2" header="0.5" footer="0.5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2.75"/>
  <sheetData/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2.75"/>
  <sheetData/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2.75"/>
  <sheetData/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2.75"/>
  <sheetData/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2.75"/>
  <sheetData/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2.75"/>
  <sheetData/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2.75"/>
  <sheetData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67"/>
  <sheetViews>
    <sheetView view="pageBreakPreview" zoomScale="90" zoomScaleNormal="100" zoomScaleSheetLayoutView="90" workbookViewId="0">
      <selection activeCell="M32" sqref="M32"/>
    </sheetView>
  </sheetViews>
  <sheetFormatPr defaultRowHeight="12.75"/>
  <cols>
    <col min="1" max="1" width="22.85546875" style="1" customWidth="1"/>
    <col min="2" max="13" width="7.140625" style="1" customWidth="1"/>
    <col min="14" max="14" width="4.42578125" style="1" customWidth="1"/>
    <col min="15" max="16384" width="9.140625" style="1"/>
  </cols>
  <sheetData>
    <row r="1" spans="1:21" ht="18" customHeight="1">
      <c r="A1" s="130"/>
      <c r="B1" s="131"/>
      <c r="C1" s="131"/>
      <c r="D1" s="131"/>
      <c r="E1" s="131"/>
      <c r="F1" s="131"/>
      <c r="G1" s="131"/>
      <c r="H1" s="130"/>
      <c r="I1" s="131"/>
      <c r="J1" s="131"/>
      <c r="K1" s="131"/>
      <c r="L1" s="143"/>
      <c r="M1" s="143" t="s">
        <v>203</v>
      </c>
      <c r="N1" s="23"/>
    </row>
    <row r="2" spans="1:21" ht="18" customHeight="1">
      <c r="A2" s="130"/>
      <c r="B2" s="135"/>
      <c r="C2" s="135"/>
      <c r="D2" s="135"/>
      <c r="E2" s="135"/>
      <c r="F2" s="135"/>
      <c r="G2" s="135"/>
      <c r="H2" s="130"/>
      <c r="I2" s="135"/>
      <c r="J2" s="135"/>
      <c r="K2" s="135"/>
      <c r="L2" s="155"/>
      <c r="M2" s="155" t="s">
        <v>2181</v>
      </c>
      <c r="N2" s="24"/>
    </row>
    <row r="3" spans="1:21" s="5" customFormat="1" ht="18" customHeight="1">
      <c r="A3" s="133"/>
      <c r="B3" s="133"/>
      <c r="C3" s="133"/>
      <c r="D3" s="133"/>
      <c r="E3" s="133"/>
      <c r="F3" s="133"/>
      <c r="G3" s="133"/>
      <c r="H3" s="133"/>
      <c r="I3" s="133"/>
      <c r="J3" s="136"/>
      <c r="K3" s="136"/>
      <c r="L3" s="155"/>
      <c r="M3" s="155" t="s">
        <v>201</v>
      </c>
      <c r="N3" s="134"/>
      <c r="O3" s="134"/>
      <c r="P3" s="134"/>
      <c r="Q3" s="134"/>
      <c r="R3" s="134"/>
      <c r="S3" s="134"/>
      <c r="T3" s="134"/>
      <c r="U3" s="134"/>
    </row>
    <row r="4" spans="1:21" s="5" customFormat="1" ht="6.75" customHeight="1" thickBot="1">
      <c r="A4" s="36"/>
      <c r="B4" s="37"/>
      <c r="C4" s="37"/>
      <c r="D4" s="37"/>
      <c r="E4" s="37"/>
      <c r="F4" s="37"/>
      <c r="G4" s="37"/>
      <c r="H4" s="37"/>
      <c r="I4" s="37"/>
      <c r="J4" s="37"/>
      <c r="K4" s="37"/>
      <c r="L4" s="37"/>
      <c r="M4" s="37"/>
      <c r="N4" s="25"/>
    </row>
    <row r="5" spans="1:21" s="8" customFormat="1" ht="11.25" customHeight="1" thickBot="1">
      <c r="A5" s="53" t="s">
        <v>19</v>
      </c>
      <c r="B5" s="50">
        <v>41275</v>
      </c>
      <c r="C5" s="47">
        <v>41306</v>
      </c>
      <c r="D5" s="47">
        <v>41334</v>
      </c>
      <c r="E5" s="47">
        <v>41365</v>
      </c>
      <c r="F5" s="47">
        <v>41395</v>
      </c>
      <c r="G5" s="47">
        <v>41426</v>
      </c>
      <c r="H5" s="47">
        <v>41456</v>
      </c>
      <c r="I5" s="47">
        <v>41487</v>
      </c>
      <c r="J5" s="47">
        <v>41518</v>
      </c>
      <c r="K5" s="47">
        <v>41548</v>
      </c>
      <c r="L5" s="47">
        <v>41579</v>
      </c>
      <c r="M5" s="51">
        <v>41609</v>
      </c>
      <c r="N5" s="26"/>
    </row>
    <row r="6" spans="1:21" s="8" customFormat="1" ht="11.25" customHeight="1">
      <c r="A6" s="41" t="s">
        <v>129</v>
      </c>
      <c r="B6" s="57">
        <f t="shared" ref="B6:L6" si="0">B32</f>
        <v>0</v>
      </c>
      <c r="C6" s="57">
        <f t="shared" si="0"/>
        <v>0</v>
      </c>
      <c r="D6" s="57">
        <f t="shared" si="0"/>
        <v>0</v>
      </c>
      <c r="E6" s="57">
        <f t="shared" si="0"/>
        <v>0</v>
      </c>
      <c r="F6" s="57">
        <f t="shared" si="0"/>
        <v>0</v>
      </c>
      <c r="G6" s="57">
        <f t="shared" si="0"/>
        <v>0</v>
      </c>
      <c r="H6" s="57">
        <f t="shared" si="0"/>
        <v>0</v>
      </c>
      <c r="I6" s="57">
        <f t="shared" si="0"/>
        <v>0</v>
      </c>
      <c r="J6" s="57">
        <f t="shared" si="0"/>
        <v>0</v>
      </c>
      <c r="K6" s="57">
        <f t="shared" si="0"/>
        <v>0</v>
      </c>
      <c r="L6" s="156">
        <f t="shared" si="0"/>
        <v>0</v>
      </c>
      <c r="M6" s="168">
        <v>0</v>
      </c>
      <c r="N6" s="20"/>
    </row>
    <row r="7" spans="1:21" s="8" customFormat="1" ht="11.25" customHeight="1">
      <c r="A7" s="42" t="s">
        <v>18</v>
      </c>
      <c r="B7" s="57">
        <f t="shared" ref="B7:L7" si="1">SUM(B10:B12)</f>
        <v>0</v>
      </c>
      <c r="C7" s="57">
        <f t="shared" si="1"/>
        <v>0</v>
      </c>
      <c r="D7" s="57">
        <f t="shared" si="1"/>
        <v>0</v>
      </c>
      <c r="E7" s="57">
        <f t="shared" si="1"/>
        <v>0</v>
      </c>
      <c r="F7" s="57">
        <f t="shared" si="1"/>
        <v>0</v>
      </c>
      <c r="G7" s="57">
        <f t="shared" si="1"/>
        <v>0</v>
      </c>
      <c r="H7" s="57">
        <f t="shared" si="1"/>
        <v>0</v>
      </c>
      <c r="I7" s="57">
        <f t="shared" si="1"/>
        <v>0</v>
      </c>
      <c r="J7" s="57">
        <f t="shared" si="1"/>
        <v>0</v>
      </c>
      <c r="K7" s="57">
        <f t="shared" si="1"/>
        <v>0</v>
      </c>
      <c r="L7" s="156">
        <f t="shared" si="1"/>
        <v>0</v>
      </c>
      <c r="M7" s="171">
        <v>0</v>
      </c>
      <c r="N7" s="20"/>
    </row>
    <row r="8" spans="1:21" s="8" customFormat="1" ht="11.25" customHeight="1" thickBot="1">
      <c r="A8" s="43" t="s">
        <v>14</v>
      </c>
      <c r="B8" s="58">
        <f t="shared" ref="B8:L8" si="2">SUM(B6:B7)</f>
        <v>0</v>
      </c>
      <c r="C8" s="58">
        <f t="shared" si="2"/>
        <v>0</v>
      </c>
      <c r="D8" s="58">
        <f t="shared" si="2"/>
        <v>0</v>
      </c>
      <c r="E8" s="58">
        <f t="shared" si="2"/>
        <v>0</v>
      </c>
      <c r="F8" s="58">
        <f t="shared" si="2"/>
        <v>0</v>
      </c>
      <c r="G8" s="58">
        <f t="shared" si="2"/>
        <v>0</v>
      </c>
      <c r="H8" s="58">
        <f t="shared" si="2"/>
        <v>0</v>
      </c>
      <c r="I8" s="58">
        <f t="shared" si="2"/>
        <v>0</v>
      </c>
      <c r="J8" s="58">
        <f t="shared" si="2"/>
        <v>0</v>
      </c>
      <c r="K8" s="58">
        <f t="shared" si="2"/>
        <v>0</v>
      </c>
      <c r="L8" s="157">
        <f t="shared" si="2"/>
        <v>0</v>
      </c>
      <c r="M8" s="172">
        <v>0</v>
      </c>
      <c r="N8" s="20"/>
    </row>
    <row r="9" spans="1:21" s="8" customFormat="1" ht="11.25" customHeight="1" thickBot="1">
      <c r="A9" s="54" t="s">
        <v>18</v>
      </c>
      <c r="B9" s="50">
        <v>41275</v>
      </c>
      <c r="C9" s="47">
        <v>41306</v>
      </c>
      <c r="D9" s="47">
        <v>41334</v>
      </c>
      <c r="E9" s="47">
        <v>41365</v>
      </c>
      <c r="F9" s="47">
        <v>41395</v>
      </c>
      <c r="G9" s="47">
        <v>41426</v>
      </c>
      <c r="H9" s="47">
        <v>41456</v>
      </c>
      <c r="I9" s="47">
        <v>41487</v>
      </c>
      <c r="J9" s="47">
        <v>41518</v>
      </c>
      <c r="K9" s="47">
        <v>41548</v>
      </c>
      <c r="L9" s="47">
        <v>41579</v>
      </c>
      <c r="M9" s="51">
        <v>41609</v>
      </c>
      <c r="N9" s="27"/>
    </row>
    <row r="10" spans="1:21" s="8" customFormat="1" ht="11.25" customHeight="1">
      <c r="A10" s="9" t="s">
        <v>128</v>
      </c>
      <c r="B10" s="57">
        <f t="shared" ref="B10:L10" si="3">B52</f>
        <v>0</v>
      </c>
      <c r="C10" s="57">
        <f t="shared" si="3"/>
        <v>0</v>
      </c>
      <c r="D10" s="57">
        <f t="shared" si="3"/>
        <v>0</v>
      </c>
      <c r="E10" s="57">
        <f t="shared" si="3"/>
        <v>0</v>
      </c>
      <c r="F10" s="57">
        <f t="shared" si="3"/>
        <v>0</v>
      </c>
      <c r="G10" s="59">
        <f t="shared" si="3"/>
        <v>0</v>
      </c>
      <c r="H10" s="59">
        <f t="shared" si="3"/>
        <v>0</v>
      </c>
      <c r="I10" s="59">
        <f t="shared" si="3"/>
        <v>0</v>
      </c>
      <c r="J10" s="59">
        <f t="shared" si="3"/>
        <v>0</v>
      </c>
      <c r="K10" s="59">
        <f t="shared" si="3"/>
        <v>0</v>
      </c>
      <c r="L10" s="158">
        <f t="shared" si="3"/>
        <v>0</v>
      </c>
      <c r="M10" s="168">
        <v>0</v>
      </c>
      <c r="N10" s="20"/>
    </row>
    <row r="11" spans="1:21" s="8" customFormat="1" ht="11.25" customHeight="1">
      <c r="A11" s="9" t="s">
        <v>127</v>
      </c>
      <c r="B11" s="59">
        <f t="shared" ref="B11:L11" si="4">B65</f>
        <v>0</v>
      </c>
      <c r="C11" s="59">
        <f t="shared" si="4"/>
        <v>0</v>
      </c>
      <c r="D11" s="59">
        <f t="shared" si="4"/>
        <v>0</v>
      </c>
      <c r="E11" s="59">
        <f t="shared" si="4"/>
        <v>0</v>
      </c>
      <c r="F11" s="59">
        <f t="shared" si="4"/>
        <v>0</v>
      </c>
      <c r="G11" s="59">
        <f t="shared" si="4"/>
        <v>0</v>
      </c>
      <c r="H11" s="59">
        <f t="shared" si="4"/>
        <v>0</v>
      </c>
      <c r="I11" s="59">
        <f t="shared" si="4"/>
        <v>0</v>
      </c>
      <c r="J11" s="59">
        <f t="shared" si="4"/>
        <v>0</v>
      </c>
      <c r="K11" s="59">
        <f t="shared" si="4"/>
        <v>0</v>
      </c>
      <c r="L11" s="158">
        <f t="shared" si="4"/>
        <v>0</v>
      </c>
      <c r="M11" s="169">
        <v>0</v>
      </c>
      <c r="N11" s="20"/>
    </row>
    <row r="12" spans="1:21" s="8" customFormat="1" ht="11.25" customHeight="1" thickBot="1">
      <c r="A12" s="2" t="s">
        <v>12</v>
      </c>
      <c r="B12" s="60">
        <f>COUNTIFS(Jan!$B:$B,2004,Jan!$F:$F,800)</f>
        <v>0</v>
      </c>
      <c r="C12" s="60">
        <f>COUNTIFS(Feb!$B:$B,2004,Feb!$F:$F,800)</f>
        <v>0</v>
      </c>
      <c r="D12" s="60">
        <f>COUNTIFS(Mar!$B:$B,2004,Mar!$F:$F,800)</f>
        <v>0</v>
      </c>
      <c r="E12" s="60">
        <f>COUNTIFS(Apr!$B:$B,2004,Apr!$F:$F,800)</f>
        <v>0</v>
      </c>
      <c r="F12" s="60">
        <f>COUNTIFS(May!$B:$B,2004,May!$F:$F,800)</f>
        <v>0</v>
      </c>
      <c r="G12" s="60">
        <f>COUNTIFS(Jun!$B:$B,2004,Jun!$F:$F,800)</f>
        <v>0</v>
      </c>
      <c r="H12" s="60">
        <f>COUNTIFS(Jul!$B:$B,2004,Jul!$F:$F,800)</f>
        <v>0</v>
      </c>
      <c r="I12" s="60">
        <f>COUNTIFS(Aug!$B:$B,2004,Aug!$F:$F,800)</f>
        <v>0</v>
      </c>
      <c r="J12" s="60">
        <f>COUNTIFS(Sep!$B:$B,2004,Sep!$F:$F,800)</f>
        <v>0</v>
      </c>
      <c r="K12" s="60">
        <f>COUNTIFS(Oct!$B:$B,2004,Oct!$F:$F,800)</f>
        <v>0</v>
      </c>
      <c r="L12" s="60">
        <f>COUNTIFS(Nov!$B:$B,2004,Nov!$F:$F,800)</f>
        <v>0</v>
      </c>
      <c r="M12" s="60">
        <v>0</v>
      </c>
      <c r="N12" s="20"/>
    </row>
    <row r="13" spans="1:21" s="8" customFormat="1" ht="5.0999999999999996" customHeight="1" thickBot="1">
      <c r="A13" s="3"/>
      <c r="B13" s="17"/>
      <c r="C13" s="17"/>
      <c r="D13" s="17"/>
      <c r="E13" s="17"/>
      <c r="F13" s="17"/>
      <c r="G13" s="17"/>
      <c r="H13" s="17"/>
      <c r="I13" s="17"/>
      <c r="J13" s="17"/>
      <c r="K13" s="17"/>
      <c r="L13" s="17"/>
      <c r="M13" s="147"/>
      <c r="N13" s="28"/>
    </row>
    <row r="14" spans="1:21" s="16" customFormat="1" ht="11.25" customHeight="1">
      <c r="A14" s="44" t="s">
        <v>131</v>
      </c>
      <c r="B14" s="61"/>
      <c r="C14" s="61"/>
      <c r="D14" s="61"/>
      <c r="E14" s="61"/>
      <c r="F14" s="61"/>
      <c r="G14" s="61"/>
      <c r="H14" s="61"/>
      <c r="I14" s="61"/>
      <c r="J14" s="61"/>
      <c r="K14" s="118"/>
      <c r="L14" s="160"/>
      <c r="M14" s="173"/>
      <c r="N14" s="21"/>
      <c r="O14" s="22"/>
      <c r="P14" s="22"/>
      <c r="Q14" s="22"/>
    </row>
    <row r="15" spans="1:21" s="8" customFormat="1" ht="11.25" customHeight="1">
      <c r="A15" s="45" t="s">
        <v>132</v>
      </c>
      <c r="B15" s="62" t="str">
        <f>IFERROR((SUMIFS(Jan!$N:$N,Jan!$K:$K,1,Jan!$C:$C,2004)+SUMIFS(Jan!$N:$N,Jan!$B:$B,"&gt;1",Jan!$C:$C,2004))/(COUNTIFS(Jan!$K:$K,1,Jan!$C:$C,2004)+COUNTIFS(Jan!$B:$B,"&gt;1",Jan!$C:$C,2004)),"")</f>
        <v/>
      </c>
      <c r="C15" s="62" t="str">
        <f ca="1">IFERROR((SUMIFS(Feb!$N:$N,Feb!$K:$K,1,Feb!$C:$C,2004)+SUMIFS(Feb!$N:$N,Feb!$B:$B,"&gt;1",Feb!$C:$C,2004))/(COUNTIFS(Feb!$K:$K,1,Feb!$C:$C,2004)+COUNTIFS(Feb!$B:$B,"&gt;1",Feb!$C:$C,2004)),"")</f>
        <v/>
      </c>
      <c r="D15" s="62" t="str">
        <f ca="1">IFERROR((SUMIFS(Mar!$N:$N,Mar!$K:$K,1,Mar!$C:$C,2004)+SUMIFS(Mar!$N:$N,Mar!$B:$B,"&gt;1",Mar!$C:$C,2004))/(COUNTIFS(Mar!$K:$K,1,Mar!$C:$C,2004)+COUNTIFS(Mar!$B:$B,"&gt;1",Mar!$C:$C,2004)),"")</f>
        <v/>
      </c>
      <c r="E15" s="62" t="str">
        <f ca="1">IFERROR((SUMIFS(Apr!$N:$N,Apr!$K:$K,1,Apr!$C:$C,2004)+SUMIFS(Apr!$N:$N,Apr!$B:$B,"&gt;1",Apr!$C:$C,2004))/(COUNTIFS(Apr!$K:$K,1,Apr!$C:$C,2004)+COUNTIFS(Apr!$B:$B,"&gt;1",Apr!$C:$C,2004)),"")</f>
        <v/>
      </c>
      <c r="F15" s="62" t="str">
        <f ca="1">IFERROR((SUMIFS(May!$N:$N,May!$K:$K,1,May!$C:$C,2004)+SUMIFS(May!$N:$N,May!$B:$B,"&gt;1",May!$C:$C,2004))/(COUNTIFS(May!$K:$K,1,May!$C:$C,2004)+COUNTIFS(May!$B:$B,"&gt;1",May!$C:$C,2004)),"")</f>
        <v/>
      </c>
      <c r="G15" s="62" t="str">
        <f ca="1">IFERROR((SUMIFS(Jun!$N:$N,Jun!$K:$K,1,Jun!$C:$C,2004)+SUMIFS(Jun!$N:$N,Jun!$B:$B,"&gt;1",Jun!$C:$C,2004))/(COUNTIFS(Jun!$K:$K,1,Jun!$C:$C,2004)+COUNTIFS(Jun!$B:$B,"&gt;1",Jun!$C:$C,2004)),"")</f>
        <v/>
      </c>
      <c r="H15" s="62" t="str">
        <f ca="1">IFERROR((SUMIFS(Jul!$N:$N,Jul!$K:$K,1,Jul!$C:$C,2004)+SUMIFS(Jul!$N:$N,Jul!$B:$B,"&gt;1",Jul!$C:$C,2004))/(COUNTIFS(Jul!$K:$K,1,Jul!$C:$C,2004)+COUNTIFS(Jul!$B:$B,"&gt;1",Jul!$C:$C,2004)),"")</f>
        <v/>
      </c>
      <c r="I15" s="62" t="str">
        <f ca="1">IFERROR((SUMIFS(Aug!$N:$N,Aug!$K:$K,1,Aug!$C:$C,2004)+SUMIFS(Aug!$N:$N,Aug!$B:$B,"&gt;1",Aug!$C:$C,2004))/(COUNTIFS(Aug!$K:$K,1,Aug!$C:$C,2004)+COUNTIFS(Aug!$B:$B,"&gt;1",Aug!$C:$C,2004)),"")</f>
        <v/>
      </c>
      <c r="J15" s="62" t="str">
        <f ca="1">IFERROR((SUMIFS(Sep!$N:$N,Sep!$K:$K,1,Sep!$C:$C,2004)+SUMIFS(Sep!$N:$N,Sep!$B:$B,"&gt;1",Sep!$C:$C,2004))/(COUNTIFS(Sep!$K:$K,1,Sep!$C:$C,2004)+COUNTIFS(Sep!$B:$B,"&gt;1",Sep!$C:$C,2004)),"")</f>
        <v/>
      </c>
      <c r="K15" s="62" t="str">
        <f ca="1">IFERROR((SUMIFS(Oct!$N:$N,Oct!$K:$K,1,Oct!$C:$C,2004)+SUMIFS(Oct!$N:$N,Oct!$B:$B,"&gt;1",Oct!$C:$C,2004))/(COUNTIFS(Oct!$K:$K,1,Oct!$C:$C,2004)+COUNTIFS(Oct!$B:$B,"&gt;1",Oct!$C:$C,2004)),"")</f>
        <v/>
      </c>
      <c r="L15" s="62" t="str">
        <f ca="1">IFERROR((SUMIFS(Nov!$N:$N,Nov!$K:$K,1,Nov!$C:$C,2004)+SUMIFS(Nov!$N:$N,Nov!$B:$B,"&gt;1",Nov!$C:$C,2004))/(COUNTIFS(Nov!$K:$K,1,Nov!$C:$C,2004)+COUNTIFS(Nov!$B:$B,"&gt;1",Nov!$C:$C,2004)),"")</f>
        <v/>
      </c>
      <c r="M15" s="62" t="str">
        <f>IFERROR((SUMIFS(#REF!,#REF!,1,#REF!,2004)+SUMIFS(#REF!,#REF!,"&gt;1",#REF!,2004))/(COUNTIFS(#REF!,1,#REF!,2004)+COUNTIFS(#REF!,"&gt;1",#REF!,2004)),"")</f>
        <v/>
      </c>
      <c r="N15" s="29"/>
      <c r="O15" s="1"/>
      <c r="P15" s="1"/>
      <c r="Q15" s="1"/>
    </row>
    <row r="16" spans="1:21" s="8" customFormat="1" ht="11.25" customHeight="1">
      <c r="A16" s="45" t="s">
        <v>133</v>
      </c>
      <c r="B16" s="62" t="str">
        <f>IFERROR(AVERAGEIFS(Jan!$N:$N,Jan!$F:$F,800,Jan!$B:$B,2004),"")</f>
        <v/>
      </c>
      <c r="C16" s="62" t="str">
        <f ca="1">IFERROR(AVERAGEIFS(Feb!$N:$N,Feb!$F:$F,800,Feb!$B:$B,2004),"")</f>
        <v/>
      </c>
      <c r="D16" s="62" t="str">
        <f ca="1">IFERROR(AVERAGEIFS(Mar!$N:$N,Mar!$F:$F,800,Mar!$B:$B,2004),"")</f>
        <v/>
      </c>
      <c r="E16" s="62" t="str">
        <f ca="1">IFERROR(AVERAGEIFS(Apr!$N:$N,Apr!$F:$F,800,Apr!$B:$B,2004),"")</f>
        <v/>
      </c>
      <c r="F16" s="62" t="str">
        <f ca="1">IFERROR(AVERAGEIFS(May!$N:$N,May!$F:$F,800,May!$B:$B,2004),"")</f>
        <v/>
      </c>
      <c r="G16" s="62" t="str">
        <f ca="1">IFERROR(AVERAGEIFS(Jun!$N:$N,Jun!$F:$F,800,Jun!$B:$B,2004),"")</f>
        <v/>
      </c>
      <c r="H16" s="62" t="str">
        <f ca="1">IFERROR(AVERAGEIFS(Jul!$N:$N,Jul!$F:$F,800,Jul!$B:$B,2004),"")</f>
        <v/>
      </c>
      <c r="I16" s="62" t="str">
        <f ca="1">IFERROR(AVERAGEIFS(Aug!$N:$N,Aug!$F:$F,800,Aug!$B:$B,2004),"")</f>
        <v/>
      </c>
      <c r="J16" s="62" t="str">
        <f ca="1">IFERROR(AVERAGEIFS(Sep!$N:$N,Sep!$F:$F,800,Sep!$B:$B,2004),"")</f>
        <v/>
      </c>
      <c r="K16" s="62" t="str">
        <f ca="1">IFERROR(AVERAGEIFS(Oct!$N:$N,Oct!$F:$F,800,Oct!$B:$B,2004),"")</f>
        <v/>
      </c>
      <c r="L16" s="62" t="str">
        <f ca="1">IFERROR(AVERAGEIFS(Nov!$N:$N,Nov!$F:$F,800,Nov!$B:$B,2004),"")</f>
        <v/>
      </c>
      <c r="M16" s="62" t="str">
        <f>IFERROR(AVERAGEIFS(#REF!,#REF!,800,#REF!,2004),"")</f>
        <v/>
      </c>
      <c r="N16" s="29"/>
      <c r="O16" s="1"/>
      <c r="P16" s="1"/>
      <c r="Q16" s="1"/>
    </row>
    <row r="17" spans="1:17" s="8" customFormat="1" ht="11.25" customHeight="1">
      <c r="A17" s="45" t="s">
        <v>134</v>
      </c>
      <c r="B17" s="63" t="str">
        <f>IFERROR((SUMIFS(Jan!$M:$M,Jan!$K:$K,1,Jan!$C:$C,2004)+SUMIFS(Jan!$M:$M,Jan!$B:$B,"&gt;1",Jan!$C:$C,2004))/(COUNTIFS(Jan!$K:$K,1,Jan!$C:$C,2004)+COUNTIFS(Jan!$B:$B,"&gt;1",Jan!$C:$C,2004)),"")</f>
        <v/>
      </c>
      <c r="C17" s="63" t="str">
        <f ca="1">IFERROR((SUMIFS(Feb!$M:$M,Feb!$K:$K,1,Feb!$C:$C,2004)+SUMIFS(Feb!$M:$M,Feb!$B:$B,"&gt;1",Feb!$C:$C,2004))/(COUNTIFS(Feb!$K:$K,1,Feb!$C:$C,2004)+COUNTIFS(Feb!$B:$B,"&gt;1",Feb!$C:$C,2004)),"")</f>
        <v/>
      </c>
      <c r="D17" s="63" t="str">
        <f ca="1">IFERROR((SUMIFS(Mar!$M:$M,Mar!$K:$K,1,Mar!$C:$C,2004)+SUMIFS(Mar!$M:$M,Mar!$B:$B,"&gt;1",Mar!$C:$C,2004))/(COUNTIFS(Mar!$K:$K,1,Mar!$C:$C,2004)+COUNTIFS(Mar!$B:$B,"&gt;1",Mar!$C:$C,2004)),"")</f>
        <v/>
      </c>
      <c r="E17" s="63" t="str">
        <f ca="1">IFERROR((SUMIFS(Apr!$M:$M,Apr!$K:$K,1,Apr!$C:$C,2004)+SUMIFS(Apr!$M:$M,Apr!$B:$B,"&gt;1",Apr!$C:$C,2004))/(COUNTIFS(Apr!$K:$K,1,Apr!$C:$C,2004)+COUNTIFS(Apr!$B:$B,"&gt;1",Apr!$C:$C,2004)),"")</f>
        <v/>
      </c>
      <c r="F17" s="63" t="str">
        <f ca="1">IFERROR((SUMIFS(May!$M:$M,May!$K:$K,1,May!$C:$C,2004)+SUMIFS(May!$M:$M,May!$B:$B,"&gt;1",May!$C:$C,2004))/(COUNTIFS(May!$K:$K,1,May!$C:$C,2004)+COUNTIFS(May!$B:$B,"&gt;1",May!$C:$C,2004)),"")</f>
        <v/>
      </c>
      <c r="G17" s="63" t="str">
        <f ca="1">IFERROR((SUMIFS(Jun!$M:$M,Jun!$K:$K,1,Jun!$C:$C,2004)+SUMIFS(Jun!$M:$M,Jun!$B:$B,"&gt;1",Jun!$C:$C,2004))/(COUNTIFS(Jun!$K:$K,1,Jun!$C:$C,2004)+COUNTIFS(Jun!$B:$B,"&gt;1",Jun!$C:$C,2004)),"")</f>
        <v/>
      </c>
      <c r="H17" s="63" t="str">
        <f ca="1">IFERROR((SUMIFS(Jul!$M:$M,Jul!$K:$K,1,Jul!$C:$C,2004)+SUMIFS(Jul!$M:$M,Jul!$B:$B,"&gt;1",Jul!$C:$C,2004))/(COUNTIFS(Jul!$K:$K,1,Jul!$C:$C,2004)+COUNTIFS(Jul!$B:$B,"&gt;1",Jul!$C:$C,2004)),"")</f>
        <v/>
      </c>
      <c r="I17" s="63" t="str">
        <f ca="1">IFERROR((SUMIFS(Aug!$M:$M,Aug!$K:$K,1,Aug!$C:$C,2004)+SUMIFS(Aug!$M:$M,Aug!$B:$B,"&gt;1",Aug!$C:$C,2004))/(COUNTIFS(Aug!$K:$K,1,Aug!$C:$C,2004)+COUNTIFS(Aug!$B:$B,"&gt;1",Aug!$C:$C,2004)),"")</f>
        <v/>
      </c>
      <c r="J17" s="63" t="str">
        <f ca="1">IFERROR((SUMIFS(Sep!$M:$M,Sep!$K:$K,1,Sep!$C:$C,2004)+SUMIFS(Sep!$M:$M,Sep!$B:$B,"&gt;1",Sep!$C:$C,2004))/(COUNTIFS(Sep!$K:$K,1,Sep!$C:$C,2004)+COUNTIFS(Sep!$B:$B,"&gt;1",Sep!$C:$C,2004)),"")</f>
        <v/>
      </c>
      <c r="K17" s="63" t="str">
        <f ca="1">IFERROR((SUMIFS(Oct!$M:$M,Oct!$K:$K,1,Oct!$C:$C,2004)+SUMIFS(Oct!$M:$M,Oct!$B:$B,"&gt;1",Oct!$C:$C,2004))/(COUNTIFS(Oct!$K:$K,1,Oct!$C:$C,2004)+COUNTIFS(Oct!$B:$B,"&gt;1",Oct!$C:$C,2004)),"")</f>
        <v/>
      </c>
      <c r="L17" s="63" t="str">
        <f ca="1">IFERROR((SUMIFS(Nov!$M:$M,Nov!$K:$K,1,Nov!$C:$C,2004)+SUMIFS(Nov!$M:$M,Nov!$B:$B,"&gt;1",Nov!$C:$C,2004))/(COUNTIFS(Nov!$K:$K,1,Nov!$C:$C,2004)+COUNTIFS(Nov!$B:$B,"&gt;1",Nov!$C:$C,2004)),"")</f>
        <v/>
      </c>
      <c r="M17" s="63" t="str">
        <f>IFERROR((SUMIFS(#REF!,#REF!,1,#REF!,2004)+SUMIFS(#REF!,#REF!,"&gt;1",#REF!,2004))/(COUNTIFS(#REF!,1,#REF!,2004)+COUNTIFS(#REF!,"&gt;1",#REF!,2004)),"")</f>
        <v/>
      </c>
      <c r="N17" s="29"/>
      <c r="O17" s="1"/>
      <c r="P17" s="1"/>
      <c r="Q17" s="1"/>
    </row>
    <row r="18" spans="1:17" s="8" customFormat="1" ht="11.25" customHeight="1" thickBot="1">
      <c r="A18" s="43" t="s">
        <v>135</v>
      </c>
      <c r="B18" s="64" t="str">
        <f>IFERROR(AVERAGEIFS(Jan!$M:$M,Jan!$F:$F,800,Jan!$B:$B,2004),"")</f>
        <v/>
      </c>
      <c r="C18" s="64" t="str">
        <f ca="1">IFERROR(AVERAGEIFS(Feb!$M:$M,Feb!$F:$F,800,Feb!$B:$B,2004),"")</f>
        <v/>
      </c>
      <c r="D18" s="64" t="str">
        <f ca="1">IFERROR(AVERAGEIFS(Mar!$M:$M,Mar!$F:$F,800,Mar!$B:$B,2004),"")</f>
        <v/>
      </c>
      <c r="E18" s="64" t="str">
        <f ca="1">IFERROR(AVERAGEIFS(Apr!$M:$M,Apr!$F:$F,800,Apr!$B:$B,2004),"")</f>
        <v/>
      </c>
      <c r="F18" s="64" t="str">
        <f ca="1">IFERROR(AVERAGEIFS(May!$M:$M,May!$F:$F,800,May!$B:$B,2004),"")</f>
        <v/>
      </c>
      <c r="G18" s="64" t="str">
        <f ca="1">IFERROR(AVERAGEIFS(Jun!$M:$M,Jun!$F:$F,800,Jun!$B:$B,2004),"")</f>
        <v/>
      </c>
      <c r="H18" s="64" t="str">
        <f ca="1">IFERROR(AVERAGEIFS(Jul!$M:$M,Jul!$F:$F,800,Jul!$B:$B,2004),"")</f>
        <v/>
      </c>
      <c r="I18" s="64" t="str">
        <f ca="1">IFERROR(AVERAGEIFS(Aug!$M:$M,Aug!$F:$F,800,Aug!$B:$B,2004),"")</f>
        <v/>
      </c>
      <c r="J18" s="64" t="str">
        <f ca="1">IFERROR(AVERAGEIFS(Sep!$M:$M,Sep!$F:$F,800,Sep!$B:$B,2004),"")</f>
        <v/>
      </c>
      <c r="K18" s="64" t="str">
        <f ca="1">IFERROR(AVERAGEIFS(Oct!$M:$M,Oct!$F:$F,800,Oct!$B:$B,2004),"")</f>
        <v/>
      </c>
      <c r="L18" s="64" t="str">
        <f ca="1">IFERROR(AVERAGEIFS(Nov!$M:$M,Nov!$F:$F,800,Nov!$B:$B,2004),"")</f>
        <v/>
      </c>
      <c r="M18" s="64" t="str">
        <f>IFERROR(AVERAGEIFS(#REF!,#REF!,800,#REF!,2004),"")</f>
        <v/>
      </c>
      <c r="N18" s="29"/>
    </row>
    <row r="19" spans="1:17" s="8" customFormat="1" ht="5.0999999999999996" customHeight="1" thickBot="1">
      <c r="A19" s="3"/>
      <c r="B19" s="17"/>
      <c r="C19" s="17"/>
      <c r="D19" s="17"/>
      <c r="E19" s="17"/>
      <c r="F19" s="17"/>
      <c r="G19" s="17"/>
      <c r="H19" s="17"/>
      <c r="I19" s="17"/>
      <c r="J19" s="17"/>
      <c r="K19" s="17"/>
      <c r="L19" s="17"/>
      <c r="M19" s="147"/>
      <c r="N19" s="28"/>
    </row>
    <row r="20" spans="1:17" s="8" customFormat="1" ht="11.25" customHeight="1">
      <c r="A20" s="42" t="s">
        <v>52</v>
      </c>
      <c r="B20" s="65">
        <v>31</v>
      </c>
      <c r="C20" s="65">
        <v>28</v>
      </c>
      <c r="D20" s="65">
        <v>31</v>
      </c>
      <c r="E20" s="65">
        <v>30</v>
      </c>
      <c r="F20" s="65">
        <v>31</v>
      </c>
      <c r="G20" s="65">
        <v>30</v>
      </c>
      <c r="H20" s="65">
        <v>31</v>
      </c>
      <c r="I20" s="65">
        <v>31</v>
      </c>
      <c r="J20" s="65">
        <v>30</v>
      </c>
      <c r="K20" s="65">
        <v>31</v>
      </c>
      <c r="L20" s="161">
        <v>30</v>
      </c>
      <c r="M20" s="174">
        <v>31</v>
      </c>
      <c r="N20" s="30"/>
    </row>
    <row r="21" spans="1:17" s="8" customFormat="1" ht="11.25" customHeight="1">
      <c r="A21" s="9" t="s">
        <v>15</v>
      </c>
      <c r="B21" s="66">
        <f t="shared" ref="B21:M21" si="5">B12/B20</f>
        <v>0</v>
      </c>
      <c r="C21" s="66">
        <f t="shared" si="5"/>
        <v>0</v>
      </c>
      <c r="D21" s="66">
        <f>D12/D20</f>
        <v>0</v>
      </c>
      <c r="E21" s="66">
        <f>E12/E20</f>
        <v>0</v>
      </c>
      <c r="F21" s="66">
        <f>F12/F20</f>
        <v>0</v>
      </c>
      <c r="G21" s="66">
        <f>G12/G20</f>
        <v>0</v>
      </c>
      <c r="H21" s="66">
        <f t="shared" si="5"/>
        <v>0</v>
      </c>
      <c r="I21" s="66">
        <f t="shared" si="5"/>
        <v>0</v>
      </c>
      <c r="J21" s="66">
        <f t="shared" si="5"/>
        <v>0</v>
      </c>
      <c r="K21" s="66">
        <f t="shared" si="5"/>
        <v>0</v>
      </c>
      <c r="L21" s="162">
        <f t="shared" si="5"/>
        <v>0</v>
      </c>
      <c r="M21" s="175">
        <f t="shared" si="5"/>
        <v>0</v>
      </c>
      <c r="N21" s="31"/>
    </row>
    <row r="22" spans="1:17" s="8" customFormat="1" ht="11.25" customHeight="1">
      <c r="A22" s="9" t="s">
        <v>130</v>
      </c>
      <c r="B22" s="67">
        <f t="shared" ref="B22:G22" si="6">IFERROR(B12/B7,0)</f>
        <v>0</v>
      </c>
      <c r="C22" s="67">
        <f t="shared" si="6"/>
        <v>0</v>
      </c>
      <c r="D22" s="67">
        <f t="shared" si="6"/>
        <v>0</v>
      </c>
      <c r="E22" s="67">
        <f t="shared" si="6"/>
        <v>0</v>
      </c>
      <c r="F22" s="67">
        <f t="shared" si="6"/>
        <v>0</v>
      </c>
      <c r="G22" s="67">
        <f t="shared" si="6"/>
        <v>0</v>
      </c>
      <c r="H22" s="67">
        <f t="shared" ref="H22:M22" si="7">IFERROR(H12/H7,0)</f>
        <v>0</v>
      </c>
      <c r="I22" s="67">
        <f t="shared" si="7"/>
        <v>0</v>
      </c>
      <c r="J22" s="67">
        <f t="shared" si="7"/>
        <v>0</v>
      </c>
      <c r="K22" s="116">
        <f t="shared" si="7"/>
        <v>0</v>
      </c>
      <c r="L22" s="67">
        <f t="shared" si="7"/>
        <v>0</v>
      </c>
      <c r="M22" s="176">
        <f t="shared" si="7"/>
        <v>0</v>
      </c>
      <c r="N22" s="32"/>
    </row>
    <row r="23" spans="1:17" s="8" customFormat="1" ht="11.25" customHeight="1" thickBot="1">
      <c r="A23" s="9" t="s">
        <v>53</v>
      </c>
      <c r="B23" s="67">
        <f t="shared" ref="B23:G23" si="8">IFERROR(B12/(B11+B12),0)</f>
        <v>0</v>
      </c>
      <c r="C23" s="67">
        <f t="shared" si="8"/>
        <v>0</v>
      </c>
      <c r="D23" s="67">
        <f t="shared" si="8"/>
        <v>0</v>
      </c>
      <c r="E23" s="67">
        <f t="shared" si="8"/>
        <v>0</v>
      </c>
      <c r="F23" s="67">
        <f t="shared" si="8"/>
        <v>0</v>
      </c>
      <c r="G23" s="67">
        <f t="shared" si="8"/>
        <v>0</v>
      </c>
      <c r="H23" s="67">
        <f t="shared" ref="H23:M23" si="9">IFERROR(H12/(H11+H12),0)</f>
        <v>0</v>
      </c>
      <c r="I23" s="67">
        <f t="shared" si="9"/>
        <v>0</v>
      </c>
      <c r="J23" s="67">
        <f t="shared" si="9"/>
        <v>0</v>
      </c>
      <c r="K23" s="117">
        <f t="shared" si="9"/>
        <v>0</v>
      </c>
      <c r="L23" s="163">
        <f t="shared" si="9"/>
        <v>0</v>
      </c>
      <c r="M23" s="177">
        <f t="shared" si="9"/>
        <v>0</v>
      </c>
      <c r="N23" s="33"/>
    </row>
    <row r="24" spans="1:17" s="8" customFormat="1" ht="11.25" customHeight="1" thickBot="1">
      <c r="A24" s="56" t="s">
        <v>21</v>
      </c>
      <c r="B24" s="50">
        <v>41275</v>
      </c>
      <c r="C24" s="47">
        <v>41306</v>
      </c>
      <c r="D24" s="47">
        <v>41334</v>
      </c>
      <c r="E24" s="47">
        <v>41365</v>
      </c>
      <c r="F24" s="47">
        <v>41395</v>
      </c>
      <c r="G24" s="47">
        <v>41426</v>
      </c>
      <c r="H24" s="47">
        <v>41456</v>
      </c>
      <c r="I24" s="47">
        <v>41487</v>
      </c>
      <c r="J24" s="47">
        <v>41518</v>
      </c>
      <c r="K24" s="47">
        <v>41548</v>
      </c>
      <c r="L24" s="47">
        <v>41579</v>
      </c>
      <c r="M24" s="51">
        <v>41609</v>
      </c>
      <c r="N24" s="34"/>
    </row>
    <row r="25" spans="1:17" s="8" customFormat="1" ht="11.25" customHeight="1">
      <c r="A25" s="18" t="s">
        <v>5</v>
      </c>
      <c r="B25" s="68">
        <f>COUNTIFS(Jan!$B:$B,2004,Jan!$J:$J,18)</f>
        <v>0</v>
      </c>
      <c r="C25" s="68">
        <f>COUNTIFS(Feb!$B:$B,2004,Feb!$J:$J,18)</f>
        <v>0</v>
      </c>
      <c r="D25" s="68">
        <f>COUNTIFS(Mar!$B:$B,2004,Mar!$J:$J,18)</f>
        <v>0</v>
      </c>
      <c r="E25" s="68">
        <f>COUNTIFS(Apr!$B:$B,2004,Apr!$J:$J,18)</f>
        <v>0</v>
      </c>
      <c r="F25" s="68">
        <f>COUNTIFS(May!$B:$B,2004,May!$J:$J,18)</f>
        <v>0</v>
      </c>
      <c r="G25" s="68">
        <f>COUNTIFS(Jun!$B:$B,2004,Jun!$J:$J,18)</f>
        <v>0</v>
      </c>
      <c r="H25" s="68">
        <f>COUNTIFS(Jul!$B:$B,2004,Jul!$J:$J,18)</f>
        <v>0</v>
      </c>
      <c r="I25" s="68">
        <f>COUNTIFS(Aug!$B:$B,2004,Aug!$J:$J,18)</f>
        <v>0</v>
      </c>
      <c r="J25" s="68">
        <f>COUNTIFS(Sep!$B:$B,2004,Sep!$J:$J,18)</f>
        <v>0</v>
      </c>
      <c r="K25" s="68">
        <f>COUNTIFS(Oct!$B:$B,2004,Oct!$J:$J,18)</f>
        <v>0</v>
      </c>
      <c r="L25" s="68">
        <f>COUNTIFS(Nov!$B:$B,2004,Nov!$J:$J,18)</f>
        <v>0</v>
      </c>
      <c r="M25" s="68">
        <v>0</v>
      </c>
      <c r="N25" s="19"/>
    </row>
    <row r="26" spans="1:17" s="8" customFormat="1" ht="11.25" customHeight="1">
      <c r="A26" s="46" t="s">
        <v>40</v>
      </c>
      <c r="B26" s="57">
        <f>COUNTIFS(Jan!$B:$B,2004,Jan!$J:$J,41)</f>
        <v>0</v>
      </c>
      <c r="C26" s="57">
        <f>COUNTIFS(Feb!$B:$B,2004,Feb!$J:$J,41)</f>
        <v>0</v>
      </c>
      <c r="D26" s="57">
        <f>COUNTIFS(Mar!$B:$B,2004,Mar!$J:$J,41)</f>
        <v>0</v>
      </c>
      <c r="E26" s="57">
        <f>COUNTIFS(Apr!$B:$B,2004,Apr!$J:$J,41)</f>
        <v>0</v>
      </c>
      <c r="F26" s="57">
        <f>COUNTIFS(May!$B:$B,2004,May!$J:$J,41)</f>
        <v>0</v>
      </c>
      <c r="G26" s="57">
        <f>COUNTIFS(Jun!$B:$B,2004,Jun!$J:$J,41)</f>
        <v>0</v>
      </c>
      <c r="H26" s="57">
        <f>COUNTIFS(Jul!$B:$B,2004,Jul!$J:$J,41)</f>
        <v>0</v>
      </c>
      <c r="I26" s="57">
        <f>COUNTIFS(Aug!$B:$B,2004,Aug!$J:$J,41)</f>
        <v>0</v>
      </c>
      <c r="J26" s="57">
        <f>COUNTIFS(Sep!$B:$B,2004,Sep!$J:$J,41)</f>
        <v>0</v>
      </c>
      <c r="K26" s="57">
        <f>COUNTIFS(Oct!$B:$B,2004,Oct!$J:$J,41)</f>
        <v>0</v>
      </c>
      <c r="L26" s="57">
        <f>COUNTIFS(Nov!$B:$B,2004,Nov!$J:$J,41)</f>
        <v>0</v>
      </c>
      <c r="M26" s="57">
        <v>0</v>
      </c>
      <c r="N26" s="19"/>
    </row>
    <row r="27" spans="1:17" s="8" customFormat="1" ht="11.25" customHeight="1">
      <c r="A27" s="9" t="s">
        <v>11</v>
      </c>
      <c r="B27" s="179">
        <f>COUNTIFS(Jan!$B:$B,2004,Jan!$J:$J,17)</f>
        <v>0</v>
      </c>
      <c r="C27" s="179">
        <f>COUNTIFS(Feb!$B:$B,2004,Feb!$J:$J,17)</f>
        <v>0</v>
      </c>
      <c r="D27" s="179">
        <f>COUNTIFS(Mar!$B:$B,2004,Mar!$J:$J,17)</f>
        <v>0</v>
      </c>
      <c r="E27" s="179">
        <f>COUNTIFS(Apr!$B:$B,2004,Apr!$J:$J,17)</f>
        <v>0</v>
      </c>
      <c r="F27" s="179">
        <f>COUNTIFS(May!$B:$B,2004,May!$J:$J,17)</f>
        <v>0</v>
      </c>
      <c r="G27" s="179">
        <f>COUNTIFS(Jun!$B:$B,2004,Jun!$J:$J,17)</f>
        <v>0</v>
      </c>
      <c r="H27" s="179">
        <f>COUNTIFS(Jul!$B:$B,2004,Jul!$J:$J,17)</f>
        <v>0</v>
      </c>
      <c r="I27" s="179">
        <f>COUNTIFS(Aug!$B:$B,2004,Aug!$J:$J,17)</f>
        <v>0</v>
      </c>
      <c r="J27" s="179">
        <f>COUNTIFS(Sep!$B:$B,2004,Sep!$J:$J,17)</f>
        <v>0</v>
      </c>
      <c r="K27" s="179">
        <f>COUNTIFS(Oct!$B:$B,2004,Oct!$J:$J,17)</f>
        <v>0</v>
      </c>
      <c r="L27" s="179">
        <f>COUNTIFS(Nov!$B:$B,2004,Nov!$J:$J,17)</f>
        <v>0</v>
      </c>
      <c r="M27" s="206">
        <v>0</v>
      </c>
      <c r="N27" s="19"/>
    </row>
    <row r="28" spans="1:17" s="8" customFormat="1" ht="11.25" customHeight="1">
      <c r="A28" s="9" t="s">
        <v>143</v>
      </c>
      <c r="B28" s="59">
        <f>COUNTIFS(Jan!$B:$B,2004,Jan!$F:$F,455)</f>
        <v>0</v>
      </c>
      <c r="C28" s="59">
        <f>COUNTIFS(Feb!$B:$B,2004,Feb!$F:$F,455)</f>
        <v>0</v>
      </c>
      <c r="D28" s="59">
        <f>COUNTIFS(Mar!$B:$B,2004,Mar!$F:$F,455)</f>
        <v>0</v>
      </c>
      <c r="E28" s="59">
        <f>COUNTIFS(Apr!$B:$B,2004,Apr!$F:$F,455)</f>
        <v>0</v>
      </c>
      <c r="F28" s="59">
        <f>COUNTIFS(May!$B:$B,2004,May!$F:$F,455)</f>
        <v>0</v>
      </c>
      <c r="G28" s="59">
        <f>COUNTIFS(Jun!$B:$B,2004,Jun!$F:$F,455)</f>
        <v>0</v>
      </c>
      <c r="H28" s="59">
        <f>COUNTIFS(Jul!$B:$B,2004,Jul!$F:$F,455)</f>
        <v>0</v>
      </c>
      <c r="I28" s="59">
        <f>COUNTIFS(Aug!$B:$B,2004,Aug!$F:$F,455)</f>
        <v>0</v>
      </c>
      <c r="J28" s="59">
        <f>COUNTIFS(Sep!$B:$B,2004,Sep!$F:$F,455)</f>
        <v>0</v>
      </c>
      <c r="K28" s="59">
        <f>COUNTIFS(Oct!$B:$B,2004,Oct!$F:$F,455)</f>
        <v>0</v>
      </c>
      <c r="L28" s="59">
        <f>COUNTIFS(Nov!$B:$B,2004,Nov!$F:$F,455)</f>
        <v>0</v>
      </c>
      <c r="M28" s="59">
        <v>0</v>
      </c>
      <c r="N28" s="19"/>
    </row>
    <row r="29" spans="1:17" s="8" customFormat="1" ht="11.25" customHeight="1">
      <c r="A29" s="9" t="s">
        <v>23</v>
      </c>
      <c r="B29" s="59">
        <f>COUNTIFS(Jan!$B:$B,2004,Jan!$J:$J,31)</f>
        <v>0</v>
      </c>
      <c r="C29" s="59">
        <f>COUNTIFS(Feb!$B:$B,2004,Feb!$J:$J,31)</f>
        <v>0</v>
      </c>
      <c r="D29" s="59">
        <f>COUNTIFS(Mar!$B:$B,2004,Mar!$J:$J,31)</f>
        <v>0</v>
      </c>
      <c r="E29" s="59">
        <f>COUNTIFS(Apr!$B:$B,2004,Apr!$J:$J,31)</f>
        <v>0</v>
      </c>
      <c r="F29" s="59">
        <f>COUNTIFS(May!$B:$B,2004,May!$J:$J,31)</f>
        <v>0</v>
      </c>
      <c r="G29" s="59">
        <f>COUNTIFS(Jun!$B:$B,2004,Jun!$J:$J,31)</f>
        <v>0</v>
      </c>
      <c r="H29" s="59">
        <f>COUNTIFS(Jul!$B:$B,2004,Jul!$J:$J,31)</f>
        <v>0</v>
      </c>
      <c r="I29" s="59">
        <f>COUNTIFS(Aug!$B:$B,2004,Aug!$J:$J,31)</f>
        <v>0</v>
      </c>
      <c r="J29" s="59">
        <f>COUNTIFS(Sep!$B:$B,2004,Sep!$J:$J,31)</f>
        <v>0</v>
      </c>
      <c r="K29" s="59">
        <f>COUNTIFS(Oct!$B:$B,2004,Oct!$J:$J,31)</f>
        <v>0</v>
      </c>
      <c r="L29" s="59">
        <f>COUNTIFS(Nov!$B:$B,2004,Nov!$J:$J,31)</f>
        <v>0</v>
      </c>
      <c r="M29" s="59">
        <v>0</v>
      </c>
      <c r="N29" s="19"/>
    </row>
    <row r="30" spans="1:17" s="8" customFormat="1" ht="11.25" customHeight="1">
      <c r="A30" s="9" t="s">
        <v>37</v>
      </c>
      <c r="B30" s="59">
        <f>COUNTIFS(Jan!$B:$B,2004,Jan!$J:$J,4400)</f>
        <v>0</v>
      </c>
      <c r="C30" s="59">
        <f>COUNTIFS(Feb!$B:$B,2004,Feb!$J:$J,4400)</f>
        <v>0</v>
      </c>
      <c r="D30" s="59">
        <f>COUNTIFS(Mar!$B:$B,2004,Mar!$J:$J,4400)</f>
        <v>0</v>
      </c>
      <c r="E30" s="59">
        <f>COUNTIFS(Apr!$B:$B,2004,Apr!$J:$J,4400)</f>
        <v>0</v>
      </c>
      <c r="F30" s="59">
        <f>COUNTIFS(May!$B:$B,2004,May!$J:$J,4400)</f>
        <v>0</v>
      </c>
      <c r="G30" s="59">
        <f>COUNTIFS(Jun!$B:$B,2004,Jun!$J:$J,4400)</f>
        <v>0</v>
      </c>
      <c r="H30" s="59">
        <f>COUNTIFS(Jul!$B:$B,2004,Jul!$J:$J,4400)</f>
        <v>0</v>
      </c>
      <c r="I30" s="59">
        <f>COUNTIFS(Aug!$B:$B,2004,Aug!$J:$J,4400)</f>
        <v>0</v>
      </c>
      <c r="J30" s="59">
        <f>COUNTIFS(Sep!$B:$B,2004,Sep!$J:$J,4400)</f>
        <v>0</v>
      </c>
      <c r="K30" s="59">
        <f>COUNTIFS(Oct!$B:$B,2004,Oct!$J:$J,4400)</f>
        <v>0</v>
      </c>
      <c r="L30" s="59">
        <f>COUNTIFS(Nov!$B:$B,2004,Nov!$J:$J,4400)</f>
        <v>0</v>
      </c>
      <c r="M30" s="59">
        <v>0</v>
      </c>
      <c r="N30" s="19"/>
    </row>
    <row r="31" spans="1:17" s="8" customFormat="1" ht="11.25" customHeight="1">
      <c r="A31" s="10" t="s">
        <v>24</v>
      </c>
      <c r="B31" s="59">
        <f>COUNTIFS(Jan!$B:$B,2004,Jan!$J:$J,30)</f>
        <v>0</v>
      </c>
      <c r="C31" s="59">
        <f>COUNTIFS(Feb!$B:$B,2004,Feb!$J:$J,30)</f>
        <v>0</v>
      </c>
      <c r="D31" s="59">
        <f>COUNTIFS(Mar!$B:$B,2004,Mar!$J:$J,30)</f>
        <v>0</v>
      </c>
      <c r="E31" s="59">
        <f>COUNTIFS(Apr!$B:$B,2004,Apr!$J:$J,30)</f>
        <v>0</v>
      </c>
      <c r="F31" s="59">
        <f>COUNTIFS(May!$B:$B,2004,May!$J:$J,30)</f>
        <v>0</v>
      </c>
      <c r="G31" s="59">
        <f>COUNTIFS(Jun!$B:$B,2004,Jun!$J:$J,30)</f>
        <v>0</v>
      </c>
      <c r="H31" s="59">
        <f>COUNTIFS(Jul!$B:$B,2004,Jul!$J:$J,30)</f>
        <v>0</v>
      </c>
      <c r="I31" s="59">
        <f>COUNTIFS(Aug!$B:$B,2004,Aug!$J:$J,30)</f>
        <v>0</v>
      </c>
      <c r="J31" s="59">
        <f>COUNTIFS(Sep!$B:$B,2004,Sep!$J:$J,30)</f>
        <v>0</v>
      </c>
      <c r="K31" s="59">
        <f>COUNTIFS(Oct!$B:$B,2004,Oct!$J:$J,30)</f>
        <v>0</v>
      </c>
      <c r="L31" s="59">
        <f>COUNTIFS(Nov!$B:$B,2004,Nov!$J:$J,30)</f>
        <v>0</v>
      </c>
      <c r="M31" s="59">
        <v>0</v>
      </c>
      <c r="N31" s="19"/>
    </row>
    <row r="32" spans="1:17" s="14" customFormat="1" ht="11.25" customHeight="1" thickBot="1">
      <c r="A32" s="2" t="s">
        <v>140</v>
      </c>
      <c r="B32" s="60">
        <f>SUM(B25:B31)</f>
        <v>0</v>
      </c>
      <c r="C32" s="60">
        <f t="shared" ref="C32:M32" si="10">SUM(C25:C31)</f>
        <v>0</v>
      </c>
      <c r="D32" s="60">
        <f>SUM(D25:D31)</f>
        <v>0</v>
      </c>
      <c r="E32" s="60">
        <f>SUM(E25:E31)</f>
        <v>0</v>
      </c>
      <c r="F32" s="60">
        <f>SUM(F25:F31)</f>
        <v>0</v>
      </c>
      <c r="G32" s="60">
        <f>SUM(G25:G31)</f>
        <v>0</v>
      </c>
      <c r="H32" s="60">
        <f t="shared" si="10"/>
        <v>0</v>
      </c>
      <c r="I32" s="60">
        <f t="shared" si="10"/>
        <v>0</v>
      </c>
      <c r="J32" s="60">
        <f t="shared" si="10"/>
        <v>0</v>
      </c>
      <c r="K32" s="60">
        <f t="shared" si="10"/>
        <v>0</v>
      </c>
      <c r="L32" s="159">
        <f t="shared" si="10"/>
        <v>0</v>
      </c>
      <c r="M32" s="170">
        <f t="shared" si="10"/>
        <v>0</v>
      </c>
      <c r="N32" s="35"/>
    </row>
    <row r="33" spans="1:14" ht="12" customHeight="1" thickBot="1">
      <c r="A33" s="55" t="s">
        <v>136</v>
      </c>
      <c r="B33" s="50">
        <v>41275</v>
      </c>
      <c r="C33" s="47">
        <v>41306</v>
      </c>
      <c r="D33" s="47">
        <v>41334</v>
      </c>
      <c r="E33" s="47">
        <v>41365</v>
      </c>
      <c r="F33" s="47">
        <v>41395</v>
      </c>
      <c r="G33" s="47">
        <v>41426</v>
      </c>
      <c r="H33" s="47">
        <v>41456</v>
      </c>
      <c r="I33" s="47">
        <v>41487</v>
      </c>
      <c r="J33" s="47">
        <v>41518</v>
      </c>
      <c r="K33" s="47">
        <v>41548</v>
      </c>
      <c r="L33" s="47">
        <v>41579</v>
      </c>
      <c r="M33" s="51">
        <v>41609</v>
      </c>
      <c r="N33" s="34"/>
    </row>
    <row r="34" spans="1:14" s="8" customFormat="1" ht="11.25" customHeight="1">
      <c r="A34" s="46" t="s">
        <v>33</v>
      </c>
      <c r="B34" s="57">
        <f>COUNTIFS(Jan!$B:$B,2004,Jan!$J:$J,40)</f>
        <v>0</v>
      </c>
      <c r="C34" s="57">
        <f>COUNTIFS(Feb!$B:$B,2004,Feb!$J:$J,40)</f>
        <v>0</v>
      </c>
      <c r="D34" s="57">
        <f>COUNTIFS(Mar!$B:$B,2004,Mar!$J:$J,40)</f>
        <v>0</v>
      </c>
      <c r="E34" s="57">
        <f>COUNTIFS(Apr!$B:$B,2004,Apr!$J:$J,40)</f>
        <v>0</v>
      </c>
      <c r="F34" s="57">
        <f>COUNTIFS(May!$B:$B,2004,May!$J:$J,40)</f>
        <v>0</v>
      </c>
      <c r="G34" s="57">
        <f>COUNTIFS(Jun!$B:$B,2004,Jun!$J:$J,40)</f>
        <v>0</v>
      </c>
      <c r="H34" s="57">
        <f>COUNTIFS(Jul!$B:$B,2004,Jul!$J:$J,40)</f>
        <v>0</v>
      </c>
      <c r="I34" s="57">
        <f>COUNTIFS(Aug!$B:$B,2004,Aug!$J:$J,40)</f>
        <v>0</v>
      </c>
      <c r="J34" s="57">
        <f>COUNTIFS(Sep!$B:$B,2004,Sep!$J:$J,40)</f>
        <v>0</v>
      </c>
      <c r="K34" s="57">
        <f>COUNTIFS(Oct!$B:$B,2004,Oct!$J:$J,40)</f>
        <v>0</v>
      </c>
      <c r="L34" s="57">
        <f>COUNTIFS(Nov!$B:$B,2004,Nov!$J:$J,40)</f>
        <v>0</v>
      </c>
      <c r="M34" s="57">
        <v>0</v>
      </c>
      <c r="N34" s="19"/>
    </row>
    <row r="35" spans="1:14" s="8" customFormat="1" ht="11.25" customHeight="1">
      <c r="A35" s="10" t="s">
        <v>4</v>
      </c>
      <c r="B35" s="59">
        <f>COUNTIFS(Jan!$B:$B,2004,Jan!$J:$J,15)</f>
        <v>0</v>
      </c>
      <c r="C35" s="59">
        <f>COUNTIFS(Feb!$B:$B,2004,Feb!$J:$J,15)</f>
        <v>0</v>
      </c>
      <c r="D35" s="59">
        <f>COUNTIFS(Mar!$B:$B,2004,Mar!$J:$J,15)</f>
        <v>0</v>
      </c>
      <c r="E35" s="59">
        <f>COUNTIFS(Apr!$B:$B,2004,Apr!$J:$J,15)</f>
        <v>0</v>
      </c>
      <c r="F35" s="59">
        <f>COUNTIFS(May!$B:$B,2004,May!$J:$J,15)</f>
        <v>0</v>
      </c>
      <c r="G35" s="59">
        <f>COUNTIFS(Jun!$B:$B,2004,Jun!$J:$J,15)</f>
        <v>0</v>
      </c>
      <c r="H35" s="59">
        <f>COUNTIFS(Jul!$B:$B,2004,Jul!$J:$J,15)</f>
        <v>0</v>
      </c>
      <c r="I35" s="59">
        <f>COUNTIFS(Aug!$B:$B,2004,Aug!$J:$J,15)</f>
        <v>0</v>
      </c>
      <c r="J35" s="59">
        <f>COUNTIFS(Sep!$B:$B,2004,Sep!$J:$J,15)</f>
        <v>0</v>
      </c>
      <c r="K35" s="59">
        <f>COUNTIFS(Oct!$B:$B,2004,Oct!$J:$J,15)</f>
        <v>0</v>
      </c>
      <c r="L35" s="59">
        <f>COUNTIFS(Nov!$B:$B,2004,Nov!$J:$J,15)</f>
        <v>0</v>
      </c>
      <c r="M35" s="59">
        <v>0</v>
      </c>
      <c r="N35" s="19"/>
    </row>
    <row r="36" spans="1:14" s="8" customFormat="1" ht="11.25" customHeight="1">
      <c r="A36" s="10" t="s">
        <v>39</v>
      </c>
      <c r="B36" s="59">
        <f>COUNTIFS(Jan!$B:$B,2004,Jan!$J:$J,29)</f>
        <v>0</v>
      </c>
      <c r="C36" s="59">
        <f>COUNTIFS(Feb!$B:$B,2004,Feb!$J:$J,29)</f>
        <v>0</v>
      </c>
      <c r="D36" s="59">
        <f>COUNTIFS(Mar!$B:$B,2004,Mar!$J:$J,29)</f>
        <v>0</v>
      </c>
      <c r="E36" s="59">
        <f>COUNTIFS(Apr!$B:$B,2004,Apr!$J:$J,29)</f>
        <v>0</v>
      </c>
      <c r="F36" s="59">
        <f>COUNTIFS(May!$B:$B,2004,May!$J:$J,29)</f>
        <v>0</v>
      </c>
      <c r="G36" s="59">
        <f>COUNTIFS(Jun!$B:$B,2004,Jun!$J:$J,29)</f>
        <v>0</v>
      </c>
      <c r="H36" s="59">
        <f>COUNTIFS(Jul!$B:$B,2004,Jul!$J:$J,29)</f>
        <v>0</v>
      </c>
      <c r="I36" s="59">
        <f>COUNTIFS(Aug!$B:$B,2004,Aug!$J:$J,29)</f>
        <v>0</v>
      </c>
      <c r="J36" s="59">
        <f>COUNTIFS(Sep!$B:$B,2004,Sep!$J:$J,29)</f>
        <v>0</v>
      </c>
      <c r="K36" s="59">
        <f>COUNTIFS(Oct!$B:$B,2004,Oct!$J:$J,29)</f>
        <v>0</v>
      </c>
      <c r="L36" s="59">
        <f>COUNTIFS(Nov!$B:$B,2004,Nov!$J:$J,29)</f>
        <v>0</v>
      </c>
      <c r="M36" s="59">
        <v>0</v>
      </c>
      <c r="N36" s="19"/>
    </row>
    <row r="37" spans="1:14" s="8" customFormat="1" ht="11.25" customHeight="1">
      <c r="A37" s="10" t="s">
        <v>3</v>
      </c>
      <c r="B37" s="59">
        <f>COUNTIFS(Jan!$B:$B,2004,Jan!$J:$J,13)</f>
        <v>0</v>
      </c>
      <c r="C37" s="59">
        <f>COUNTIFS(Feb!$B:$B,2004,Feb!$J:$J,13)</f>
        <v>0</v>
      </c>
      <c r="D37" s="59">
        <f>COUNTIFS(Mar!$B:$B,2004,Mar!$J:$J,13)</f>
        <v>0</v>
      </c>
      <c r="E37" s="59">
        <f>COUNTIFS(Apr!$B:$B,2004,Apr!$J:$J,13)</f>
        <v>0</v>
      </c>
      <c r="F37" s="59">
        <f>COUNTIFS(May!$B:$B,2004,May!$J:$J,13)</f>
        <v>0</v>
      </c>
      <c r="G37" s="59">
        <f>COUNTIFS(Jun!$B:$B,2004,Jun!$J:$J,13)</f>
        <v>0</v>
      </c>
      <c r="H37" s="59">
        <f>COUNTIFS(Jul!$B:$B,2004,Jul!$J:$J,13)</f>
        <v>0</v>
      </c>
      <c r="I37" s="59">
        <f>COUNTIFS(Aug!$B:$B,2004,Aug!$J:$J,13)</f>
        <v>0</v>
      </c>
      <c r="J37" s="59">
        <f>COUNTIFS(Sep!$B:$B,2004,Sep!$J:$J,13)</f>
        <v>0</v>
      </c>
      <c r="K37" s="59">
        <f>COUNTIFS(Oct!$B:$B,2004,Oct!$J:$J,13)</f>
        <v>0</v>
      </c>
      <c r="L37" s="59">
        <f>COUNTIFS(Nov!$B:$B,2004,Nov!$J:$J,13)</f>
        <v>0</v>
      </c>
      <c r="M37" s="59">
        <v>0</v>
      </c>
      <c r="N37" s="19"/>
    </row>
    <row r="38" spans="1:14" s="8" customFormat="1" ht="11.25" customHeight="1">
      <c r="A38" s="9" t="s">
        <v>218</v>
      </c>
      <c r="B38" s="59">
        <f>COUNTIFS(Jan!$B:$B,2004,Jan!$J:$J,43)</f>
        <v>0</v>
      </c>
      <c r="C38" s="59">
        <f>COUNTIFS(Feb!$B:$B,2004,Feb!$J:$J,43)</f>
        <v>0</v>
      </c>
      <c r="D38" s="59">
        <f>COUNTIFS(Mar!$B:$B,2004,Mar!$J:$J,43)</f>
        <v>0</v>
      </c>
      <c r="E38" s="59">
        <f>COUNTIFS(Apr!$B:$B,2004,Apr!$J:$J,43)</f>
        <v>0</v>
      </c>
      <c r="F38" s="59">
        <f>COUNTIFS(May!$B:$B,2004,May!$J:$J,43)</f>
        <v>0</v>
      </c>
      <c r="G38" s="59">
        <f>COUNTIFS(Jun!$B:$B,2004,Jun!$J:$J,43)</f>
        <v>0</v>
      </c>
      <c r="H38" s="59">
        <f>COUNTIFS(Jul!$B:$B,2004,Jul!$J:$J,43)</f>
        <v>0</v>
      </c>
      <c r="I38" s="59">
        <f>COUNTIFS(Aug!$B:$B,2004,Aug!$J:$J,43)</f>
        <v>0</v>
      </c>
      <c r="J38" s="59">
        <f>COUNTIFS(Sep!$B:$B,2004,Sep!$J:$J,43)</f>
        <v>0</v>
      </c>
      <c r="K38" s="59">
        <f>COUNTIFS(Oct!$B:$B,2004,Oct!$J:$J,43)</f>
        <v>0</v>
      </c>
      <c r="L38" s="59">
        <f>COUNTIFS(Nov!$B:$B,2004,Nov!$J:$J,43)</f>
        <v>0</v>
      </c>
      <c r="M38" s="59">
        <v>0</v>
      </c>
      <c r="N38" s="19"/>
    </row>
    <row r="39" spans="1:14" s="8" customFormat="1" ht="11.25" customHeight="1">
      <c r="A39" s="10" t="s">
        <v>25</v>
      </c>
      <c r="B39" s="59">
        <f>COUNTIFS(Jan!$B:$B,2004,Jan!$J:$J,24)</f>
        <v>0</v>
      </c>
      <c r="C39" s="59">
        <f>COUNTIFS(Feb!$B:$B,2004,Feb!$J:$J,24)</f>
        <v>0</v>
      </c>
      <c r="D39" s="59">
        <f>COUNTIFS(Mar!$B:$B,2004,Mar!$J:$J,24)</f>
        <v>0</v>
      </c>
      <c r="E39" s="59">
        <f>COUNTIFS(Apr!$B:$B,2004,Apr!$J:$J,24)</f>
        <v>0</v>
      </c>
      <c r="F39" s="59">
        <f>COUNTIFS(May!$B:$B,2004,May!$J:$J,24)</f>
        <v>0</v>
      </c>
      <c r="G39" s="59">
        <f>COUNTIFS(Jun!$B:$B,2004,Jun!$J:$J,24)</f>
        <v>0</v>
      </c>
      <c r="H39" s="59">
        <f>COUNTIFS(Jul!$B:$B,2004,Jul!$J:$J,24)</f>
        <v>0</v>
      </c>
      <c r="I39" s="59">
        <f>COUNTIFS(Aug!$B:$B,2004,Aug!$J:$J,24)</f>
        <v>0</v>
      </c>
      <c r="J39" s="59">
        <f>COUNTIFS(Sep!$B:$B,2004,Sep!$J:$J,24)</f>
        <v>0</v>
      </c>
      <c r="K39" s="59">
        <f>COUNTIFS(Oct!$B:$B,2004,Oct!$J:$J,24)</f>
        <v>0</v>
      </c>
      <c r="L39" s="59">
        <f>COUNTIFS(Nov!$B:$B,2004,Nov!$J:$J,24)</f>
        <v>0</v>
      </c>
      <c r="M39" s="59">
        <v>0</v>
      </c>
      <c r="N39" s="19"/>
    </row>
    <row r="40" spans="1:14" s="8" customFormat="1" ht="11.25" customHeight="1">
      <c r="A40" s="10" t="s">
        <v>34</v>
      </c>
      <c r="B40" s="59">
        <f>COUNTIFS(Jan!$B:$B,2004,Jan!$J:$J,9)</f>
        <v>0</v>
      </c>
      <c r="C40" s="59">
        <f>COUNTIFS(Feb!$B:$B,2004,Feb!$J:$J,9)</f>
        <v>0</v>
      </c>
      <c r="D40" s="59">
        <f>COUNTIFS(Mar!$B:$B,2004,Mar!$J:$J,9)</f>
        <v>0</v>
      </c>
      <c r="E40" s="59">
        <f>COUNTIFS(Apr!$B:$B,2004,Apr!$J:$J,9)</f>
        <v>0</v>
      </c>
      <c r="F40" s="59">
        <f>COUNTIFS(May!$B:$B,2004,May!$J:$J,9)</f>
        <v>0</v>
      </c>
      <c r="G40" s="59">
        <f>COUNTIFS(Jun!$B:$B,2004,Jun!$J:$J,9)</f>
        <v>0</v>
      </c>
      <c r="H40" s="59">
        <f>COUNTIFS(Jul!$B:$B,2004,Jul!$J:$J,9)</f>
        <v>0</v>
      </c>
      <c r="I40" s="59">
        <f>COUNTIFS(Aug!$B:$B,2004,Aug!$J:$J,9)</f>
        <v>0</v>
      </c>
      <c r="J40" s="59">
        <f>COUNTIFS(Sep!$B:$B,2004,Sep!$J:$J,9)</f>
        <v>0</v>
      </c>
      <c r="K40" s="59">
        <f>COUNTIFS(Oct!$B:$B,2004,Oct!$J:$J,9)</f>
        <v>0</v>
      </c>
      <c r="L40" s="59">
        <f>COUNTIFS(Nov!$B:$B,2004,Nov!$J:$J,9)</f>
        <v>0</v>
      </c>
      <c r="M40" s="59">
        <v>0</v>
      </c>
      <c r="N40" s="19"/>
    </row>
    <row r="41" spans="1:14" s="8" customFormat="1" ht="11.25" customHeight="1">
      <c r="A41" s="10" t="s">
        <v>31</v>
      </c>
      <c r="B41" s="59">
        <f>COUNTIFS(Jan!$B:$B,2004,Jan!$J:$J,10)</f>
        <v>0</v>
      </c>
      <c r="C41" s="59">
        <f>COUNTIFS(Feb!$B:$B,2004,Feb!$J:$J,10)</f>
        <v>0</v>
      </c>
      <c r="D41" s="59">
        <f>COUNTIFS(Mar!$B:$B,2004,Mar!$J:$J,10)</f>
        <v>0</v>
      </c>
      <c r="E41" s="59">
        <f>COUNTIFS(Apr!$B:$B,2004,Apr!$J:$J,10)</f>
        <v>0</v>
      </c>
      <c r="F41" s="59">
        <f>COUNTIFS(May!$B:$B,2004,May!$J:$J,10)</f>
        <v>0</v>
      </c>
      <c r="G41" s="59">
        <f>COUNTIFS(Jun!$B:$B,2004,Jun!$J:$J,10)</f>
        <v>0</v>
      </c>
      <c r="H41" s="59">
        <f>COUNTIFS(Jul!$B:$B,2004,Jul!$J:$J,10)</f>
        <v>0</v>
      </c>
      <c r="I41" s="59">
        <f>COUNTIFS(Aug!$B:$B,2004,Aug!$J:$J,10)</f>
        <v>0</v>
      </c>
      <c r="J41" s="59">
        <f>COUNTIFS(Sep!$B:$B,2004,Sep!$J:$J,10)</f>
        <v>0</v>
      </c>
      <c r="K41" s="59">
        <f>COUNTIFS(Oct!$B:$B,2004,Oct!$J:$J,10)</f>
        <v>0</v>
      </c>
      <c r="L41" s="59">
        <f>COUNTIFS(Nov!$B:$B,2004,Nov!$J:$J,10)</f>
        <v>0</v>
      </c>
      <c r="M41" s="59">
        <v>0</v>
      </c>
      <c r="N41" s="19"/>
    </row>
    <row r="42" spans="1:14" s="8" customFormat="1" ht="11.25" customHeight="1">
      <c r="A42" s="10" t="s">
        <v>144</v>
      </c>
      <c r="B42" s="59">
        <f>COUNTIFS(Jan!$B:$B,2004,Jan!$F:$F,462)</f>
        <v>0</v>
      </c>
      <c r="C42" s="59">
        <f>COUNTIFS(Feb!$B:$B,2004,Feb!$F:$F,462)</f>
        <v>0</v>
      </c>
      <c r="D42" s="59">
        <f>COUNTIFS(Mar!$B:$B,2004,Mar!$F:$F,462)</f>
        <v>0</v>
      </c>
      <c r="E42" s="59">
        <f>COUNTIFS(Apr!$B:$B,2004,Apr!$F:$F,462)</f>
        <v>0</v>
      </c>
      <c r="F42" s="59">
        <f>COUNTIFS(May!$B:$B,2004,May!$F:$F,462)</f>
        <v>0</v>
      </c>
      <c r="G42" s="59">
        <f>COUNTIFS(Jun!$B:$B,2004,Jun!$F:$F,462)</f>
        <v>0</v>
      </c>
      <c r="H42" s="59">
        <f>COUNTIFS(Jul!$B:$B,2004,Jul!$F:$F,462)</f>
        <v>0</v>
      </c>
      <c r="I42" s="59">
        <f>COUNTIFS(Aug!$B:$B,2004,Aug!$F:$F,462)</f>
        <v>0</v>
      </c>
      <c r="J42" s="59">
        <f>COUNTIFS(Sep!$B:$B,2004,Sep!$F:$F,462)</f>
        <v>0</v>
      </c>
      <c r="K42" s="59">
        <f>COUNTIFS(Oct!$B:$B,2004,Oct!$F:$F,462)</f>
        <v>0</v>
      </c>
      <c r="L42" s="59">
        <f>COUNTIFS(Nov!$B:$B,2004,Nov!$F:$F,462)</f>
        <v>0</v>
      </c>
      <c r="M42" s="59">
        <v>0</v>
      </c>
      <c r="N42" s="19"/>
    </row>
    <row r="43" spans="1:14" s="8" customFormat="1" ht="11.25" customHeight="1">
      <c r="A43" s="10" t="s">
        <v>1</v>
      </c>
      <c r="B43" s="59">
        <f>COUNTIFS(Jan!$B:$B,2004,Jan!$J:$J,11)</f>
        <v>0</v>
      </c>
      <c r="C43" s="59">
        <f>COUNTIFS(Feb!$B:$B,2004,Feb!$J:$J,11)</f>
        <v>0</v>
      </c>
      <c r="D43" s="59">
        <f>COUNTIFS(Mar!$B:$B,2004,Mar!$J:$J,11)</f>
        <v>0</v>
      </c>
      <c r="E43" s="59">
        <f>COUNTIFS(Apr!$B:$B,2004,Apr!$J:$J,11)</f>
        <v>0</v>
      </c>
      <c r="F43" s="59">
        <f>COUNTIFS(May!$B:$B,2004,May!$J:$J,11)</f>
        <v>0</v>
      </c>
      <c r="G43" s="59">
        <f>COUNTIFS(Jun!$B:$B,2004,Jun!$J:$J,11)</f>
        <v>0</v>
      </c>
      <c r="H43" s="59">
        <f>COUNTIFS(Jul!$B:$B,2004,Jul!$J:$J,11)</f>
        <v>0</v>
      </c>
      <c r="I43" s="59">
        <f>COUNTIFS(Aug!$B:$B,2004,Aug!$J:$J,11)</f>
        <v>0</v>
      </c>
      <c r="J43" s="59">
        <f>COUNTIFS(Sep!$B:$B,2004,Sep!$J:$J,11)</f>
        <v>0</v>
      </c>
      <c r="K43" s="59">
        <f>COUNTIFS(Oct!$B:$B,2004,Oct!$J:$J,11)</f>
        <v>0</v>
      </c>
      <c r="L43" s="59">
        <f>COUNTIFS(Nov!$B:$B,2004,Nov!$J:$J,11)</f>
        <v>0</v>
      </c>
      <c r="M43" s="59">
        <v>0</v>
      </c>
      <c r="N43" s="19"/>
    </row>
    <row r="44" spans="1:14" s="8" customFormat="1" ht="11.25" customHeight="1">
      <c r="A44" s="10" t="s">
        <v>26</v>
      </c>
      <c r="B44" s="59">
        <f>COUNTIFS(Jan!$B:$B,2004,Jan!$J:$J,20)</f>
        <v>0</v>
      </c>
      <c r="C44" s="59">
        <f>COUNTIFS(Feb!$B:$B,2004,Feb!$J:$J,20)</f>
        <v>0</v>
      </c>
      <c r="D44" s="59">
        <f>COUNTIFS(Mar!$B:$B,2004,Mar!$J:$J,20)</f>
        <v>0</v>
      </c>
      <c r="E44" s="59">
        <f>COUNTIFS(Apr!$B:$B,2004,Apr!$J:$J,20)</f>
        <v>0</v>
      </c>
      <c r="F44" s="59">
        <f>COUNTIFS(May!$B:$B,2004,May!$J:$J,20)</f>
        <v>0</v>
      </c>
      <c r="G44" s="59">
        <f>COUNTIFS(Jun!$B:$B,2004,Jun!$J:$J,20)</f>
        <v>0</v>
      </c>
      <c r="H44" s="59">
        <f>COUNTIFS(Jul!$B:$B,2004,Jul!$J:$J,20)</f>
        <v>0</v>
      </c>
      <c r="I44" s="59">
        <f>COUNTIFS(Aug!$B:$B,2004,Aug!$J:$J,20)</f>
        <v>0</v>
      </c>
      <c r="J44" s="59">
        <f>COUNTIFS(Sep!$B:$B,2004,Sep!$J:$J,20)</f>
        <v>0</v>
      </c>
      <c r="K44" s="59">
        <f>COUNTIFS(Oct!$B:$B,2004,Oct!$J:$J,20)</f>
        <v>0</v>
      </c>
      <c r="L44" s="59">
        <f>COUNTIFS(Nov!$B:$B,2004,Nov!$J:$J,20)</f>
        <v>0</v>
      </c>
      <c r="M44" s="59">
        <v>0</v>
      </c>
      <c r="N44" s="19"/>
    </row>
    <row r="45" spans="1:14" s="8" customFormat="1" ht="11.25" customHeight="1">
      <c r="A45" s="10" t="s">
        <v>32</v>
      </c>
      <c r="B45" s="59">
        <f>COUNTIFS(Jan!$B:$B,2004,Jan!$J:$J,2)</f>
        <v>0</v>
      </c>
      <c r="C45" s="59">
        <f>COUNTIFS(Feb!$B:$B,2004,Feb!$J:$J,2)</f>
        <v>0</v>
      </c>
      <c r="D45" s="59">
        <f>COUNTIFS(Mar!$B:$B,2004,Mar!$J:$J,2)</f>
        <v>0</v>
      </c>
      <c r="E45" s="59">
        <f>COUNTIFS(Apr!$B:$B,2004,Apr!$J:$J,2)</f>
        <v>0</v>
      </c>
      <c r="F45" s="59">
        <f>COUNTIFS(May!$B:$B,2004,May!$J:$J,2)</f>
        <v>0</v>
      </c>
      <c r="G45" s="59">
        <f>COUNTIFS(Jun!$B:$B,2004,Jun!$J:$J,2)</f>
        <v>0</v>
      </c>
      <c r="H45" s="59">
        <f>COUNTIFS(Jul!$B:$B,2004,Jul!$J:$J,2)</f>
        <v>0</v>
      </c>
      <c r="I45" s="59">
        <f>COUNTIFS(Aug!$B:$B,2004,Aug!$J:$J,2)</f>
        <v>0</v>
      </c>
      <c r="J45" s="59">
        <f>COUNTIFS(Sep!$B:$B,2004,Sep!$J:$J,2)</f>
        <v>0</v>
      </c>
      <c r="K45" s="59">
        <f>COUNTIFS(Oct!$B:$B,2004,Oct!$J:$J,2)</f>
        <v>0</v>
      </c>
      <c r="L45" s="59">
        <f>COUNTIFS(Nov!$B:$B,2004,Nov!$J:$J,2)</f>
        <v>0</v>
      </c>
      <c r="M45" s="59">
        <v>0</v>
      </c>
      <c r="N45" s="19"/>
    </row>
    <row r="46" spans="1:14" s="8" customFormat="1" ht="11.25" customHeight="1">
      <c r="A46" s="10" t="s">
        <v>28</v>
      </c>
      <c r="B46" s="59">
        <f>COUNTIFS(Jan!$B:$B,2004,Jan!$J:$J,1700)+COUNTIFS(Jan!$B:$B,2004,Jan!$F:$F,1700)+COUNTIFS(Jan!$B:$B,2004,Jan!$J:$J,19)</f>
        <v>0</v>
      </c>
      <c r="C46" s="59">
        <f>COUNTIFS(Feb!$B:$B,2004,Feb!$J:$J,1700)+COUNTIFS(Feb!$B:$B,2004,Feb!$F:$F,1700)+COUNTIFS(Feb!$B:$B,2004,Feb!$J:$J,19)</f>
        <v>0</v>
      </c>
      <c r="D46" s="59">
        <f>COUNTIFS(Mar!$B:$B,2004,Mar!$J:$J,1700)+COUNTIFS(Mar!$B:$B,2004,Mar!$F:$F,1700)+COUNTIFS(Mar!$B:$B,2004,Mar!$J:$J,19)</f>
        <v>0</v>
      </c>
      <c r="E46" s="59">
        <f>COUNTIFS(Apr!$B:$B,2004,Apr!$J:$J,1700)+COUNTIFS(Apr!$B:$B,2004,Apr!$F:$F,1700)+COUNTIFS(Apr!$B:$B,2004,Apr!$J:$J,19)</f>
        <v>0</v>
      </c>
      <c r="F46" s="59">
        <f>COUNTIFS(May!$B:$B,2004,May!$J:$J,1700)+COUNTIFS(May!$B:$B,2004,May!$F:$F,1700)+COUNTIFS(May!$B:$B,2004,May!$J:$J,19)</f>
        <v>0</v>
      </c>
      <c r="G46" s="59">
        <f>COUNTIFS(Jun!$B:$B,2004,Jun!$J:$J,1700)+COUNTIFS(Jun!$B:$B,2004,Jun!$F:$F,1700)+COUNTIFS(Jun!$B:$B,2004,Jun!$J:$J,19)</f>
        <v>0</v>
      </c>
      <c r="H46" s="59">
        <f>COUNTIFS(Jul!$B:$B,2004,Jul!$J:$J,1700)+COUNTIFS(Jul!$B:$B,2004,Jul!$F:$F,1700)+COUNTIFS(Jul!$B:$B,2004,Jul!$J:$J,19)</f>
        <v>0</v>
      </c>
      <c r="I46" s="59">
        <f>COUNTIFS(Aug!$B:$B,2004,Aug!$J:$J,1700)+COUNTIFS(Aug!$B:$B,2004,Aug!$F:$F,1700)+COUNTIFS(Aug!$B:$B,2004,Aug!$J:$J,19)</f>
        <v>0</v>
      </c>
      <c r="J46" s="59">
        <f>COUNTIFS(Sep!$B:$B,2004,Sep!$J:$J,1700)+COUNTIFS(Sep!$B:$B,2004,Sep!$F:$F,1700)+COUNTIFS(Sep!$B:$B,2004,Sep!$J:$J,19)</f>
        <v>0</v>
      </c>
      <c r="K46" s="59">
        <f>COUNTIFS(Oct!$B:$B,2004,Oct!$J:$J,1700)+COUNTIFS(Oct!$B:$B,2004,Oct!$F:$F,1700)+COUNTIFS(Oct!$B:$B,2004,Oct!$J:$J,19)</f>
        <v>0</v>
      </c>
      <c r="L46" s="59">
        <f>COUNTIFS(Nov!$B:$B,2004,Nov!$J:$J,1700)+COUNTIFS(Nov!$B:$B,2004,Nov!$F:$F,1700)+COUNTIFS(Nov!$B:$B,2004,Nov!$J:$J,19)</f>
        <v>0</v>
      </c>
      <c r="M46" s="59">
        <v>0</v>
      </c>
      <c r="N46" s="19"/>
    </row>
    <row r="47" spans="1:14" s="8" customFormat="1" ht="11.25" customHeight="1">
      <c r="A47" s="10" t="s">
        <v>0</v>
      </c>
      <c r="B47" s="59">
        <f>COUNTIFS(Jan!$B:$B,2004,Jan!$J:$J,3)</f>
        <v>0</v>
      </c>
      <c r="C47" s="59">
        <f>COUNTIFS(Feb!$B:$B,2004,Feb!$J:$J,3)</f>
        <v>0</v>
      </c>
      <c r="D47" s="59">
        <f>COUNTIFS(Mar!$B:$B,2004,Mar!$J:$J,3)</f>
        <v>0</v>
      </c>
      <c r="E47" s="59">
        <f>COUNTIFS(Apr!$B:$B,2004,Apr!$J:$J,3)</f>
        <v>0</v>
      </c>
      <c r="F47" s="59">
        <f>COUNTIFS(May!$B:$B,2004,May!$J:$J,3)</f>
        <v>0</v>
      </c>
      <c r="G47" s="59">
        <f>COUNTIFS(Jun!$B:$B,2004,Jun!$J:$J,3)</f>
        <v>0</v>
      </c>
      <c r="H47" s="59">
        <f>COUNTIFS(Jul!$B:$B,2004,Jul!$J:$J,3)</f>
        <v>0</v>
      </c>
      <c r="I47" s="59">
        <f>COUNTIFS(Aug!$B:$B,2004,Aug!$J:$J,3)</f>
        <v>0</v>
      </c>
      <c r="J47" s="59">
        <f>COUNTIFS(Sep!$B:$B,2004,Sep!$J:$J,3)</f>
        <v>0</v>
      </c>
      <c r="K47" s="59">
        <f>COUNTIFS(Oct!$B:$B,2004,Oct!$J:$J,3)</f>
        <v>0</v>
      </c>
      <c r="L47" s="59">
        <f>COUNTIFS(Nov!$B:$B,2004,Nov!$J:$J,3)</f>
        <v>0</v>
      </c>
      <c r="M47" s="59">
        <v>0</v>
      </c>
      <c r="N47" s="19"/>
    </row>
    <row r="48" spans="1:14" s="8" customFormat="1" ht="11.25" customHeight="1">
      <c r="A48" s="10" t="s">
        <v>35</v>
      </c>
      <c r="B48" s="59">
        <f>COUNTIFS(Jan!$B:$B,2004,Jan!$J:$J,7400)</f>
        <v>0</v>
      </c>
      <c r="C48" s="59">
        <f>COUNTIFS(Feb!$B:$B,2004,Feb!$J:$J,7400)</f>
        <v>0</v>
      </c>
      <c r="D48" s="59">
        <f>COUNTIFS(Mar!$B:$B,2004,Mar!$J:$J,7400)</f>
        <v>0</v>
      </c>
      <c r="E48" s="59">
        <f>COUNTIFS(Apr!$B:$B,2004,Apr!$J:$J,7400)</f>
        <v>0</v>
      </c>
      <c r="F48" s="59">
        <f>COUNTIFS(May!$B:$B,2004,May!$J:$J,7400)</f>
        <v>0</v>
      </c>
      <c r="G48" s="59">
        <f>COUNTIFS(Jun!$B:$B,2004,Jun!$J:$J,7400)</f>
        <v>0</v>
      </c>
      <c r="H48" s="59">
        <f>COUNTIFS(Jul!$B:$B,2004,Jul!$J:$J,7400)</f>
        <v>0</v>
      </c>
      <c r="I48" s="59">
        <f>COUNTIFS(Aug!$B:$B,2004,Aug!$J:$J,7400)</f>
        <v>0</v>
      </c>
      <c r="J48" s="59">
        <f>COUNTIFS(Sep!$B:$B,2004,Sep!$J:$J,7400)</f>
        <v>0</v>
      </c>
      <c r="K48" s="59">
        <f>COUNTIFS(Oct!$B:$B,2004,Oct!$J:$J,7400)</f>
        <v>0</v>
      </c>
      <c r="L48" s="59">
        <f>COUNTIFS(Nov!$B:$B,2004,Nov!$J:$J,7400)</f>
        <v>0</v>
      </c>
      <c r="M48" s="59">
        <v>0</v>
      </c>
      <c r="N48" s="19"/>
    </row>
    <row r="49" spans="1:14" s="8" customFormat="1" ht="11.25" customHeight="1">
      <c r="A49" s="10" t="s">
        <v>2</v>
      </c>
      <c r="B49" s="59">
        <f>COUNTIFS(Jan!$B:$B,2004,Jan!$J:$J,14)</f>
        <v>0</v>
      </c>
      <c r="C49" s="59">
        <f>COUNTIFS(Feb!$B:$B,2004,Feb!$J:$J,14)</f>
        <v>0</v>
      </c>
      <c r="D49" s="59">
        <f>COUNTIFS(Mar!$B:$B,2004,Mar!$J:$J,14)</f>
        <v>0</v>
      </c>
      <c r="E49" s="59">
        <f>COUNTIFS(Apr!$B:$B,2004,Apr!$J:$J,14)</f>
        <v>0</v>
      </c>
      <c r="F49" s="59">
        <f>COUNTIFS(May!$B:$B,2004,May!$J:$J,14)</f>
        <v>0</v>
      </c>
      <c r="G49" s="59">
        <f>COUNTIFS(Jun!$B:$B,2004,Jun!$J:$J,14)</f>
        <v>0</v>
      </c>
      <c r="H49" s="59">
        <f>COUNTIFS(Jul!$B:$B,2004,Jul!$J:$J,14)</f>
        <v>0</v>
      </c>
      <c r="I49" s="59">
        <f>COUNTIFS(Aug!$B:$B,2004,Aug!$J:$J,14)</f>
        <v>0</v>
      </c>
      <c r="J49" s="59">
        <f>COUNTIFS(Sep!$B:$B,2004,Sep!$J:$J,14)</f>
        <v>0</v>
      </c>
      <c r="K49" s="59">
        <f>COUNTIFS(Oct!$B:$B,2004,Oct!$J:$J,14)</f>
        <v>0</v>
      </c>
      <c r="L49" s="59">
        <f>COUNTIFS(Nov!$B:$B,2004,Nov!$J:$J,14)</f>
        <v>0</v>
      </c>
      <c r="M49" s="59">
        <v>0</v>
      </c>
      <c r="N49" s="19"/>
    </row>
    <row r="50" spans="1:14" s="8" customFormat="1" ht="11.25" customHeight="1">
      <c r="A50" s="10" t="s">
        <v>142</v>
      </c>
      <c r="B50" s="59">
        <f>COUNTIFS(Jan!$B:$B,2004,Jan!$F:$F,466)</f>
        <v>0</v>
      </c>
      <c r="C50" s="59">
        <f>COUNTIFS(Feb!$B:$B,2004,Feb!$F:$F,466)</f>
        <v>0</v>
      </c>
      <c r="D50" s="59">
        <f>COUNTIFS(Mar!$B:$B,2004,Mar!$F:$F,466)</f>
        <v>0</v>
      </c>
      <c r="E50" s="59">
        <f>COUNTIFS(Apr!$B:$B,2004,Apr!$F:$F,466)</f>
        <v>0</v>
      </c>
      <c r="F50" s="59">
        <f>COUNTIFS(May!$B:$B,2004,May!$F:$F,466)</f>
        <v>0</v>
      </c>
      <c r="G50" s="59">
        <f>COUNTIFS(Jun!$B:$B,2004,Jun!$F:$F,466)</f>
        <v>0</v>
      </c>
      <c r="H50" s="59">
        <f>COUNTIFS(Jul!$B:$B,2004,Jul!$F:$F,466)</f>
        <v>0</v>
      </c>
      <c r="I50" s="59">
        <f>COUNTIFS(Aug!$B:$B,2004,Aug!$F:$F,466)</f>
        <v>0</v>
      </c>
      <c r="J50" s="59">
        <f>COUNTIFS(Sep!$B:$B,2004,Sep!$F:$F,466)</f>
        <v>0</v>
      </c>
      <c r="K50" s="59">
        <f>COUNTIFS(Oct!$B:$B,2004,Oct!$F:$F,466)</f>
        <v>0</v>
      </c>
      <c r="L50" s="59">
        <f>COUNTIFS(Nov!$B:$B,2004,Nov!$F:$F,466)</f>
        <v>0</v>
      </c>
      <c r="M50" s="59">
        <v>0</v>
      </c>
      <c r="N50" s="19"/>
    </row>
    <row r="51" spans="1:14" s="8" customFormat="1" ht="11.25" customHeight="1">
      <c r="A51" s="10" t="s">
        <v>27</v>
      </c>
      <c r="B51" s="59">
        <f>COUNTIFS(Jan!$B:$B,2004,Jan!$J:$J,25)</f>
        <v>0</v>
      </c>
      <c r="C51" s="59">
        <f>COUNTIFS(Feb!$B:$B,2004,Feb!$J:$J,25)</f>
        <v>0</v>
      </c>
      <c r="D51" s="59">
        <f>COUNTIFS(Mar!$B:$B,2004,Mar!$J:$J,25)</f>
        <v>0</v>
      </c>
      <c r="E51" s="59">
        <f>COUNTIFS(Apr!$B:$B,2004,Apr!$J:$J,25)</f>
        <v>0</v>
      </c>
      <c r="F51" s="59">
        <f>COUNTIFS(May!$B:$B,2004,May!$J:$J,25)</f>
        <v>0</v>
      </c>
      <c r="G51" s="59">
        <f>COUNTIFS(Jun!$B:$B,2004,Jun!$J:$J,25)</f>
        <v>0</v>
      </c>
      <c r="H51" s="59">
        <f>COUNTIFS(Jul!$B:$B,2004,Jul!$J:$J,25)</f>
        <v>0</v>
      </c>
      <c r="I51" s="59">
        <f>COUNTIFS(Aug!$B:$B,2004,Aug!$J:$J,25)</f>
        <v>0</v>
      </c>
      <c r="J51" s="59">
        <f>COUNTIFS(Sep!$B:$B,2004,Sep!$J:$J,25)</f>
        <v>0</v>
      </c>
      <c r="K51" s="59">
        <f>COUNTIFS(Oct!$B:$B,2004,Oct!$J:$J,25)</f>
        <v>0</v>
      </c>
      <c r="L51" s="59">
        <f>COUNTIFS(Nov!$B:$B,2004,Nov!$J:$J,25)</f>
        <v>0</v>
      </c>
      <c r="M51" s="59">
        <v>0</v>
      </c>
      <c r="N51" s="19"/>
    </row>
    <row r="52" spans="1:14" s="8" customFormat="1" ht="11.25" customHeight="1" thickBot="1">
      <c r="A52" s="11" t="s">
        <v>16</v>
      </c>
      <c r="B52" s="60">
        <f t="shared" ref="B52:G52" si="11">SUM(B34:B51)</f>
        <v>0</v>
      </c>
      <c r="C52" s="60">
        <f t="shared" si="11"/>
        <v>0</v>
      </c>
      <c r="D52" s="60">
        <f t="shared" si="11"/>
        <v>0</v>
      </c>
      <c r="E52" s="60">
        <f t="shared" si="11"/>
        <v>0</v>
      </c>
      <c r="F52" s="60">
        <f t="shared" si="11"/>
        <v>0</v>
      </c>
      <c r="G52" s="60">
        <f t="shared" si="11"/>
        <v>0</v>
      </c>
      <c r="H52" s="60">
        <f t="shared" ref="H52:M52" si="12">SUM(H34:H51)</f>
        <v>0</v>
      </c>
      <c r="I52" s="60">
        <f t="shared" si="12"/>
        <v>0</v>
      </c>
      <c r="J52" s="60">
        <f t="shared" si="12"/>
        <v>0</v>
      </c>
      <c r="K52" s="60">
        <f t="shared" si="12"/>
        <v>0</v>
      </c>
      <c r="L52" s="159">
        <f t="shared" si="12"/>
        <v>0</v>
      </c>
      <c r="M52" s="170">
        <f t="shared" si="12"/>
        <v>0</v>
      </c>
      <c r="N52" s="20"/>
    </row>
    <row r="53" spans="1:14" ht="12" customHeight="1" thickBot="1">
      <c r="A53" s="55" t="s">
        <v>137</v>
      </c>
      <c r="B53" s="50">
        <v>41275</v>
      </c>
      <c r="C53" s="47">
        <v>41306</v>
      </c>
      <c r="D53" s="47">
        <v>41334</v>
      </c>
      <c r="E53" s="47">
        <v>41365</v>
      </c>
      <c r="F53" s="47">
        <v>41395</v>
      </c>
      <c r="G53" s="47">
        <v>41426</v>
      </c>
      <c r="H53" s="47">
        <v>41456</v>
      </c>
      <c r="I53" s="47">
        <v>41487</v>
      </c>
      <c r="J53" s="47">
        <v>41518</v>
      </c>
      <c r="K53" s="47">
        <v>41548</v>
      </c>
      <c r="L53" s="47">
        <v>41579</v>
      </c>
      <c r="M53" s="51">
        <v>41609</v>
      </c>
      <c r="N53" s="34"/>
    </row>
    <row r="54" spans="1:14" s="8" customFormat="1" ht="11.25" customHeight="1">
      <c r="A54" s="10" t="s">
        <v>30</v>
      </c>
      <c r="B54" s="57">
        <f>COUNTIFS(Jan!$B:$B,2004,Jan!$J:$J,7)</f>
        <v>0</v>
      </c>
      <c r="C54" s="57">
        <f>COUNTIFS(Feb!$B:$B,2004,Feb!$J:$J,7)</f>
        <v>0</v>
      </c>
      <c r="D54" s="57">
        <f>COUNTIFS(Mar!$B:$B,2004,Mar!$J:$J,7)</f>
        <v>0</v>
      </c>
      <c r="E54" s="57">
        <f>COUNTIFS(Apr!$B:$B,2004,Apr!$J:$J,7)</f>
        <v>0</v>
      </c>
      <c r="F54" s="57">
        <f>COUNTIFS(May!$B:$B,2004,May!$J:$J,7)</f>
        <v>0</v>
      </c>
      <c r="G54" s="57">
        <f>COUNTIFS(Jun!$B:$B,2004,Jun!$J:$J,7)</f>
        <v>0</v>
      </c>
      <c r="H54" s="57">
        <f>COUNTIFS(Jul!$B:$B,2004,Jul!$J:$J,7)</f>
        <v>0</v>
      </c>
      <c r="I54" s="57">
        <f>COUNTIFS(Aug!$B:$B,2004,Aug!$J:$J,7)</f>
        <v>0</v>
      </c>
      <c r="J54" s="57">
        <f>COUNTIFS(Sep!$B:$B,2004,Sep!$J:$J,7)</f>
        <v>0</v>
      </c>
      <c r="K54" s="57">
        <f>COUNTIFS(Oct!$B:$B,2004,Oct!$J:$J,7)</f>
        <v>0</v>
      </c>
      <c r="L54" s="57">
        <f>COUNTIFS(Nov!$B:$B,2004,Nov!$J:$J,7)</f>
        <v>0</v>
      </c>
      <c r="M54" s="57">
        <v>0</v>
      </c>
      <c r="N54" s="19"/>
    </row>
    <row r="55" spans="1:14" s="8" customFormat="1" ht="11.25" customHeight="1">
      <c r="A55" s="10" t="s">
        <v>29</v>
      </c>
      <c r="B55" s="59">
        <f>COUNTIFS(Jan!$B:$B,2004,Jan!$J:$J,8)</f>
        <v>0</v>
      </c>
      <c r="C55" s="59">
        <f>COUNTIFS(Feb!$B:$B,2004,Feb!$J:$J,8)</f>
        <v>0</v>
      </c>
      <c r="D55" s="59">
        <f>COUNTIFS(Mar!$B:$B,2004,Mar!$J:$J,8)</f>
        <v>0</v>
      </c>
      <c r="E55" s="59">
        <f>COUNTIFS(Apr!$B:$B,2004,Apr!$J:$J,8)</f>
        <v>0</v>
      </c>
      <c r="F55" s="59">
        <f>COUNTIFS(May!$B:$B,2004,May!$J:$J,8)</f>
        <v>0</v>
      </c>
      <c r="G55" s="59">
        <f>COUNTIFS(Jun!$B:$B,2004,Jun!$J:$J,8)</f>
        <v>0</v>
      </c>
      <c r="H55" s="59">
        <f>COUNTIFS(Jul!$B:$B,2004,Jul!$J:$J,8)</f>
        <v>0</v>
      </c>
      <c r="I55" s="59">
        <f>COUNTIFS(Aug!$B:$B,2004,Aug!$J:$J,8)</f>
        <v>0</v>
      </c>
      <c r="J55" s="59">
        <f>COUNTIFS(Sep!$B:$B,2004,Sep!$J:$J,8)</f>
        <v>0</v>
      </c>
      <c r="K55" s="59">
        <f>COUNTIFS(Oct!$B:$B,2004,Oct!$J:$J,8)</f>
        <v>0</v>
      </c>
      <c r="L55" s="59">
        <f>COUNTIFS(Nov!$B:$B,2004,Nov!$J:$J,8)</f>
        <v>0</v>
      </c>
      <c r="M55" s="59">
        <v>0</v>
      </c>
      <c r="N55" s="19"/>
    </row>
    <row r="56" spans="1:14" s="8" customFormat="1" ht="11.25" customHeight="1">
      <c r="A56" s="10" t="s">
        <v>7</v>
      </c>
      <c r="B56" s="59">
        <f>COUNTIFS(Jan!$B:$B,2004,Jan!$J:$J,12)</f>
        <v>0</v>
      </c>
      <c r="C56" s="59">
        <f>COUNTIFS(Feb!$B:$B,2004,Feb!$J:$J,12)</f>
        <v>0</v>
      </c>
      <c r="D56" s="59">
        <f>COUNTIFS(Mar!$B:$B,2004,Mar!$J:$J,12)</f>
        <v>0</v>
      </c>
      <c r="E56" s="59">
        <f>COUNTIFS(Apr!$B:$B,2004,Apr!$J:$J,12)</f>
        <v>0</v>
      </c>
      <c r="F56" s="59">
        <f>COUNTIFS(May!$B:$B,2004,May!$J:$J,12)</f>
        <v>0</v>
      </c>
      <c r="G56" s="59">
        <f>COUNTIFS(Jun!$B:$B,2004,Jun!$J:$J,12)</f>
        <v>0</v>
      </c>
      <c r="H56" s="59">
        <f>COUNTIFS(Jul!$B:$B,2004,Jul!$J:$J,12)</f>
        <v>0</v>
      </c>
      <c r="I56" s="59">
        <f>COUNTIFS(Aug!$B:$B,2004,Aug!$J:$J,12)</f>
        <v>0</v>
      </c>
      <c r="J56" s="59">
        <f>COUNTIFS(Sep!$B:$B,2004,Sep!$J:$J,12)</f>
        <v>0</v>
      </c>
      <c r="K56" s="59">
        <f>COUNTIFS(Oct!$B:$B,2004,Oct!$J:$J,12)</f>
        <v>0</v>
      </c>
      <c r="L56" s="59">
        <f>COUNTIFS(Nov!$B:$B,2004,Nov!$J:$J,12)</f>
        <v>0</v>
      </c>
      <c r="M56" s="59">
        <v>0</v>
      </c>
      <c r="N56" s="19"/>
    </row>
    <row r="57" spans="1:14" s="8" customFormat="1" ht="11.25" customHeight="1">
      <c r="A57" s="10" t="s">
        <v>10</v>
      </c>
      <c r="B57" s="59">
        <f>COUNTIFS(Jan!$B:$B,2004,Jan!$J:$J,5100)</f>
        <v>0</v>
      </c>
      <c r="C57" s="59">
        <f>COUNTIFS(Feb!$B:$B,2004,Feb!$J:$J,5100)</f>
        <v>0</v>
      </c>
      <c r="D57" s="59">
        <f>COUNTIFS(Mar!$B:$B,2004,Mar!$J:$J,5100)</f>
        <v>0</v>
      </c>
      <c r="E57" s="59">
        <f>COUNTIFS(Apr!$B:$B,2004,Apr!$J:$J,5100)</f>
        <v>0</v>
      </c>
      <c r="F57" s="59">
        <f>COUNTIFS(May!$B:$B,2004,May!$J:$J,5100)</f>
        <v>0</v>
      </c>
      <c r="G57" s="59">
        <f>COUNTIFS(Jun!$B:$B,2004,Jun!$J:$J,5100)</f>
        <v>0</v>
      </c>
      <c r="H57" s="59">
        <f>COUNTIFS(Jul!$B:$B,2004,Jul!$J:$J,5100)</f>
        <v>0</v>
      </c>
      <c r="I57" s="59">
        <f>COUNTIFS(Aug!$B:$B,2004,Aug!$J:$J,5100)</f>
        <v>0</v>
      </c>
      <c r="J57" s="59">
        <f>COUNTIFS(Sep!$B:$B,2004,Sep!$J:$J,5100)</f>
        <v>0</v>
      </c>
      <c r="K57" s="59">
        <f>COUNTIFS(Oct!$B:$B,2004,Oct!$J:$J,5100)</f>
        <v>0</v>
      </c>
      <c r="L57" s="59">
        <f>COUNTIFS(Nov!$B:$B,2004,Nov!$J:$J,5100)</f>
        <v>0</v>
      </c>
      <c r="M57" s="59">
        <v>0</v>
      </c>
      <c r="N57" s="19"/>
    </row>
    <row r="58" spans="1:14" s="8" customFormat="1" ht="11.25" customHeight="1">
      <c r="A58" s="10" t="s">
        <v>36</v>
      </c>
      <c r="B58" s="59">
        <f>COUNTIFS(Jan!$B:$B,2004,Jan!$J:$J,6200)</f>
        <v>0</v>
      </c>
      <c r="C58" s="59">
        <f>COUNTIFS(Feb!$B:$B,2004,Feb!$J:$J,6200)</f>
        <v>0</v>
      </c>
      <c r="D58" s="59">
        <f>COUNTIFS(Mar!$B:$B,2004,Mar!$J:$J,6200)</f>
        <v>0</v>
      </c>
      <c r="E58" s="59">
        <f>COUNTIFS(Apr!$B:$B,2004,Apr!$J:$J,6200)</f>
        <v>0</v>
      </c>
      <c r="F58" s="59">
        <f>COUNTIFS(May!$B:$B,2004,May!$J:$J,6200)</f>
        <v>0</v>
      </c>
      <c r="G58" s="59">
        <f>COUNTIFS(Jun!$B:$B,2004,Jun!$J:$J,6200)</f>
        <v>0</v>
      </c>
      <c r="H58" s="59">
        <f>COUNTIFS(Jul!$B:$B,2004,Jul!$J:$J,6200)</f>
        <v>0</v>
      </c>
      <c r="I58" s="59">
        <f>COUNTIFS(Aug!$B:$B,2004,Aug!$J:$J,6200)</f>
        <v>0</v>
      </c>
      <c r="J58" s="59">
        <f>COUNTIFS(Sep!$B:$B,2004,Sep!$J:$J,6200)</f>
        <v>0</v>
      </c>
      <c r="K58" s="59">
        <f>COUNTIFS(Oct!$B:$B,2004,Oct!$J:$J,6200)</f>
        <v>0</v>
      </c>
      <c r="L58" s="59">
        <f>COUNTIFS(Nov!$B:$B,2004,Nov!$J:$J,6200)</f>
        <v>0</v>
      </c>
      <c r="M58" s="59">
        <v>0</v>
      </c>
      <c r="N58" s="19"/>
    </row>
    <row r="59" spans="1:14" s="8" customFormat="1" ht="11.25" customHeight="1">
      <c r="A59" s="10" t="s">
        <v>145</v>
      </c>
      <c r="B59" s="59">
        <f>COUNTIFS(Jan!$B:$B,2004,Jan!$J:$J,28)</f>
        <v>0</v>
      </c>
      <c r="C59" s="59">
        <f>COUNTIFS(Feb!$B:$B,2004,Feb!$J:$J,28)</f>
        <v>0</v>
      </c>
      <c r="D59" s="59">
        <f>COUNTIFS(Mar!$B:$B,2004,Mar!$J:$J,28)</f>
        <v>0</v>
      </c>
      <c r="E59" s="59">
        <f>COUNTIFS(Apr!$B:$B,2004,Apr!$J:$J,28)</f>
        <v>0</v>
      </c>
      <c r="F59" s="59">
        <f>COUNTIFS(May!$B:$B,2004,May!$J:$J,28)</f>
        <v>0</v>
      </c>
      <c r="G59" s="59">
        <f>COUNTIFS(Jun!$B:$B,2004,Jun!$J:$J,28)</f>
        <v>0</v>
      </c>
      <c r="H59" s="59">
        <f>COUNTIFS(Jul!$B:$B,2004,Jul!$J:$J,28)</f>
        <v>0</v>
      </c>
      <c r="I59" s="59">
        <f>COUNTIFS(Aug!$B:$B,2004,Aug!$J:$J,28)</f>
        <v>0</v>
      </c>
      <c r="J59" s="59">
        <f>COUNTIFS(Sep!$B:$B,2004,Sep!$J:$J,28)</f>
        <v>0</v>
      </c>
      <c r="K59" s="59">
        <f>COUNTIFS(Oct!$B:$B,2004,Oct!$J:$J,28)</f>
        <v>0</v>
      </c>
      <c r="L59" s="59">
        <f>COUNTIFS(Nov!$B:$B,2004,Nov!$J:$J,28)</f>
        <v>0</v>
      </c>
      <c r="M59" s="59">
        <v>0</v>
      </c>
      <c r="N59" s="19"/>
    </row>
    <row r="60" spans="1:14" s="8" customFormat="1" ht="11.25" customHeight="1">
      <c r="A60" s="10" t="s">
        <v>38</v>
      </c>
      <c r="B60" s="59">
        <f>COUNTIFS(Jan!$B:$B,2004,Jan!$J:$J,6100)</f>
        <v>0</v>
      </c>
      <c r="C60" s="59">
        <f>COUNTIFS(Feb!$B:$B,2004,Feb!$J:$J,6100)</f>
        <v>0</v>
      </c>
      <c r="D60" s="59">
        <f>COUNTIFS(Mar!$B:$B,2004,Mar!$J:$J,6100)</f>
        <v>0</v>
      </c>
      <c r="E60" s="59">
        <f>COUNTIFS(Apr!$B:$B,2004,Apr!$J:$J,6100)</f>
        <v>0</v>
      </c>
      <c r="F60" s="59">
        <f>COUNTIFS(May!$B:$B,2004,May!$J:$J,6100)</f>
        <v>0</v>
      </c>
      <c r="G60" s="59">
        <f>COUNTIFS(Jun!$B:$B,2004,Jun!$J:$J,6100)</f>
        <v>0</v>
      </c>
      <c r="H60" s="59">
        <f>COUNTIFS(Jul!$B:$B,2004,Jul!$J:$J,6100)</f>
        <v>0</v>
      </c>
      <c r="I60" s="59">
        <f>COUNTIFS(Aug!$B:$B,2004,Aug!$J:$J,6100)</f>
        <v>0</v>
      </c>
      <c r="J60" s="59">
        <f>COUNTIFS(Sep!$B:$B,2004,Sep!$J:$J,6100)</f>
        <v>0</v>
      </c>
      <c r="K60" s="59">
        <f>COUNTIFS(Oct!$B:$B,2004,Oct!$J:$J,6100)</f>
        <v>0</v>
      </c>
      <c r="L60" s="59">
        <f>COUNTIFS(Nov!$B:$B,2004,Nov!$J:$J,6100)</f>
        <v>0</v>
      </c>
      <c r="M60" s="59">
        <v>0</v>
      </c>
      <c r="N60" s="19"/>
    </row>
    <row r="61" spans="1:14" s="8" customFormat="1" ht="11.25" customHeight="1">
      <c r="A61" s="10" t="s">
        <v>9</v>
      </c>
      <c r="B61" s="59">
        <f>COUNTIFS(Jan!$B:$B,2004,Jan!$J:$J,6)</f>
        <v>0</v>
      </c>
      <c r="C61" s="59">
        <f>COUNTIFS(Feb!$B:$B,2004,Feb!$J:$J,6)</f>
        <v>0</v>
      </c>
      <c r="D61" s="59">
        <f>COUNTIFS(Mar!$B:$B,2004,Mar!$J:$J,6)</f>
        <v>0</v>
      </c>
      <c r="E61" s="59">
        <f>COUNTIFS(Apr!$B:$B,2004,Apr!$J:$J,6)</f>
        <v>0</v>
      </c>
      <c r="F61" s="59">
        <f>COUNTIFS(May!$B:$B,2004,May!$J:$J,6)</f>
        <v>0</v>
      </c>
      <c r="G61" s="59">
        <f>COUNTIFS(Jun!$B:$B,2004,Jun!$J:$J,6)</f>
        <v>0</v>
      </c>
      <c r="H61" s="59">
        <f>COUNTIFS(Jul!$B:$B,2004,Jul!$J:$J,6)</f>
        <v>0</v>
      </c>
      <c r="I61" s="59">
        <f>COUNTIFS(Aug!$B:$B,2004,Aug!$J:$J,6)</f>
        <v>0</v>
      </c>
      <c r="J61" s="59">
        <f>COUNTIFS(Sep!$B:$B,2004,Sep!$J:$J,6)</f>
        <v>0</v>
      </c>
      <c r="K61" s="59">
        <f>COUNTIFS(Oct!$B:$B,2004,Oct!$J:$J,6)</f>
        <v>0</v>
      </c>
      <c r="L61" s="59">
        <f>COUNTIFS(Nov!$B:$B,2004,Nov!$J:$J,6)</f>
        <v>0</v>
      </c>
      <c r="M61" s="59">
        <v>0</v>
      </c>
      <c r="N61" s="19"/>
    </row>
    <row r="62" spans="1:14" s="8" customFormat="1" ht="11.25" customHeight="1">
      <c r="A62" s="10" t="s">
        <v>8</v>
      </c>
      <c r="B62" s="59">
        <f>COUNTIFS(Jan!$B:$B,2004,Jan!$J:$J,4)</f>
        <v>0</v>
      </c>
      <c r="C62" s="59">
        <f>COUNTIFS(Feb!$B:$B,2004,Feb!$J:$J,4)</f>
        <v>0</v>
      </c>
      <c r="D62" s="59">
        <f>COUNTIFS(Mar!$B:$B,2004,Mar!$J:$J,4)</f>
        <v>0</v>
      </c>
      <c r="E62" s="59">
        <f>COUNTIFS(Apr!$B:$B,2004,Apr!$J:$J,4)</f>
        <v>0</v>
      </c>
      <c r="F62" s="59">
        <f>COUNTIFS(May!$B:$B,2004,May!$J:$J,4)</f>
        <v>0</v>
      </c>
      <c r="G62" s="59">
        <f>COUNTIFS(Jun!$B:$B,2004,Jun!$J:$J,4)</f>
        <v>0</v>
      </c>
      <c r="H62" s="59">
        <f>COUNTIFS(Jul!$B:$B,2004,Jul!$J:$J,4)</f>
        <v>0</v>
      </c>
      <c r="I62" s="59">
        <f>COUNTIFS(Aug!$B:$B,2004,Aug!$J:$J,4)</f>
        <v>0</v>
      </c>
      <c r="J62" s="59">
        <f>COUNTIFS(Sep!$B:$B,2004,Sep!$J:$J,4)</f>
        <v>0</v>
      </c>
      <c r="K62" s="59">
        <f>COUNTIFS(Oct!$B:$B,2004,Oct!$J:$J,4)</f>
        <v>0</v>
      </c>
      <c r="L62" s="59">
        <f>COUNTIFS(Nov!$B:$B,2004,Nov!$J:$J,4)</f>
        <v>0</v>
      </c>
      <c r="M62" s="59">
        <v>0</v>
      </c>
      <c r="N62" s="19"/>
    </row>
    <row r="63" spans="1:14" s="8" customFormat="1" ht="11.25" customHeight="1">
      <c r="A63" s="10" t="s">
        <v>6</v>
      </c>
      <c r="B63" s="59">
        <f>COUNTIFS(Jan!$B:$B,2004,Jan!$J:$J,5)</f>
        <v>0</v>
      </c>
      <c r="C63" s="59">
        <f>COUNTIFS(Feb!$B:$B,2004,Feb!$J:$J,5)</f>
        <v>0</v>
      </c>
      <c r="D63" s="59">
        <f>COUNTIFS(Mar!$B:$B,2004,Mar!$J:$J,5)</f>
        <v>0</v>
      </c>
      <c r="E63" s="59">
        <f>COUNTIFS(Apr!$B:$B,2004,Apr!$J:$J,5)</f>
        <v>0</v>
      </c>
      <c r="F63" s="59">
        <f>COUNTIFS(May!$B:$B,2004,May!$J:$J,5)</f>
        <v>0</v>
      </c>
      <c r="G63" s="59">
        <f>COUNTIFS(Jun!$B:$B,2004,Jun!$J:$J,5)</f>
        <v>0</v>
      </c>
      <c r="H63" s="59">
        <f>COUNTIFS(Jul!$B:$B,2004,Jul!$J:$J,5)</f>
        <v>0</v>
      </c>
      <c r="I63" s="59">
        <f>COUNTIFS(Aug!$B:$B,2004,Aug!$J:$J,5)</f>
        <v>0</v>
      </c>
      <c r="J63" s="59">
        <f>COUNTIFS(Sep!$B:$B,2004,Sep!$J:$J,5)</f>
        <v>0</v>
      </c>
      <c r="K63" s="59">
        <f>COUNTIFS(Oct!$B:$B,2004,Oct!$J:$J,5)</f>
        <v>0</v>
      </c>
      <c r="L63" s="59">
        <f>COUNTIFS(Nov!$B:$B,2004,Nov!$J:$J,5)</f>
        <v>0</v>
      </c>
      <c r="M63" s="59">
        <v>0</v>
      </c>
      <c r="N63" s="19"/>
    </row>
    <row r="64" spans="1:14" s="8" customFormat="1" ht="11.25" customHeight="1">
      <c r="A64" s="52" t="s">
        <v>141</v>
      </c>
      <c r="B64" s="69">
        <f>COUNTIFS(Jan!$B:$B,2004,Jan!$F:$F,456)</f>
        <v>0</v>
      </c>
      <c r="C64" s="69">
        <f>COUNTIFS(Feb!$B:$B,2004,Feb!$F:$F,456)</f>
        <v>0</v>
      </c>
      <c r="D64" s="69">
        <f>COUNTIFS(Mar!$B:$B,2004,Mar!$F:$F,456)</f>
        <v>0</v>
      </c>
      <c r="E64" s="69">
        <f>COUNTIFS(Apr!$B:$B,2004,Apr!$F:$F,456)</f>
        <v>0</v>
      </c>
      <c r="F64" s="69">
        <f>COUNTIFS(May!$B:$B,2004,May!$F:$F,456)</f>
        <v>0</v>
      </c>
      <c r="G64" s="69">
        <f>COUNTIFS(Jun!$B:$B,2004,Jun!$F:$F,456)</f>
        <v>0</v>
      </c>
      <c r="H64" s="69">
        <f>COUNTIFS(Jul!$B:$B,2004,Jul!$F:$F,456)</f>
        <v>0</v>
      </c>
      <c r="I64" s="69">
        <f>COUNTIFS(Aug!$B:$B,2004,Aug!$F:$F,456)</f>
        <v>0</v>
      </c>
      <c r="J64" s="69">
        <f>COUNTIFS(Sep!$B:$B,2004,Sep!$F:$F,456)</f>
        <v>0</v>
      </c>
      <c r="K64" s="69">
        <f>COUNTIFS(Oct!$B:$B,2004,Oct!$F:$F,456)</f>
        <v>0</v>
      </c>
      <c r="L64" s="69">
        <f>COUNTIFS(Nov!$B:$B,2004,Nov!$F:$F,456)</f>
        <v>0</v>
      </c>
      <c r="M64" s="69">
        <v>0</v>
      </c>
      <c r="N64" s="19"/>
    </row>
    <row r="65" spans="1:14" s="8" customFormat="1" ht="11.25" customHeight="1" thickBot="1">
      <c r="A65" s="12" t="s">
        <v>16</v>
      </c>
      <c r="B65" s="70">
        <f>SUM(B54:B64)</f>
        <v>0</v>
      </c>
      <c r="C65" s="70">
        <f t="shared" ref="C65:M65" si="13">SUM(C54:C64)</f>
        <v>0</v>
      </c>
      <c r="D65" s="70">
        <f>SUM(D54:D64)</f>
        <v>0</v>
      </c>
      <c r="E65" s="70">
        <f>SUM(E54:E64)</f>
        <v>0</v>
      </c>
      <c r="F65" s="70">
        <f>SUM(F54:F64)</f>
        <v>0</v>
      </c>
      <c r="G65" s="70">
        <f>SUM(G54:G64)</f>
        <v>0</v>
      </c>
      <c r="H65" s="70">
        <f t="shared" si="13"/>
        <v>0</v>
      </c>
      <c r="I65" s="70">
        <f t="shared" si="13"/>
        <v>0</v>
      </c>
      <c r="J65" s="70">
        <f t="shared" si="13"/>
        <v>0</v>
      </c>
      <c r="K65" s="70">
        <f t="shared" si="13"/>
        <v>0</v>
      </c>
      <c r="L65" s="165">
        <f t="shared" si="13"/>
        <v>0</v>
      </c>
      <c r="M65" s="170">
        <f t="shared" si="13"/>
        <v>0</v>
      </c>
      <c r="N65" s="20"/>
    </row>
    <row r="66" spans="1:14" s="8" customFormat="1" ht="15.75" customHeight="1">
      <c r="A66" s="6"/>
      <c r="B66" s="7"/>
      <c r="C66" s="7"/>
      <c r="D66" s="7"/>
      <c r="E66" s="7"/>
      <c r="F66" s="7"/>
      <c r="G66" s="7"/>
      <c r="H66" s="7"/>
      <c r="I66" s="7"/>
      <c r="J66" s="7"/>
      <c r="K66" s="7"/>
      <c r="L66" s="7"/>
      <c r="M66" s="7"/>
      <c r="N66" s="7"/>
    </row>
    <row r="67" spans="1:14" ht="12" customHeight="1">
      <c r="A67" s="6"/>
      <c r="B67" s="7"/>
      <c r="C67" s="7"/>
      <c r="D67" s="7"/>
      <c r="E67" s="7"/>
      <c r="F67" s="7"/>
      <c r="G67" s="7"/>
      <c r="H67" s="7"/>
      <c r="I67" s="7"/>
      <c r="J67" s="7"/>
      <c r="K67" s="7"/>
      <c r="L67" s="7"/>
      <c r="M67" s="7"/>
      <c r="N67" s="7"/>
    </row>
  </sheetData>
  <phoneticPr fontId="0" type="noConversion"/>
  <printOptions horizontalCentered="1" verticalCentered="1"/>
  <pageMargins left="0.14000000000000001" right="0.16" top="0.25" bottom="0.5" header="0.5" footer="0.25"/>
  <pageSetup scale="95" firstPageNumber="3" orientation="portrait" useFirstPageNumber="1" r:id="rId1"/>
  <headerFooter alignWithMargins="0">
    <oddFooter>&amp;R6 of 51</oddFooter>
  </headerFooter>
  <ignoredErrors>
    <ignoredError sqref="M52 M65 M32" formulaRange="1"/>
  </ignoredErrors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2.75"/>
  <sheetData/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2.75"/>
  <sheetData/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2.75"/>
  <sheetData/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2.75"/>
  <sheetData/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70"/>
  <sheetViews>
    <sheetView view="pageBreakPreview" zoomScale="110" zoomScaleNormal="100" zoomScaleSheetLayoutView="110" workbookViewId="0">
      <selection activeCell="R28" sqref="R28"/>
    </sheetView>
  </sheetViews>
  <sheetFormatPr defaultRowHeight="12.75"/>
  <cols>
    <col min="1" max="1" width="22.85546875" style="1" customWidth="1"/>
    <col min="2" max="13" width="7.140625" style="1" customWidth="1"/>
    <col min="14" max="14" width="4.42578125" style="1" customWidth="1"/>
    <col min="15" max="22" width="9.140625" style="1" customWidth="1"/>
    <col min="23" max="16384" width="9.140625" style="1"/>
  </cols>
  <sheetData>
    <row r="1" spans="1:21" ht="18" customHeight="1">
      <c r="A1" s="210"/>
      <c r="B1" s="211"/>
      <c r="C1" s="211"/>
      <c r="D1" s="211"/>
      <c r="E1" s="211"/>
      <c r="F1" s="211"/>
      <c r="G1" s="211"/>
      <c r="H1" s="211"/>
      <c r="I1" s="212"/>
      <c r="J1" s="211"/>
      <c r="K1" s="211"/>
      <c r="L1" s="213"/>
      <c r="M1" s="214" t="s">
        <v>22</v>
      </c>
    </row>
    <row r="2" spans="1:21" ht="18" customHeight="1">
      <c r="A2" s="215"/>
      <c r="B2" s="132"/>
      <c r="C2" s="132"/>
      <c r="D2" s="132"/>
      <c r="E2" s="132"/>
      <c r="F2" s="132"/>
      <c r="G2" s="132"/>
      <c r="H2" s="132"/>
      <c r="I2" s="130"/>
      <c r="J2" s="132"/>
      <c r="K2" s="132"/>
      <c r="L2" s="209"/>
      <c r="M2" s="216" t="s">
        <v>13</v>
      </c>
    </row>
    <row r="3" spans="1:21" s="5" customFormat="1" ht="18" customHeight="1">
      <c r="A3" s="217"/>
      <c r="B3" s="131"/>
      <c r="C3" s="131"/>
      <c r="D3" s="131"/>
      <c r="E3" s="131"/>
      <c r="F3" s="131"/>
      <c r="G3" s="131"/>
      <c r="H3" s="131"/>
      <c r="I3" s="133"/>
      <c r="J3" s="131"/>
      <c r="K3" s="131"/>
      <c r="L3" s="143"/>
      <c r="M3" s="218" t="s">
        <v>2185</v>
      </c>
    </row>
    <row r="4" spans="1:21" s="8" customFormat="1" ht="6.75" customHeight="1" thickBot="1">
      <c r="A4" s="219"/>
      <c r="B4" s="39"/>
      <c r="C4" s="39"/>
      <c r="D4" s="39"/>
      <c r="E4" s="39"/>
      <c r="F4" s="39"/>
      <c r="G4" s="48"/>
      <c r="H4" s="39"/>
      <c r="I4" s="39"/>
      <c r="J4" s="39"/>
      <c r="K4" s="39"/>
      <c r="L4" s="154"/>
      <c r="M4" s="220"/>
    </row>
    <row r="5" spans="1:21" s="8" customFormat="1" ht="11.25" customHeight="1" thickBot="1">
      <c r="A5" s="53" t="s">
        <v>19</v>
      </c>
      <c r="B5" s="50">
        <v>41275</v>
      </c>
      <c r="C5" s="47">
        <v>41306</v>
      </c>
      <c r="D5" s="47">
        <v>41334</v>
      </c>
      <c r="E5" s="47">
        <v>41365</v>
      </c>
      <c r="F5" s="47">
        <v>41395</v>
      </c>
      <c r="G5" s="47">
        <v>41426</v>
      </c>
      <c r="H5" s="47">
        <v>41456</v>
      </c>
      <c r="I5" s="47">
        <v>41487</v>
      </c>
      <c r="J5" s="47">
        <v>41518</v>
      </c>
      <c r="K5" s="47">
        <v>41548</v>
      </c>
      <c r="L5" s="47">
        <v>41579</v>
      </c>
      <c r="M5" s="51">
        <v>41609</v>
      </c>
    </row>
    <row r="6" spans="1:21" s="8" customFormat="1" ht="11.25" customHeight="1">
      <c r="A6" s="41" t="s">
        <v>129</v>
      </c>
      <c r="B6" s="57">
        <f>SUM('ASR2004:ASR2264'!B6)</f>
        <v>1002</v>
      </c>
      <c r="C6" s="57">
        <f>SUM('ASR2004:ASR2264'!C6)</f>
        <v>735</v>
      </c>
      <c r="D6" s="57">
        <f>SUM('ASR2004:ASR2264'!D6)</f>
        <v>705</v>
      </c>
      <c r="E6" s="57">
        <f>SUM('ASR2004:ASR2264'!E6)</f>
        <v>704</v>
      </c>
      <c r="F6" s="57">
        <f>SUM('ASR2004:ASR2264'!F6)</f>
        <v>827</v>
      </c>
      <c r="G6" s="57">
        <f>SUM('ASR2004:ASR2264'!G6)</f>
        <v>775</v>
      </c>
      <c r="H6" s="57">
        <f>SUM('ASR2004:ASR2264'!H6)</f>
        <v>926</v>
      </c>
      <c r="I6" s="57">
        <f>SUM('ASR2004:ASR2264'!I6)</f>
        <v>991</v>
      </c>
      <c r="J6" s="57">
        <f>SUM('ASR2004:ASR2264'!J6)</f>
        <v>930</v>
      </c>
      <c r="K6" s="57">
        <f>SUM('ASR2004:ASR2264'!K6)</f>
        <v>454</v>
      </c>
      <c r="L6" s="156">
        <f>SUM('ASR2004:ASR2264'!L6)</f>
        <v>667</v>
      </c>
      <c r="M6" s="144">
        <f>SUM('ASR2004:ASR2264'!M6)</f>
        <v>990</v>
      </c>
    </row>
    <row r="7" spans="1:21" s="8" customFormat="1" ht="11.25" customHeight="1">
      <c r="A7" s="42" t="s">
        <v>18</v>
      </c>
      <c r="B7" s="57">
        <f>SUM('ASR2004:ASR2264'!B7)</f>
        <v>2952</v>
      </c>
      <c r="C7" s="57">
        <f>SUM('ASR2004:ASR2264'!C7)</f>
        <v>2876</v>
      </c>
      <c r="D7" s="57">
        <f>SUM('ASR2004:ASR2264'!D7)</f>
        <v>3177</v>
      </c>
      <c r="E7" s="57">
        <f>SUM('ASR2004:ASR2264'!E7)</f>
        <v>3098</v>
      </c>
      <c r="F7" s="57">
        <f>SUM('ASR2004:ASR2264'!F7)</f>
        <v>3372</v>
      </c>
      <c r="G7" s="57">
        <f>SUM('ASR2004:ASR2264'!G7)</f>
        <v>3505</v>
      </c>
      <c r="H7" s="57">
        <f>SUM('ASR2004:ASR2264'!H7)</f>
        <v>4031</v>
      </c>
      <c r="I7" s="57">
        <f>SUM('ASR2004:ASR2264'!I7)</f>
        <v>4308</v>
      </c>
      <c r="J7" s="57">
        <f>SUM('ASR2004:ASR2264'!J7)</f>
        <v>3907</v>
      </c>
      <c r="K7" s="57">
        <f>SUM('ASR2004:ASR2264'!K7)</f>
        <v>2656</v>
      </c>
      <c r="L7" s="156">
        <f>SUM('ASR2004:ASR2264'!L7)</f>
        <v>2988</v>
      </c>
      <c r="M7" s="144">
        <f>SUM('ASR2004:ASR2264'!M7)</f>
        <v>3651</v>
      </c>
    </row>
    <row r="8" spans="1:21" s="8" customFormat="1" ht="11.25" customHeight="1" thickBot="1">
      <c r="A8" s="43" t="s">
        <v>14</v>
      </c>
      <c r="B8" s="58">
        <f>SUM(B6:B7)</f>
        <v>3954</v>
      </c>
      <c r="C8" s="58">
        <f>SUM(C6:C7)</f>
        <v>3611</v>
      </c>
      <c r="D8" s="58">
        <f t="shared" ref="D8:L8" si="0">SUM(D6:D7)</f>
        <v>3882</v>
      </c>
      <c r="E8" s="58">
        <f t="shared" si="0"/>
        <v>3802</v>
      </c>
      <c r="F8" s="58">
        <f t="shared" si="0"/>
        <v>4199</v>
      </c>
      <c r="G8" s="58">
        <f t="shared" si="0"/>
        <v>4280</v>
      </c>
      <c r="H8" s="58">
        <f t="shared" si="0"/>
        <v>4957</v>
      </c>
      <c r="I8" s="58">
        <f t="shared" si="0"/>
        <v>5299</v>
      </c>
      <c r="J8" s="58">
        <f t="shared" si="0"/>
        <v>4837</v>
      </c>
      <c r="K8" s="58">
        <f t="shared" si="0"/>
        <v>3110</v>
      </c>
      <c r="L8" s="157">
        <f t="shared" si="0"/>
        <v>3655</v>
      </c>
      <c r="M8" s="145">
        <f>SUM(M6:M7)</f>
        <v>4641</v>
      </c>
    </row>
    <row r="9" spans="1:21" s="8" customFormat="1" ht="11.25" customHeight="1" thickBot="1">
      <c r="A9" s="54" t="s">
        <v>18</v>
      </c>
      <c r="B9" s="50">
        <v>41275</v>
      </c>
      <c r="C9" s="47">
        <v>41306</v>
      </c>
      <c r="D9" s="47">
        <v>41334</v>
      </c>
      <c r="E9" s="47">
        <v>41365</v>
      </c>
      <c r="F9" s="47">
        <v>41395</v>
      </c>
      <c r="G9" s="47">
        <v>41426</v>
      </c>
      <c r="H9" s="47">
        <v>41456</v>
      </c>
      <c r="I9" s="47">
        <v>41487</v>
      </c>
      <c r="J9" s="47">
        <v>41518</v>
      </c>
      <c r="K9" s="47">
        <v>41548</v>
      </c>
      <c r="L9" s="47">
        <v>41579</v>
      </c>
      <c r="M9" s="51">
        <v>41609</v>
      </c>
      <c r="O9" s="137"/>
      <c r="P9" s="137"/>
      <c r="Q9" s="137"/>
      <c r="R9" s="137"/>
      <c r="S9" s="137"/>
      <c r="T9" s="137"/>
      <c r="U9" s="137"/>
    </row>
    <row r="10" spans="1:21" s="8" customFormat="1" ht="11.25" customHeight="1">
      <c r="A10" s="9" t="s">
        <v>128</v>
      </c>
      <c r="B10" s="57">
        <f>SUM('ASR2004:ASR2264'!B10)</f>
        <v>1684</v>
      </c>
      <c r="C10" s="57">
        <f>SUM('ASR2004:ASR2264'!C10)</f>
        <v>1642</v>
      </c>
      <c r="D10" s="57">
        <f>SUM('ASR2004:ASR2264'!D10)</f>
        <v>1692</v>
      </c>
      <c r="E10" s="57">
        <f>SUM('ASR2004:ASR2264'!E10)</f>
        <v>1640</v>
      </c>
      <c r="F10" s="57">
        <f>SUM('ASR2004:ASR2264'!F10)</f>
        <v>1780</v>
      </c>
      <c r="G10" s="57">
        <f>SUM('ASR2004:ASR2264'!G10)</f>
        <v>1921</v>
      </c>
      <c r="H10" s="57">
        <f>SUM('ASR2004:ASR2264'!H10)</f>
        <v>2435</v>
      </c>
      <c r="I10" s="57">
        <f>SUM('ASR2004:ASR2264'!I10)</f>
        <v>2631</v>
      </c>
      <c r="J10" s="57">
        <f>SUM('ASR2004:ASR2264'!J10)</f>
        <v>2204</v>
      </c>
      <c r="K10" s="57">
        <f>SUM('ASR2004:ASR2264'!K10)</f>
        <v>1229</v>
      </c>
      <c r="L10" s="156">
        <f>SUM('ASR2004:ASR2264'!L10)</f>
        <v>1485</v>
      </c>
      <c r="M10" s="144">
        <f>SUM('ASR2004:ASR2264'!M10)</f>
        <v>1889</v>
      </c>
      <c r="O10" s="123"/>
      <c r="P10" s="123"/>
      <c r="Q10" s="123"/>
      <c r="R10" s="123"/>
      <c r="S10" s="123"/>
      <c r="T10" s="123"/>
      <c r="U10" s="123"/>
    </row>
    <row r="11" spans="1:21" s="8" customFormat="1" ht="11.25" customHeight="1">
      <c r="A11" s="9" t="s">
        <v>127</v>
      </c>
      <c r="B11" s="57">
        <f>SUM('ASR2004:ASR2264'!B11)</f>
        <v>376</v>
      </c>
      <c r="C11" s="57">
        <f>SUM('ASR2004:ASR2264'!C11)</f>
        <v>313</v>
      </c>
      <c r="D11" s="57">
        <f>SUM('ASR2004:ASR2264'!D11)</f>
        <v>306</v>
      </c>
      <c r="E11" s="57">
        <f>SUM('ASR2004:ASR2264'!E11)</f>
        <v>332</v>
      </c>
      <c r="F11" s="57">
        <f>SUM('ASR2004:ASR2264'!F11)</f>
        <v>356</v>
      </c>
      <c r="G11" s="57">
        <f>SUM('ASR2004:ASR2264'!G11)</f>
        <v>293</v>
      </c>
      <c r="H11" s="57">
        <f>SUM('ASR2004:ASR2264'!H11)</f>
        <v>373</v>
      </c>
      <c r="I11" s="57">
        <f>SUM('ASR2004:ASR2264'!I11)</f>
        <v>284</v>
      </c>
      <c r="J11" s="57">
        <f>SUM('ASR2004:ASR2264'!J11)</f>
        <v>302</v>
      </c>
      <c r="K11" s="57">
        <f>SUM('ASR2004:ASR2264'!K11)</f>
        <v>179</v>
      </c>
      <c r="L11" s="156">
        <f>SUM('ASR2004:ASR2264'!L11)</f>
        <v>329</v>
      </c>
      <c r="M11" s="144">
        <f>SUM('ASR2004:ASR2264'!M11)</f>
        <v>555</v>
      </c>
      <c r="O11" s="123"/>
      <c r="P11" s="123"/>
      <c r="Q11" s="123"/>
      <c r="R11" s="123"/>
      <c r="S11" s="123"/>
      <c r="T11" s="123"/>
      <c r="U11" s="123"/>
    </row>
    <row r="12" spans="1:21" s="8" customFormat="1" ht="11.25" customHeight="1" thickBot="1">
      <c r="A12" s="2" t="s">
        <v>12</v>
      </c>
      <c r="B12" s="71">
        <f>SUM('ASR2004:ASR2264'!B12)</f>
        <v>892</v>
      </c>
      <c r="C12" s="71">
        <f>SUM('ASR2004:ASR2264'!C12)</f>
        <v>921</v>
      </c>
      <c r="D12" s="71">
        <f>SUM('ASR2004:ASR2264'!D12)</f>
        <v>1179</v>
      </c>
      <c r="E12" s="71">
        <f>SUM('ASR2004:ASR2264'!E12)</f>
        <v>1126</v>
      </c>
      <c r="F12" s="71">
        <f>SUM('ASR2004:ASR2264'!F12)</f>
        <v>1236</v>
      </c>
      <c r="G12" s="71">
        <f>SUM('ASR2004:ASR2264'!G12)</f>
        <v>1291</v>
      </c>
      <c r="H12" s="71">
        <f>SUM('ASR2004:ASR2264'!H12)</f>
        <v>1223</v>
      </c>
      <c r="I12" s="71">
        <f>SUM('ASR2004:ASR2264'!I12)</f>
        <v>1393</v>
      </c>
      <c r="J12" s="71">
        <f>SUM('ASR2004:ASR2264'!J12)</f>
        <v>1401</v>
      </c>
      <c r="K12" s="71">
        <f>SUM('ASR2004:ASR2264'!K12)</f>
        <v>1248</v>
      </c>
      <c r="L12" s="164">
        <f>SUM('ASR2004:ASR2264'!L12)</f>
        <v>1174</v>
      </c>
      <c r="M12" s="146">
        <f>SUM('ASR2004:ASR2264'!M12)</f>
        <v>1207</v>
      </c>
      <c r="O12" s="124"/>
      <c r="P12" s="124"/>
      <c r="Q12" s="124"/>
      <c r="R12" s="124"/>
      <c r="S12" s="124"/>
      <c r="T12" s="124"/>
      <c r="U12" s="124"/>
    </row>
    <row r="13" spans="1:21" s="8" customFormat="1" ht="5.0999999999999996" customHeight="1" thickBot="1">
      <c r="A13" s="3"/>
      <c r="B13" s="17"/>
      <c r="C13" s="17"/>
      <c r="D13" s="17"/>
      <c r="E13" s="17"/>
      <c r="F13" s="17"/>
      <c r="G13" s="17"/>
      <c r="H13" s="17"/>
      <c r="I13" s="17"/>
      <c r="J13" s="17"/>
      <c r="K13" s="17"/>
      <c r="L13" s="17"/>
      <c r="M13" s="147"/>
    </row>
    <row r="14" spans="1:21" s="8" customFormat="1" ht="11.25" customHeight="1">
      <c r="A14" s="44" t="s">
        <v>131</v>
      </c>
      <c r="B14" s="57">
        <f>SUM('ASR2004:ASR2264'!B14)</f>
        <v>447016</v>
      </c>
      <c r="C14" s="57">
        <f>SUM('ASR2004:ASR2264'!C14)</f>
        <v>493853</v>
      </c>
      <c r="D14" s="57">
        <f>SUM('ASR2004:ASR2264'!D14)</f>
        <v>501649</v>
      </c>
      <c r="E14" s="57">
        <f>SUM('ASR2004:ASR2264'!E14)</f>
        <v>476801</v>
      </c>
      <c r="F14" s="57">
        <f>SUM('ASR2004:ASR2264'!F14)</f>
        <v>513915</v>
      </c>
      <c r="G14" s="57">
        <f>SUM('ASR2004:ASR2264'!G14)</f>
        <v>536326</v>
      </c>
      <c r="H14" s="57">
        <f>SUM('ASR2004:ASR2264'!H14)</f>
        <v>491700</v>
      </c>
      <c r="I14" s="57">
        <f>SUM('ASR2004:ASR2264'!I14)</f>
        <v>467967.4</v>
      </c>
      <c r="J14" s="57">
        <f>SUM('ASR2004:ASR2264'!J14)</f>
        <v>503726</v>
      </c>
      <c r="K14" s="57">
        <f>SUM('ASR2004:ASR2264'!K14)</f>
        <v>519269</v>
      </c>
      <c r="L14" s="156">
        <f>SUM('ASR2004:ASR2264'!L14)</f>
        <v>442823</v>
      </c>
      <c r="M14" s="166">
        <f>SUM('ASR2004:ASR2264'!M14)</f>
        <v>543527</v>
      </c>
      <c r="N14" s="15"/>
      <c r="O14" s="125"/>
      <c r="P14" s="125"/>
      <c r="Q14" s="125"/>
      <c r="R14" s="125"/>
      <c r="S14" s="125"/>
      <c r="T14" s="125"/>
      <c r="U14" s="125"/>
    </row>
    <row r="15" spans="1:21" s="8" customFormat="1" ht="11.25" customHeight="1">
      <c r="A15" s="45" t="s">
        <v>132</v>
      </c>
      <c r="B15" s="62">
        <f>IFERROR((SUMIFS(Jan!$N:$N,Jan!$K:$K,1)+SUMIFS(Jan!$N:$N,Jan!$B:$B,"&gt;1"))/(COUNTIFS(Jan!$K:$K,1)+COUNTIFS(Jan!$B:$B,"&gt;1")),"")</f>
        <v>23.357243887654072</v>
      </c>
      <c r="C15" s="57">
        <f ca="1">AVERAGE('ASR2004:ASR2264'!C15)</f>
        <v>26.5546875</v>
      </c>
      <c r="D15" s="57">
        <f ca="1">AVERAGE('ASR2004:ASR2264'!D15)</f>
        <v>26.438125000000003</v>
      </c>
      <c r="E15" s="57">
        <f ca="1">AVERAGE('ASR2004:ASR2264'!E15)</f>
        <v>26.671874999999996</v>
      </c>
      <c r="F15" s="57">
        <f ca="1">AVERAGE('ASR2004:ASR2264'!F15)</f>
        <v>26.862187500000001</v>
      </c>
      <c r="G15" s="57">
        <f ca="1">AVERAGE('ASR2004:ASR2264'!G15)</f>
        <v>27.005000000000003</v>
      </c>
      <c r="H15" s="57">
        <f ca="1">AVERAGE('ASR2004:ASR2264'!H15)</f>
        <v>26.666666666666668</v>
      </c>
      <c r="I15" s="62" t="str">
        <f>IFERROR((SUMIFS(#REF!,#REF!,1)+SUMIFS(#REF!,#REF!,"&gt;1"))/(COUNTIFS(#REF!,1)+COUNTIFS(#REF!,"&gt;1")),"")</f>
        <v/>
      </c>
      <c r="J15" s="62" t="str">
        <f>IFERROR((SUMIFS(#REF!,#REF!,1)+SUMIFS(#REF!,#REF!,"&gt;1"))/(COUNTIFS(#REF!,1)+COUNTIFS(#REF!,"&gt;1")),"")</f>
        <v/>
      </c>
      <c r="K15" s="62" t="str">
        <f>IFERROR((SUMIFS(#REF!,#REF!,1)+SUMIFS(#REF!,#REF!,"&gt;1"))/(COUNTIFS(#REF!,1)+COUNTIFS(#REF!,"&gt;1")),"")</f>
        <v/>
      </c>
      <c r="L15" s="62" t="str">
        <f>IFERROR((SUMIFS(#REF!,#REF!,1)+SUMIFS(#REF!,#REF!,"&gt;1"))/(COUNTIFS(#REF!,1)+COUNTIFS(#REF!,"&gt;1")),"")</f>
        <v/>
      </c>
      <c r="M15" s="221" t="str">
        <f>IFERROR((SUMIFS(#REF!,#REF!,1)+SUMIFS(#REF!,#REF!,"&gt;1"))/(COUNTIFS(#REF!,1)+COUNTIFS(#REF!,"&gt;1")),"")</f>
        <v/>
      </c>
      <c r="N15" s="15"/>
    </row>
    <row r="16" spans="1:21" s="8" customFormat="1" ht="11.25" customHeight="1">
      <c r="A16" s="45" t="s">
        <v>133</v>
      </c>
      <c r="B16" s="62">
        <f>IFERROR(AVERAGEIFS(Jan!$N:$N,Jan!$F:$F,800),"")</f>
        <v>27.30427046263345</v>
      </c>
      <c r="C16" s="57">
        <f ca="1">AVERAGE('ASR2004:ASR2264'!C16)</f>
        <v>28.597999999999999</v>
      </c>
      <c r="D16" s="57">
        <f ca="1">AVERAGE('ASR2004:ASR2264'!D16)</f>
        <v>29.1484375</v>
      </c>
      <c r="E16" s="57">
        <f ca="1">AVERAGE('ASR2004:ASR2264'!E16)</f>
        <v>28.027499999999989</v>
      </c>
      <c r="F16" s="57">
        <f ca="1">AVERAGE('ASR2004:ASR2264'!F16)</f>
        <v>28.9178125</v>
      </c>
      <c r="G16" s="57">
        <f ca="1">AVERAGE('ASR2004:ASR2264'!G16)</f>
        <v>28.715937499999992</v>
      </c>
      <c r="H16" s="57">
        <f ca="1">AVERAGE('ASR2004:ASR2264'!H16)</f>
        <v>28.832424242424246</v>
      </c>
      <c r="I16" s="62" t="str">
        <f>IFERROR(AVERAGEIFS(#REF!,#REF!,800),"")</f>
        <v/>
      </c>
      <c r="J16" s="62" t="str">
        <f>IFERROR(AVERAGEIFS(#REF!,#REF!,800),"")</f>
        <v/>
      </c>
      <c r="K16" s="62" t="str">
        <f>IFERROR(AVERAGEIFS(#REF!,#REF!,800),"")</f>
        <v/>
      </c>
      <c r="L16" s="62" t="str">
        <f>IFERROR(AVERAGEIFS(#REF!,#REF!,800),"")</f>
        <v/>
      </c>
      <c r="M16" s="221" t="str">
        <f>IFERROR(AVERAGEIFS(#REF!,#REF!,800),"")</f>
        <v/>
      </c>
    </row>
    <row r="17" spans="1:14" s="8" customFormat="1" ht="11.25" customHeight="1">
      <c r="A17" s="45" t="s">
        <v>134</v>
      </c>
      <c r="B17" s="63">
        <f>IFERROR((SUMIFS(Jan!$N:$N,Jan!$L:$L,1)+SUMIFS(Jan!$N:$N,Jan!$E:$E,"&gt;1"))/(COUNTIFS(Jan!$L:$L,1)+COUNTIFS(Jan!$E:$E,"&gt;1")),"")</f>
        <v>23.648231190832089</v>
      </c>
      <c r="C17" s="207">
        <f ca="1">AVERAGE('ASR2004:ASR2264'!C17)</f>
        <v>3.2400000000000007</v>
      </c>
      <c r="D17" s="207">
        <f ca="1">AVERAGE('ASR2004:ASR2264'!D17)</f>
        <v>3.0531250000000001</v>
      </c>
      <c r="E17" s="207">
        <f ca="1">AVERAGE('ASR2004:ASR2264'!E17)</f>
        <v>2.9540625</v>
      </c>
      <c r="F17" s="207">
        <f ca="1">AVERAGE('ASR2004:ASR2264'!F17)</f>
        <v>2.9662500000000005</v>
      </c>
      <c r="G17" s="207">
        <f ca="1">AVERAGE('ASR2004:ASR2264'!G17)</f>
        <v>2.9637499999999997</v>
      </c>
      <c r="H17" s="207">
        <f ca="1">AVERAGE('ASR2004:ASR2264'!H17)</f>
        <v>3.4048484848484852</v>
      </c>
      <c r="I17" s="63" t="str">
        <f>IFERROR((SUMIFS(#REF!,#REF!,1)+SUMIFS(#REF!,#REF!,"&gt;1"))/(COUNTIFS(#REF!,1)+COUNTIFS(#REF!,"&gt;1")),"")</f>
        <v/>
      </c>
      <c r="J17" s="63" t="str">
        <f>IFERROR((SUMIFS(#REF!,#REF!,1)+SUMIFS(#REF!,#REF!,"&gt;1"))/(COUNTIFS(#REF!,1)+COUNTIFS(#REF!,"&gt;1")),"")</f>
        <v/>
      </c>
      <c r="K17" s="63" t="str">
        <f>IFERROR((SUMIFS(#REF!,#REF!,1)+SUMIFS(#REF!,#REF!,"&gt;1"))/(COUNTIFS(#REF!,1)+COUNTIFS(#REF!,"&gt;1")),"")</f>
        <v/>
      </c>
      <c r="L17" s="63" t="str">
        <f>IFERROR((SUMIFS(#REF!,#REF!,1)+SUMIFS(#REF!,#REF!,"&gt;1"))/(COUNTIFS(#REF!,1)+COUNTIFS(#REF!,"&gt;1")),"")</f>
        <v/>
      </c>
      <c r="M17" s="222" t="str">
        <f>IFERROR((SUMIFS(#REF!,#REF!,1)+SUMIFS(#REF!,#REF!,"&gt;1"))/(COUNTIFS(#REF!,1)+COUNTIFS(#REF!,"&gt;1")),"")</f>
        <v/>
      </c>
    </row>
    <row r="18" spans="1:14" s="8" customFormat="1" ht="11.25" customHeight="1" thickBot="1">
      <c r="A18" s="43" t="s">
        <v>135</v>
      </c>
      <c r="B18" s="64">
        <f>IFERROR(AVERAGEIFS(Jan!$M:$M,Jan!$F:$F,800),"")</f>
        <v>4.8509786476868326</v>
      </c>
      <c r="C18" s="207">
        <f ca="1">AVERAGE('ASR2004:ASR2264'!C18)</f>
        <v>2.0006249999999999</v>
      </c>
      <c r="D18" s="207">
        <f ca="1">AVERAGE('ASR2004:ASR2264'!D18)</f>
        <v>1.8978125000000001</v>
      </c>
      <c r="E18" s="207">
        <f ca="1">AVERAGE('ASR2004:ASR2264'!E18)</f>
        <v>2.3590624999999998</v>
      </c>
      <c r="F18" s="207">
        <f ca="1">AVERAGE('ASR2004:ASR2264'!F18)</f>
        <v>1.57375</v>
      </c>
      <c r="G18" s="207">
        <f ca="1">AVERAGE('ASR2004:ASR2264'!G18)</f>
        <v>1.8987499999999997</v>
      </c>
      <c r="H18" s="207">
        <f ca="1">AVERAGE('ASR2004:ASR2264'!H18)</f>
        <v>2.1324242424242428</v>
      </c>
      <c r="I18" s="64" t="str">
        <f>IFERROR(AVERAGEIFS(#REF!,#REF!,800),"")</f>
        <v/>
      </c>
      <c r="J18" s="64" t="str">
        <f>IFERROR(AVERAGEIFS(#REF!,#REF!,800),"")</f>
        <v/>
      </c>
      <c r="K18" s="64" t="str">
        <f>IFERROR(AVERAGEIFS(#REF!,#REF!,800),"")</f>
        <v/>
      </c>
      <c r="L18" s="64" t="str">
        <f>IFERROR(AVERAGEIFS(#REF!,#REF!,800),"")</f>
        <v/>
      </c>
      <c r="M18" s="223" t="str">
        <f>IFERROR(AVERAGEIFS(#REF!,#REF!,800),"")</f>
        <v/>
      </c>
    </row>
    <row r="19" spans="1:14" s="8" customFormat="1" ht="5.0999999999999996" customHeight="1" thickBot="1">
      <c r="A19" s="3"/>
      <c r="B19" s="17"/>
      <c r="C19" s="17"/>
      <c r="D19" s="17"/>
      <c r="E19" s="17"/>
      <c r="F19" s="17"/>
      <c r="G19" s="17"/>
      <c r="H19" s="17"/>
      <c r="I19" s="17"/>
      <c r="J19" s="17"/>
      <c r="K19" s="17"/>
      <c r="L19" s="17"/>
      <c r="M19" s="147"/>
    </row>
    <row r="20" spans="1:14" s="8" customFormat="1" ht="11.25" customHeight="1">
      <c r="A20" s="42" t="s">
        <v>52</v>
      </c>
      <c r="B20" s="65">
        <f>AVERAGE('ASR2004:ASR2264'!B20)</f>
        <v>31</v>
      </c>
      <c r="C20" s="65">
        <v>28</v>
      </c>
      <c r="D20" s="65">
        <f>AVERAGE('ASR2004:ASR2264'!D20)</f>
        <v>31</v>
      </c>
      <c r="E20" s="65">
        <f>AVERAGE('ASR2004:ASR2264'!E20)</f>
        <v>30</v>
      </c>
      <c r="F20" s="65">
        <f>AVERAGE('ASR2004:ASR3011'!F20)</f>
        <v>30.931818181818183</v>
      </c>
      <c r="G20" s="65">
        <f>AVERAGE('ASR2004:ASR3011'!G20)</f>
        <v>30</v>
      </c>
      <c r="H20" s="65">
        <f>AVERAGE('ASR2004:ASR3011'!H20)</f>
        <v>31</v>
      </c>
      <c r="I20" s="65">
        <f>AVERAGE('ASR2004:ASR3011'!I20)</f>
        <v>31</v>
      </c>
      <c r="J20" s="65">
        <f>AVERAGE('ASR2004:ASR2264'!J20)</f>
        <v>30</v>
      </c>
      <c r="K20" s="65">
        <f>AVERAGE('ASR2004:ASR2264'!K20)</f>
        <v>31</v>
      </c>
      <c r="L20" s="161">
        <f>AVERAGE('ASR2004:ASR2264'!L20)</f>
        <v>30</v>
      </c>
      <c r="M20" s="148">
        <f>AVERAGE('ASR2004:ASR2264'!M20)</f>
        <v>31</v>
      </c>
    </row>
    <row r="21" spans="1:14" s="8" customFormat="1" ht="11.25" customHeight="1">
      <c r="A21" s="9" t="s">
        <v>15</v>
      </c>
      <c r="B21" s="66">
        <f t="shared" ref="B21:L21" si="1">B12/B20</f>
        <v>28.774193548387096</v>
      </c>
      <c r="C21" s="66">
        <f t="shared" si="1"/>
        <v>32.892857142857146</v>
      </c>
      <c r="D21" s="66">
        <f t="shared" si="1"/>
        <v>38.032258064516128</v>
      </c>
      <c r="E21" s="66">
        <f t="shared" si="1"/>
        <v>37.533333333333331</v>
      </c>
      <c r="F21" s="66">
        <f t="shared" si="1"/>
        <v>39.958853783982363</v>
      </c>
      <c r="G21" s="66">
        <f t="shared" si="1"/>
        <v>43.033333333333331</v>
      </c>
      <c r="H21" s="66">
        <f t="shared" si="1"/>
        <v>39.451612903225808</v>
      </c>
      <c r="I21" s="66">
        <f t="shared" si="1"/>
        <v>44.935483870967744</v>
      </c>
      <c r="J21" s="66">
        <f t="shared" si="1"/>
        <v>46.7</v>
      </c>
      <c r="K21" s="66">
        <f t="shared" si="1"/>
        <v>40.258064516129032</v>
      </c>
      <c r="L21" s="162">
        <f t="shared" si="1"/>
        <v>39.133333333333333</v>
      </c>
      <c r="M21" s="149">
        <f>M12/M20</f>
        <v>38.935483870967744</v>
      </c>
    </row>
    <row r="22" spans="1:14" s="8" customFormat="1" ht="11.25" customHeight="1">
      <c r="A22" s="9" t="s">
        <v>130</v>
      </c>
      <c r="B22" s="67">
        <f>IFERROR(B12/B7,0)</f>
        <v>0.30216802168021678</v>
      </c>
      <c r="C22" s="67">
        <f>IFERROR(C12/C7,0)</f>
        <v>0.32023643949930458</v>
      </c>
      <c r="D22" s="67">
        <f>IFERROR(D12/D7,0)</f>
        <v>0.37110481586402266</v>
      </c>
      <c r="E22" s="67">
        <f>IFERROR(E12/E7,0)</f>
        <v>0.36346029696578436</v>
      </c>
      <c r="F22" s="67">
        <f>IFERROR(F12/F7,0)</f>
        <v>0.36654804270462632</v>
      </c>
      <c r="G22" s="67">
        <f t="shared" ref="G22:L22" si="2">IFERROR(G12/G7,0)</f>
        <v>0.36833095577746078</v>
      </c>
      <c r="H22" s="67">
        <f t="shared" si="2"/>
        <v>0.30339866038203922</v>
      </c>
      <c r="I22" s="67">
        <f t="shared" si="2"/>
        <v>0.32335190343546888</v>
      </c>
      <c r="J22" s="67">
        <f t="shared" si="2"/>
        <v>0.35858715126695673</v>
      </c>
      <c r="K22" s="116">
        <f t="shared" si="2"/>
        <v>0.46987951807228917</v>
      </c>
      <c r="L22" s="67">
        <f t="shared" si="2"/>
        <v>0.392904953145917</v>
      </c>
      <c r="M22" s="150">
        <f>IFERROR(M12/M7,0)</f>
        <v>0.33059435771021639</v>
      </c>
      <c r="N22" s="1"/>
    </row>
    <row r="23" spans="1:14" s="8" customFormat="1" ht="11.25" customHeight="1" thickBot="1">
      <c r="A23" s="9" t="s">
        <v>53</v>
      </c>
      <c r="B23" s="67">
        <f>IFERROR(B12/(B11+B12),0)</f>
        <v>0.70347003154574128</v>
      </c>
      <c r="C23" s="67">
        <f>IFERROR(C12/(C11+C12),0)</f>
        <v>0.74635332252836306</v>
      </c>
      <c r="D23" s="67">
        <f>IFERROR(D12/(D11+D12),0)</f>
        <v>0.79393939393939394</v>
      </c>
      <c r="E23" s="67">
        <f>IFERROR(E12/(E11+E12),0)</f>
        <v>0.77229080932784633</v>
      </c>
      <c r="F23" s="67">
        <f>IFERROR(F12/(F11+F12),0)</f>
        <v>0.77638190954773867</v>
      </c>
      <c r="G23" s="67">
        <f t="shared" ref="G23:L23" si="3">IFERROR(G12/(G11+G12),0)</f>
        <v>0.81502525252525249</v>
      </c>
      <c r="H23" s="67">
        <f t="shared" si="3"/>
        <v>0.76629072681704258</v>
      </c>
      <c r="I23" s="67">
        <f t="shared" si="3"/>
        <v>0.83064997018485387</v>
      </c>
      <c r="J23" s="67">
        <f t="shared" si="3"/>
        <v>0.82266588373458605</v>
      </c>
      <c r="K23" s="117">
        <f t="shared" si="3"/>
        <v>0.87456201822004209</v>
      </c>
      <c r="L23" s="163">
        <f t="shared" si="3"/>
        <v>0.78110445775116433</v>
      </c>
      <c r="M23" s="151">
        <f>IFERROR(M12/(M11+M12),0)</f>
        <v>0.6850170261066969</v>
      </c>
      <c r="N23" s="4"/>
    </row>
    <row r="24" spans="1:14" s="8" customFormat="1" ht="11.25" customHeight="1" thickBot="1">
      <c r="A24" s="53" t="s">
        <v>21</v>
      </c>
      <c r="B24" s="50">
        <v>41275</v>
      </c>
      <c r="C24" s="47">
        <v>41306</v>
      </c>
      <c r="D24" s="47">
        <v>41334</v>
      </c>
      <c r="E24" s="47">
        <v>41365</v>
      </c>
      <c r="F24" s="47">
        <v>41395</v>
      </c>
      <c r="G24" s="47">
        <v>41426</v>
      </c>
      <c r="H24" s="47">
        <v>41456</v>
      </c>
      <c r="I24" s="47">
        <v>41487</v>
      </c>
      <c r="J24" s="47">
        <v>41518</v>
      </c>
      <c r="K24" s="47">
        <v>41548</v>
      </c>
      <c r="L24" s="47">
        <v>41579</v>
      </c>
      <c r="M24" s="51">
        <v>41609</v>
      </c>
    </row>
    <row r="25" spans="1:14" s="8" customFormat="1" ht="11.25" customHeight="1">
      <c r="A25" s="18" t="s">
        <v>5</v>
      </c>
      <c r="B25" s="57">
        <f>SUM('ASR2004:ASR2264'!B25)</f>
        <v>254</v>
      </c>
      <c r="C25" s="57">
        <f>SUM('ASR2004:ASR2264'!C25)</f>
        <v>197</v>
      </c>
      <c r="D25" s="57">
        <f>SUM('ASR2004:ASR2264'!D25)</f>
        <v>195</v>
      </c>
      <c r="E25" s="57">
        <f>SUM('ASR2004:ASR2264'!E25)</f>
        <v>193</v>
      </c>
      <c r="F25" s="57">
        <f>SUM('ASR2004:ASR2264'!F25)</f>
        <v>203</v>
      </c>
      <c r="G25" s="57">
        <f>SUM('ASR2004:ASR2264'!G25)</f>
        <v>201</v>
      </c>
      <c r="H25" s="57">
        <f>SUM('ASR2004:ASR2264'!H25)</f>
        <v>282</v>
      </c>
      <c r="I25" s="57">
        <f>SUM('ASR2004:ASR2264'!I25)</f>
        <v>342</v>
      </c>
      <c r="J25" s="57">
        <f>SUM('ASR2004:ASR2264'!J25)</f>
        <v>306</v>
      </c>
      <c r="K25" s="57">
        <f>SUM('ASR2004:ASR2264'!K25)</f>
        <v>145</v>
      </c>
      <c r="L25" s="156">
        <f>SUM('ASR2004:ASR2264'!L25)</f>
        <v>147</v>
      </c>
      <c r="M25" s="144">
        <f>SUM('ASR2004:ASR2264'!M25)</f>
        <v>256</v>
      </c>
    </row>
    <row r="26" spans="1:14" s="8" customFormat="1" ht="11.25" customHeight="1">
      <c r="A26" s="46" t="s">
        <v>40</v>
      </c>
      <c r="B26" s="57">
        <f>SUM('ASR2004:ASR2264'!B26)</f>
        <v>25</v>
      </c>
      <c r="C26" s="57">
        <f>SUM('ASR2004:ASR2264'!C26)</f>
        <v>3</v>
      </c>
      <c r="D26" s="57">
        <f>SUM('ASR2004:ASR2264'!D26)</f>
        <v>22</v>
      </c>
      <c r="E26" s="57">
        <f>SUM('ASR2004:ASR2264'!E26)</f>
        <v>33</v>
      </c>
      <c r="F26" s="57">
        <f>SUM('ASR2004:ASR2264'!F26)</f>
        <v>51</v>
      </c>
      <c r="G26" s="57">
        <f>SUM('ASR2004:ASR2264'!G26)</f>
        <v>38</v>
      </c>
      <c r="H26" s="57">
        <f>SUM('ASR2004:ASR2264'!H26)</f>
        <v>11</v>
      </c>
      <c r="I26" s="57">
        <f>SUM('ASR2004:ASR2264'!I26)</f>
        <v>7</v>
      </c>
      <c r="J26" s="57">
        <f>SUM('ASR2004:ASR2264'!J26)</f>
        <v>31</v>
      </c>
      <c r="K26" s="57">
        <f>SUM('ASR2004:ASR2264'!K26)</f>
        <v>23</v>
      </c>
      <c r="L26" s="156">
        <f>SUM('ASR2004:ASR2264'!L26)</f>
        <v>17</v>
      </c>
      <c r="M26" s="144">
        <f>SUM('ASR2004:ASR2264'!M26)</f>
        <v>11</v>
      </c>
    </row>
    <row r="27" spans="1:14" s="8" customFormat="1" ht="11.25" customHeight="1">
      <c r="A27" s="9" t="s">
        <v>11</v>
      </c>
      <c r="B27" s="57">
        <f>SUM('ASR2004:ASR2264'!B27)</f>
        <v>662</v>
      </c>
      <c r="C27" s="180">
        <f>SUM('ASR2004:ASR2264'!C27)</f>
        <v>491</v>
      </c>
      <c r="D27" s="180">
        <f>SUM('ASR2004:ASR2264'!D27)</f>
        <v>469</v>
      </c>
      <c r="E27" s="57">
        <f>SUM('ASR2004:ASR2264'!E27)</f>
        <v>462</v>
      </c>
      <c r="F27" s="57">
        <f>SUM('ASR2004:ASR2264'!F27)</f>
        <v>532</v>
      </c>
      <c r="G27" s="57">
        <f>SUM('ASR2004:ASR2264'!G27)</f>
        <v>490</v>
      </c>
      <c r="H27" s="57">
        <f>SUM('ASR2004:ASR2264'!H27)</f>
        <v>579</v>
      </c>
      <c r="I27" s="57">
        <f>SUM('ASR2004:ASR2264'!I27)</f>
        <v>581</v>
      </c>
      <c r="J27" s="57">
        <f>SUM('ASR2004:ASR2264'!J27)</f>
        <v>542</v>
      </c>
      <c r="K27" s="57">
        <f>SUM('ASR2004:ASR2264'!K27)</f>
        <v>250</v>
      </c>
      <c r="L27" s="156">
        <f>SUM('ASR2004:ASR2264'!L27)</f>
        <v>464</v>
      </c>
      <c r="M27" s="144">
        <f>SUM('ASR2004:ASR2264'!M27)</f>
        <v>673</v>
      </c>
    </row>
    <row r="28" spans="1:14" s="8" customFormat="1" ht="11.25" customHeight="1">
      <c r="A28" s="9" t="s">
        <v>143</v>
      </c>
      <c r="B28" s="57">
        <f>SUM('ASR2004:ASR2264'!B28)</f>
        <v>1</v>
      </c>
      <c r="C28" s="57">
        <f>SUM('ASR2004:ASR2264'!C28)</f>
        <v>0</v>
      </c>
      <c r="D28" s="57">
        <f>SUM('ASR2004:ASR2264'!D28)</f>
        <v>0</v>
      </c>
      <c r="E28" s="57">
        <f>SUM('ASR2004:ASR2264'!E28)</f>
        <v>0</v>
      </c>
      <c r="F28" s="57">
        <f>SUM('ASR2004:ASR2264'!F28)</f>
        <v>0</v>
      </c>
      <c r="G28" s="57">
        <f>SUM('ASR2004:ASR2264'!G28)</f>
        <v>0</v>
      </c>
      <c r="H28" s="57">
        <f>SUM('ASR2004:ASR2264'!H28)</f>
        <v>0</v>
      </c>
      <c r="I28" s="57">
        <f>SUM('ASR2004:ASR2264'!I28)</f>
        <v>0</v>
      </c>
      <c r="J28" s="57">
        <f>SUM('ASR2004:ASR2264'!J28)</f>
        <v>0</v>
      </c>
      <c r="K28" s="57">
        <f>SUM('ASR2004:ASR2264'!K28)</f>
        <v>0</v>
      </c>
      <c r="L28" s="156">
        <f>SUM('ASR2004:ASR2264'!L28)</f>
        <v>0</v>
      </c>
      <c r="M28" s="144">
        <f>SUM('ASR2004:ASR2264'!M28)</f>
        <v>0</v>
      </c>
    </row>
    <row r="29" spans="1:14" s="8" customFormat="1" ht="11.25" customHeight="1">
      <c r="A29" s="9" t="s">
        <v>23</v>
      </c>
      <c r="B29" s="57">
        <f>SUM('ASR2004:ASR2264'!B29)</f>
        <v>0</v>
      </c>
      <c r="C29" s="57">
        <f>SUM('ASR2004:ASR2264'!C29)</f>
        <v>0</v>
      </c>
      <c r="D29" s="57">
        <f>SUM('ASR2004:ASR2264'!D29)</f>
        <v>0</v>
      </c>
      <c r="E29" s="57">
        <f>SUM('ASR2004:ASR2264'!E29)</f>
        <v>0</v>
      </c>
      <c r="F29" s="57">
        <f>SUM('ASR2004:ASR2264'!F29)</f>
        <v>0</v>
      </c>
      <c r="G29" s="57">
        <f>SUM('ASR2004:ASR2264'!G29)</f>
        <v>0</v>
      </c>
      <c r="H29" s="57">
        <f>SUM('ASR2004:ASR2264'!H29)</f>
        <v>0</v>
      </c>
      <c r="I29" s="57">
        <f>SUM('ASR2004:ASR2264'!I29)</f>
        <v>1</v>
      </c>
      <c r="J29" s="57">
        <f>SUM('ASR2004:ASR2264'!J29)</f>
        <v>1</v>
      </c>
      <c r="K29" s="57">
        <f>SUM('ASR2004:ASR2264'!K29)</f>
        <v>2</v>
      </c>
      <c r="L29" s="156">
        <f>SUM('ASR2004:ASR2264'!L29)</f>
        <v>0</v>
      </c>
      <c r="M29" s="144">
        <f>SUM('ASR2004:ASR2264'!M29)</f>
        <v>0</v>
      </c>
    </row>
    <row r="30" spans="1:14" s="8" customFormat="1" ht="11.25" customHeight="1">
      <c r="A30" s="9" t="s">
        <v>37</v>
      </c>
      <c r="B30" s="57">
        <f>SUM('ASR2004:ASR2264'!B30)</f>
        <v>60</v>
      </c>
      <c r="C30" s="57">
        <f>SUM('ASR2004:ASR2264'!C30)</f>
        <v>44</v>
      </c>
      <c r="D30" s="57">
        <f>SUM('ASR2004:ASR2264'!D30)</f>
        <v>19</v>
      </c>
      <c r="E30" s="57">
        <f>SUM('ASR2004:ASR2264'!E30)</f>
        <v>16</v>
      </c>
      <c r="F30" s="57">
        <f>SUM('ASR2004:ASR2264'!F30)</f>
        <v>41</v>
      </c>
      <c r="G30" s="57">
        <f>SUM('ASR2004:ASR2264'!G30)</f>
        <v>46</v>
      </c>
      <c r="H30" s="57">
        <f>SUM('ASR2004:ASR2264'!H30)</f>
        <v>54</v>
      </c>
      <c r="I30" s="57">
        <f>SUM('ASR2004:ASR2264'!I30)</f>
        <v>60</v>
      </c>
      <c r="J30" s="57">
        <f>SUM('ASR2004:ASR2264'!J30)</f>
        <v>50</v>
      </c>
      <c r="K30" s="57">
        <f>SUM('ASR2004:ASR2264'!K30)</f>
        <v>34</v>
      </c>
      <c r="L30" s="156">
        <f>SUM('ASR2004:ASR2264'!L30)</f>
        <v>39</v>
      </c>
      <c r="M30" s="144">
        <f>SUM('ASR2004:ASR2264'!M30)</f>
        <v>50</v>
      </c>
    </row>
    <row r="31" spans="1:14" s="8" customFormat="1" ht="11.25" customHeight="1">
      <c r="A31" s="10" t="s">
        <v>24</v>
      </c>
      <c r="B31" s="57">
        <f>SUM('ASR2004:ASR2264'!B31)</f>
        <v>0</v>
      </c>
      <c r="C31" s="57">
        <f>SUM('ASR2004:ASR2264'!C31)</f>
        <v>0</v>
      </c>
      <c r="D31" s="57">
        <f>SUM('ASR2004:ASR2264'!D31)</f>
        <v>0</v>
      </c>
      <c r="E31" s="57">
        <f>SUM('ASR2004:ASR2264'!E31)</f>
        <v>0</v>
      </c>
      <c r="F31" s="57">
        <f>SUM('ASR2004:ASR2264'!F31)</f>
        <v>0</v>
      </c>
      <c r="G31" s="57">
        <f>SUM('ASR2004:ASR2264'!G31)</f>
        <v>0</v>
      </c>
      <c r="H31" s="57">
        <f>SUM('ASR2004:ASR2264'!H31)</f>
        <v>0</v>
      </c>
      <c r="I31" s="57">
        <f>SUM('ASR2004:ASR2264'!I31)</f>
        <v>0</v>
      </c>
      <c r="J31" s="57">
        <f>SUM('ASR2004:ASR2264'!J31)</f>
        <v>0</v>
      </c>
      <c r="K31" s="57">
        <f>SUM('ASR2004:ASR2264'!K31)</f>
        <v>0</v>
      </c>
      <c r="L31" s="156">
        <f>SUM('ASR2004:ASR2264'!L31)</f>
        <v>0</v>
      </c>
      <c r="M31" s="144">
        <f>SUM('ASR2004:ASR2264'!M31)</f>
        <v>0</v>
      </c>
    </row>
    <row r="32" spans="1:14" s="14" customFormat="1" ht="11.25" customHeight="1" thickBot="1">
      <c r="A32" s="2" t="s">
        <v>140</v>
      </c>
      <c r="B32" s="60">
        <f>SUM(B25:B31)</f>
        <v>1002</v>
      </c>
      <c r="C32" s="60">
        <f t="shared" ref="C32:L32" si="4">SUM(C25:C31)</f>
        <v>735</v>
      </c>
      <c r="D32" s="60">
        <f t="shared" si="4"/>
        <v>705</v>
      </c>
      <c r="E32" s="60">
        <f t="shared" si="4"/>
        <v>704</v>
      </c>
      <c r="F32" s="60">
        <f t="shared" si="4"/>
        <v>827</v>
      </c>
      <c r="G32" s="60">
        <f t="shared" si="4"/>
        <v>775</v>
      </c>
      <c r="H32" s="60">
        <f t="shared" si="4"/>
        <v>926</v>
      </c>
      <c r="I32" s="60">
        <f t="shared" si="4"/>
        <v>991</v>
      </c>
      <c r="J32" s="60">
        <f t="shared" si="4"/>
        <v>930</v>
      </c>
      <c r="K32" s="60">
        <f t="shared" si="4"/>
        <v>454</v>
      </c>
      <c r="L32" s="159">
        <f t="shared" si="4"/>
        <v>667</v>
      </c>
      <c r="M32" s="152">
        <f>SUM(M25:M31)</f>
        <v>990</v>
      </c>
    </row>
    <row r="33" spans="1:13" ht="12" customHeight="1" thickBot="1">
      <c r="A33" s="55" t="s">
        <v>136</v>
      </c>
      <c r="B33" s="50">
        <v>41275</v>
      </c>
      <c r="C33" s="47">
        <v>41306</v>
      </c>
      <c r="D33" s="47">
        <v>41334</v>
      </c>
      <c r="E33" s="47">
        <v>41365</v>
      </c>
      <c r="F33" s="47">
        <v>41395</v>
      </c>
      <c r="G33" s="47">
        <v>41426</v>
      </c>
      <c r="H33" s="47">
        <v>41456</v>
      </c>
      <c r="I33" s="47">
        <v>41487</v>
      </c>
      <c r="J33" s="47">
        <v>41518</v>
      </c>
      <c r="K33" s="47">
        <v>41548</v>
      </c>
      <c r="L33" s="47">
        <v>41579</v>
      </c>
      <c r="M33" s="51">
        <v>41609</v>
      </c>
    </row>
    <row r="34" spans="1:13" s="8" customFormat="1" ht="11.25" customHeight="1">
      <c r="A34" s="46" t="s">
        <v>33</v>
      </c>
      <c r="B34" s="57">
        <f>SUM('ASR2004:ASR2264'!B34)</f>
        <v>1</v>
      </c>
      <c r="C34" s="57">
        <f>SUM('ASR2004:ASR2264'!C34)</f>
        <v>0</v>
      </c>
      <c r="D34" s="57">
        <f>SUM('ASR2004:ASR2264'!D34)</f>
        <v>9</v>
      </c>
      <c r="E34" s="57">
        <f>SUM('ASR2004:ASR2264'!E34)</f>
        <v>6</v>
      </c>
      <c r="F34" s="57">
        <f>SUM('ASR2004:ASR2264'!F34)</f>
        <v>4</v>
      </c>
      <c r="G34" s="57">
        <f>SUM('ASR2004:ASR2264'!G34)</f>
        <v>3</v>
      </c>
      <c r="H34" s="57">
        <f>SUM('ASR2004:ASR2264'!H34)</f>
        <v>2</v>
      </c>
      <c r="I34" s="57">
        <f>SUM('ASR2004:ASR2264'!I34)</f>
        <v>5</v>
      </c>
      <c r="J34" s="57">
        <f>SUM('ASR2004:ASR2264'!J34)</f>
        <v>11</v>
      </c>
      <c r="K34" s="57">
        <f>SUM('ASR2004:ASR2264'!K34)</f>
        <v>8</v>
      </c>
      <c r="L34" s="156">
        <f>SUM('ASR2004:ASR2264'!L34)</f>
        <v>7</v>
      </c>
      <c r="M34" s="144">
        <f>SUM('ASR2004:ASR2264'!M34)</f>
        <v>3</v>
      </c>
    </row>
    <row r="35" spans="1:13" s="8" customFormat="1" ht="11.25" customHeight="1">
      <c r="A35" s="10" t="s">
        <v>4</v>
      </c>
      <c r="B35" s="57">
        <f>SUM('ASR2004:ASR2264'!B35)</f>
        <v>68</v>
      </c>
      <c r="C35" s="57">
        <f>SUM('ASR2004:ASR2264'!C35)</f>
        <v>70</v>
      </c>
      <c r="D35" s="57">
        <f>SUM('ASR2004:ASR2264'!D35)</f>
        <v>56</v>
      </c>
      <c r="E35" s="57">
        <f>SUM('ASR2004:ASR2264'!E35)</f>
        <v>68</v>
      </c>
      <c r="F35" s="57">
        <f>SUM('ASR2004:ASR2264'!F35)</f>
        <v>66</v>
      </c>
      <c r="G35" s="57">
        <f>SUM('ASR2004:ASR2264'!G35)</f>
        <v>88</v>
      </c>
      <c r="H35" s="57">
        <f>SUM('ASR2004:ASR2264'!H35)</f>
        <v>90</v>
      </c>
      <c r="I35" s="57">
        <f>SUM('ASR2004:ASR2264'!I35)</f>
        <v>104</v>
      </c>
      <c r="J35" s="57">
        <f>SUM('ASR2004:ASR2264'!J35)</f>
        <v>114</v>
      </c>
      <c r="K35" s="57">
        <f>SUM('ASR2004:ASR2264'!K35)</f>
        <v>39</v>
      </c>
      <c r="L35" s="156">
        <f>SUM('ASR2004:ASR2264'!L35)</f>
        <v>53</v>
      </c>
      <c r="M35" s="144">
        <f>SUM('ASR2004:ASR2264'!M35)</f>
        <v>102</v>
      </c>
    </row>
    <row r="36" spans="1:13" s="8" customFormat="1" ht="11.25" customHeight="1">
      <c r="A36" s="10" t="s">
        <v>39</v>
      </c>
      <c r="B36" s="57">
        <f>SUM('ASR2004:ASR2264'!B36)</f>
        <v>147</v>
      </c>
      <c r="C36" s="57">
        <f>SUM('ASR2004:ASR2264'!C36)</f>
        <v>160</v>
      </c>
      <c r="D36" s="57">
        <f>SUM('ASR2004:ASR2264'!D36)</f>
        <v>153</v>
      </c>
      <c r="E36" s="57">
        <f>SUM('ASR2004:ASR2264'!E36)</f>
        <v>163</v>
      </c>
      <c r="F36" s="57">
        <f>SUM('ASR2004:ASR2264'!F36)</f>
        <v>152</v>
      </c>
      <c r="G36" s="57">
        <f>SUM('ASR2004:ASR2264'!G36)</f>
        <v>187</v>
      </c>
      <c r="H36" s="57">
        <f>SUM('ASR2004:ASR2264'!H36)</f>
        <v>146</v>
      </c>
      <c r="I36" s="57">
        <f>SUM('ASR2004:ASR2264'!I36)</f>
        <v>181</v>
      </c>
      <c r="J36" s="57">
        <f>SUM('ASR2004:ASR2264'!J36)</f>
        <v>178</v>
      </c>
      <c r="K36" s="57">
        <f>SUM('ASR2004:ASR2264'!K36)</f>
        <v>177</v>
      </c>
      <c r="L36" s="156">
        <f>SUM('ASR2004:ASR2264'!L36)</f>
        <v>130</v>
      </c>
      <c r="M36" s="144">
        <f>SUM('ASR2004:ASR2264'!M36)</f>
        <v>161</v>
      </c>
    </row>
    <row r="37" spans="1:13" s="8" customFormat="1" ht="11.25" customHeight="1">
      <c r="A37" s="10" t="s">
        <v>3</v>
      </c>
      <c r="B37" s="57">
        <f>SUM('ASR2004:ASR2264'!B37)</f>
        <v>41</v>
      </c>
      <c r="C37" s="57">
        <f>SUM('ASR2004:ASR2264'!C37)</f>
        <v>41</v>
      </c>
      <c r="D37" s="57">
        <f>SUM('ASR2004:ASR2264'!D37)</f>
        <v>46</v>
      </c>
      <c r="E37" s="57">
        <f>SUM('ASR2004:ASR2264'!E37)</f>
        <v>35</v>
      </c>
      <c r="F37" s="57">
        <f>SUM('ASR2004:ASR2264'!F37)</f>
        <v>42</v>
      </c>
      <c r="G37" s="57">
        <f>SUM('ASR2004:ASR2264'!G37)</f>
        <v>33</v>
      </c>
      <c r="H37" s="57">
        <f>SUM('ASR2004:ASR2264'!H37)</f>
        <v>41</v>
      </c>
      <c r="I37" s="57">
        <f>SUM('ASR2004:ASR2264'!I37)</f>
        <v>44</v>
      </c>
      <c r="J37" s="57">
        <f>SUM('ASR2004:ASR2264'!J37)</f>
        <v>67</v>
      </c>
      <c r="K37" s="57">
        <f>SUM('ASR2004:ASR2264'!K37)</f>
        <v>22</v>
      </c>
      <c r="L37" s="156">
        <f>SUM('ASR2004:ASR2264'!L37)</f>
        <v>26</v>
      </c>
      <c r="M37" s="144">
        <f>SUM('ASR2004:ASR2264'!M37)</f>
        <v>40</v>
      </c>
    </row>
    <row r="38" spans="1:13" s="8" customFormat="1" ht="11.25" customHeight="1">
      <c r="A38" s="9" t="s">
        <v>218</v>
      </c>
      <c r="B38" s="57">
        <f>SUM('ASR2004:ASR2264'!B38)</f>
        <v>393</v>
      </c>
      <c r="C38" s="57">
        <f>SUM('ASR2004:ASR2264'!C38)</f>
        <v>278</v>
      </c>
      <c r="D38" s="57">
        <f>SUM('ASR2004:ASR2264'!D38)</f>
        <v>292</v>
      </c>
      <c r="E38" s="57">
        <f>SUM('ASR2004:ASR2264'!E38)</f>
        <v>265</v>
      </c>
      <c r="F38" s="57">
        <f>SUM('ASR2004:ASR2264'!F38)</f>
        <v>275</v>
      </c>
      <c r="G38" s="57">
        <f>SUM('ASR2004:ASR2264'!G38)</f>
        <v>295</v>
      </c>
      <c r="H38" s="57">
        <f>SUM('ASR2004:ASR2264'!H38)</f>
        <v>322</v>
      </c>
      <c r="I38" s="57">
        <f>SUM('ASR2004:ASR2264'!I38)</f>
        <v>386</v>
      </c>
      <c r="J38" s="57">
        <f>SUM('ASR2004:ASR2264'!J38)</f>
        <v>363</v>
      </c>
      <c r="K38" s="57">
        <f>SUM('ASR2004:ASR2264'!K38)</f>
        <v>133</v>
      </c>
      <c r="L38" s="156">
        <f>SUM('ASR2004:ASR2264'!L38)</f>
        <v>259</v>
      </c>
      <c r="M38" s="144">
        <f>SUM('ASR2004:ASR2264'!M38)</f>
        <v>242</v>
      </c>
    </row>
    <row r="39" spans="1:13" s="8" customFormat="1" ht="11.25" customHeight="1">
      <c r="A39" s="10" t="s">
        <v>25</v>
      </c>
      <c r="B39" s="57">
        <f>SUM('ASR2004:ASR2264'!B39)</f>
        <v>228</v>
      </c>
      <c r="C39" s="57">
        <f>SUM('ASR2004:ASR2264'!C39)</f>
        <v>183</v>
      </c>
      <c r="D39" s="57">
        <f>SUM('ASR2004:ASR2264'!D39)</f>
        <v>242</v>
      </c>
      <c r="E39" s="57">
        <f>SUM('ASR2004:ASR2264'!E39)</f>
        <v>277</v>
      </c>
      <c r="F39" s="57">
        <f>SUM('ASR2004:ASR2264'!F39)</f>
        <v>303</v>
      </c>
      <c r="G39" s="57">
        <f>SUM('ASR2004:ASR2264'!G39)</f>
        <v>296</v>
      </c>
      <c r="H39" s="57">
        <f>SUM('ASR2004:ASR2264'!H39)</f>
        <v>286</v>
      </c>
      <c r="I39" s="57">
        <f>SUM('ASR2004:ASR2264'!I39)</f>
        <v>318</v>
      </c>
      <c r="J39" s="57">
        <f>SUM('ASR2004:ASR2264'!J39)</f>
        <v>264</v>
      </c>
      <c r="K39" s="57">
        <f>SUM('ASR2004:ASR2264'!K39)</f>
        <v>261</v>
      </c>
      <c r="L39" s="156">
        <f>SUM('ASR2004:ASR2264'!L39)</f>
        <v>263</v>
      </c>
      <c r="M39" s="144">
        <f>SUM('ASR2004:ASR2264'!M39)</f>
        <v>258</v>
      </c>
    </row>
    <row r="40" spans="1:13" s="8" customFormat="1" ht="11.25" customHeight="1">
      <c r="A40" s="10" t="s">
        <v>34</v>
      </c>
      <c r="B40" s="57">
        <f>SUM('ASR2004:ASR2264'!B40)</f>
        <v>2</v>
      </c>
      <c r="C40" s="57">
        <f>SUM('ASR2004:ASR2264'!C40)</f>
        <v>2</v>
      </c>
      <c r="D40" s="57">
        <f>SUM('ASR2004:ASR2264'!D40)</f>
        <v>10</v>
      </c>
      <c r="E40" s="57">
        <f>SUM('ASR2004:ASR2264'!E40)</f>
        <v>10</v>
      </c>
      <c r="F40" s="57">
        <f>SUM('ASR2004:ASR2264'!F40)</f>
        <v>3</v>
      </c>
      <c r="G40" s="57">
        <f>SUM('ASR2004:ASR2264'!G40)</f>
        <v>4</v>
      </c>
      <c r="H40" s="57">
        <f>SUM('ASR2004:ASR2264'!H40)</f>
        <v>5</v>
      </c>
      <c r="I40" s="57">
        <f>SUM('ASR2004:ASR2264'!I40)</f>
        <v>1</v>
      </c>
      <c r="J40" s="57">
        <f>SUM('ASR2004:ASR2264'!J40)</f>
        <v>1</v>
      </c>
      <c r="K40" s="57">
        <f>SUM('ASR2004:ASR2264'!K40)</f>
        <v>0</v>
      </c>
      <c r="L40" s="156">
        <f>SUM('ASR2004:ASR2264'!L40)</f>
        <v>2</v>
      </c>
      <c r="M40" s="144">
        <f>SUM('ASR2004:ASR2264'!M40)</f>
        <v>3</v>
      </c>
    </row>
    <row r="41" spans="1:13" s="8" customFormat="1" ht="11.25" customHeight="1">
      <c r="A41" s="10" t="s">
        <v>31</v>
      </c>
      <c r="B41" s="57">
        <f>SUM('ASR2004:ASR2264'!B41)</f>
        <v>112</v>
      </c>
      <c r="C41" s="57">
        <f>SUM('ASR2004:ASR2264'!C41)</f>
        <v>140</v>
      </c>
      <c r="D41" s="57">
        <f>SUM('ASR2004:ASR2264'!D41)</f>
        <v>237</v>
      </c>
      <c r="E41" s="57">
        <f>SUM('ASR2004:ASR2264'!E41)</f>
        <v>199</v>
      </c>
      <c r="F41" s="57">
        <f>SUM('ASR2004:ASR2264'!F41)</f>
        <v>283</v>
      </c>
      <c r="G41" s="57">
        <f>SUM('ASR2004:ASR2264'!G41)</f>
        <v>281</v>
      </c>
      <c r="H41" s="57">
        <f>SUM('ASR2004:ASR2264'!H41)</f>
        <v>505</v>
      </c>
      <c r="I41" s="57">
        <f>SUM('ASR2004:ASR2264'!I41)</f>
        <v>446</v>
      </c>
      <c r="J41" s="57">
        <f>SUM('ASR2004:ASR2264'!J41)</f>
        <v>226</v>
      </c>
      <c r="K41" s="57">
        <f>SUM('ASR2004:ASR2264'!K41)</f>
        <v>75</v>
      </c>
      <c r="L41" s="156">
        <f>SUM('ASR2004:ASR2264'!L41)</f>
        <v>113</v>
      </c>
      <c r="M41" s="144">
        <f>SUM('ASR2004:ASR2264'!M41)</f>
        <v>118</v>
      </c>
    </row>
    <row r="42" spans="1:13" s="8" customFormat="1" ht="11.25" customHeight="1">
      <c r="A42" s="10" t="s">
        <v>144</v>
      </c>
      <c r="B42" s="57">
        <f>SUM('ASR2004:ASR2264'!B42)</f>
        <v>4</v>
      </c>
      <c r="C42" s="57">
        <f>SUM('ASR2004:ASR2264'!C42)</f>
        <v>1</v>
      </c>
      <c r="D42" s="57">
        <f>SUM('ASR2004:ASR2264'!D42)</f>
        <v>1</v>
      </c>
      <c r="E42" s="57">
        <f>SUM('ASR2004:ASR2264'!E42)</f>
        <v>1</v>
      </c>
      <c r="F42" s="57">
        <f>SUM('ASR2004:ASR2264'!F42)</f>
        <v>1</v>
      </c>
      <c r="G42" s="57">
        <f>SUM('ASR2004:ASR2264'!G42)</f>
        <v>1</v>
      </c>
      <c r="H42" s="57">
        <f>SUM('ASR2004:ASR2264'!H42)</f>
        <v>2</v>
      </c>
      <c r="I42" s="57">
        <f>SUM('ASR2004:ASR2264'!I42)</f>
        <v>0</v>
      </c>
      <c r="J42" s="57">
        <f>SUM('ASR2004:ASR2264'!J42)</f>
        <v>0</v>
      </c>
      <c r="K42" s="57">
        <f>SUM('ASR2004:ASR2264'!K42)</f>
        <v>2</v>
      </c>
      <c r="L42" s="156">
        <f>SUM('ASR2004:ASR2264'!L42)</f>
        <v>1</v>
      </c>
      <c r="M42" s="144">
        <f>SUM('ASR2004:ASR2264'!M42)</f>
        <v>0</v>
      </c>
    </row>
    <row r="43" spans="1:13" s="8" customFormat="1" ht="11.25" customHeight="1">
      <c r="A43" s="10" t="s">
        <v>1</v>
      </c>
      <c r="B43" s="57">
        <f>SUM('ASR2004:ASR2264'!B43)</f>
        <v>204</v>
      </c>
      <c r="C43" s="57">
        <f>SUM('ASR2004:ASR2264'!C43)</f>
        <v>305</v>
      </c>
      <c r="D43" s="57">
        <f>SUM('ASR2004:ASR2264'!D43)</f>
        <v>183</v>
      </c>
      <c r="E43" s="57">
        <f>SUM('ASR2004:ASR2264'!E43)</f>
        <v>214</v>
      </c>
      <c r="F43" s="57">
        <f>SUM('ASR2004:ASR2264'!F43)</f>
        <v>205</v>
      </c>
      <c r="G43" s="57">
        <f>SUM('ASR2004:ASR2264'!G43)</f>
        <v>197</v>
      </c>
      <c r="H43" s="57">
        <f>SUM('ASR2004:ASR2264'!H43)</f>
        <v>271</v>
      </c>
      <c r="I43" s="57">
        <f>SUM('ASR2004:ASR2264'!I43)</f>
        <v>349</v>
      </c>
      <c r="J43" s="57">
        <f>SUM('ASR2004:ASR2264'!J43)</f>
        <v>336</v>
      </c>
      <c r="K43" s="57">
        <f>SUM('ASR2004:ASR2264'!K43)</f>
        <v>199</v>
      </c>
      <c r="L43" s="156">
        <f>SUM('ASR2004:ASR2264'!L43)</f>
        <v>194</v>
      </c>
      <c r="M43" s="144">
        <f>SUM('ASR2004:ASR2264'!M43)</f>
        <v>268</v>
      </c>
    </row>
    <row r="44" spans="1:13" s="8" customFormat="1" ht="11.25" customHeight="1">
      <c r="A44" s="10" t="s">
        <v>26</v>
      </c>
      <c r="B44" s="57">
        <f>SUM('ASR2004:ASR2264'!B44)</f>
        <v>1</v>
      </c>
      <c r="C44" s="57">
        <f>SUM('ASR2004:ASR2264'!C44)</f>
        <v>6</v>
      </c>
      <c r="D44" s="57">
        <f>SUM('ASR2004:ASR2264'!D44)</f>
        <v>3</v>
      </c>
      <c r="E44" s="57">
        <f>SUM('ASR2004:ASR2264'!E44)</f>
        <v>2</v>
      </c>
      <c r="F44" s="57">
        <f>SUM('ASR2004:ASR2264'!F44)</f>
        <v>2</v>
      </c>
      <c r="G44" s="57">
        <f>SUM('ASR2004:ASR2264'!G44)</f>
        <v>5</v>
      </c>
      <c r="H44" s="57">
        <f>SUM('ASR2004:ASR2264'!H44)</f>
        <v>8</v>
      </c>
      <c r="I44" s="57">
        <f>SUM('ASR2004:ASR2264'!I44)</f>
        <v>11</v>
      </c>
      <c r="J44" s="57">
        <f>SUM('ASR2004:ASR2264'!J44)</f>
        <v>8</v>
      </c>
      <c r="K44" s="57">
        <f>SUM('ASR2004:ASR2264'!K44)</f>
        <v>6</v>
      </c>
      <c r="L44" s="156">
        <f>SUM('ASR2004:ASR2264'!L44)</f>
        <v>4</v>
      </c>
      <c r="M44" s="144">
        <f>SUM('ASR2004:ASR2264'!M44)</f>
        <v>9</v>
      </c>
    </row>
    <row r="45" spans="1:13" s="8" customFormat="1" ht="11.25" customHeight="1">
      <c r="A45" s="10" t="s">
        <v>32</v>
      </c>
      <c r="B45" s="57">
        <f>SUM('ASR2004:ASR2264'!B45)</f>
        <v>337</v>
      </c>
      <c r="C45" s="57">
        <f>SUM('ASR2004:ASR2264'!C45)</f>
        <v>323</v>
      </c>
      <c r="D45" s="57">
        <f>SUM('ASR2004:ASR2264'!D45)</f>
        <v>326</v>
      </c>
      <c r="E45" s="57">
        <f>SUM('ASR2004:ASR2264'!E45)</f>
        <v>282</v>
      </c>
      <c r="F45" s="57">
        <f>SUM('ASR2004:ASR2264'!F45)</f>
        <v>315</v>
      </c>
      <c r="G45" s="57">
        <f>SUM('ASR2004:ASR2264'!G45)</f>
        <v>382</v>
      </c>
      <c r="H45" s="57">
        <f>SUM('ASR2004:ASR2264'!H45)</f>
        <v>519</v>
      </c>
      <c r="I45" s="57">
        <f>SUM('ASR2004:ASR2264'!I45)</f>
        <v>536</v>
      </c>
      <c r="J45" s="57">
        <f>SUM('ASR2004:ASR2264'!J45)</f>
        <v>425</v>
      </c>
      <c r="K45" s="57">
        <f>SUM('ASR2004:ASR2264'!K45)</f>
        <v>223</v>
      </c>
      <c r="L45" s="156">
        <f>SUM('ASR2004:ASR2264'!L45)</f>
        <v>300</v>
      </c>
      <c r="M45" s="144">
        <f>SUM('ASR2004:ASR2264'!M45)</f>
        <v>463</v>
      </c>
    </row>
    <row r="46" spans="1:13" s="8" customFormat="1" ht="11.25" customHeight="1">
      <c r="A46" s="10" t="s">
        <v>28</v>
      </c>
      <c r="B46" s="57">
        <f>SUM('ASR2004:ASR2264'!B46)</f>
        <v>1</v>
      </c>
      <c r="C46" s="57">
        <f>SUM('ASR2004:ASR2264'!C46)</f>
        <v>0</v>
      </c>
      <c r="D46" s="57">
        <f>SUM('ASR2004:ASR2264'!D46)</f>
        <v>1</v>
      </c>
      <c r="E46" s="57">
        <f>SUM('ASR2004:ASR2264'!E46)</f>
        <v>12</v>
      </c>
      <c r="F46" s="57">
        <f>SUM('ASR2004:ASR2264'!F46)</f>
        <v>1</v>
      </c>
      <c r="G46" s="57">
        <f>SUM('ASR2004:ASR2264'!G46)</f>
        <v>0</v>
      </c>
      <c r="H46" s="57">
        <f>SUM('ASR2004:ASR2264'!H46)</f>
        <v>0</v>
      </c>
      <c r="I46" s="57">
        <f>SUM('ASR2004:ASR2264'!I46)</f>
        <v>28</v>
      </c>
      <c r="J46" s="57">
        <f>SUM('ASR2004:ASR2264'!J46)</f>
        <v>0</v>
      </c>
      <c r="K46" s="57">
        <f>SUM('ASR2004:ASR2264'!K46)</f>
        <v>0</v>
      </c>
      <c r="L46" s="156">
        <f>SUM('ASR2004:ASR2264'!L46)</f>
        <v>14</v>
      </c>
      <c r="M46" s="144">
        <f>SUM('ASR2004:ASR2264'!M46)</f>
        <v>41</v>
      </c>
    </row>
    <row r="47" spans="1:13" s="8" customFormat="1" ht="11.25" customHeight="1">
      <c r="A47" s="10" t="s">
        <v>0</v>
      </c>
      <c r="B47" s="57">
        <f>SUM('ASR2004:ASR2264'!B47)</f>
        <v>78</v>
      </c>
      <c r="C47" s="57">
        <f>SUM('ASR2004:ASR2264'!C47)</f>
        <v>79</v>
      </c>
      <c r="D47" s="57">
        <f>SUM('ASR2004:ASR2264'!D47)</f>
        <v>76</v>
      </c>
      <c r="E47" s="57">
        <f>SUM('ASR2004:ASR2264'!E47)</f>
        <v>53</v>
      </c>
      <c r="F47" s="57">
        <f>SUM('ASR2004:ASR2264'!F47)</f>
        <v>87</v>
      </c>
      <c r="G47" s="57">
        <f>SUM('ASR2004:ASR2264'!G47)</f>
        <v>88</v>
      </c>
      <c r="H47" s="57">
        <f>SUM('ASR2004:ASR2264'!H47)</f>
        <v>153</v>
      </c>
      <c r="I47" s="57">
        <f>SUM('ASR2004:ASR2264'!I47)</f>
        <v>148</v>
      </c>
      <c r="J47" s="57">
        <f>SUM('ASR2004:ASR2264'!J47)</f>
        <v>133</v>
      </c>
      <c r="K47" s="57">
        <f>SUM('ASR2004:ASR2264'!K47)</f>
        <v>54</v>
      </c>
      <c r="L47" s="156">
        <f>SUM('ASR2004:ASR2264'!L47)</f>
        <v>74</v>
      </c>
      <c r="M47" s="144">
        <f>SUM('ASR2004:ASR2264'!M47)</f>
        <v>126</v>
      </c>
    </row>
    <row r="48" spans="1:13" s="8" customFormat="1" ht="11.25" customHeight="1">
      <c r="A48" s="10" t="s">
        <v>35</v>
      </c>
      <c r="B48" s="57">
        <f>SUM('ASR2004:ASR2264'!B48)</f>
        <v>6</v>
      </c>
      <c r="C48" s="57">
        <f>SUM('ASR2004:ASR2264'!C48)</f>
        <v>4</v>
      </c>
      <c r="D48" s="57">
        <f>SUM('ASR2004:ASR2264'!D48)</f>
        <v>2</v>
      </c>
      <c r="E48" s="57">
        <f>SUM('ASR2004:ASR2264'!E48)</f>
        <v>5</v>
      </c>
      <c r="F48" s="57">
        <f>SUM('ASR2004:ASR2264'!F48)</f>
        <v>3</v>
      </c>
      <c r="G48" s="57">
        <f>SUM('ASR2004:ASR2264'!G48)</f>
        <v>4</v>
      </c>
      <c r="H48" s="57">
        <f>SUM('ASR2004:ASR2264'!H48)</f>
        <v>5</v>
      </c>
      <c r="I48" s="57">
        <f>SUM('ASR2004:ASR2264'!I48)</f>
        <v>2</v>
      </c>
      <c r="J48" s="57">
        <f>SUM('ASR2004:ASR2264'!J48)</f>
        <v>5</v>
      </c>
      <c r="K48" s="57">
        <f>SUM('ASR2004:ASR2264'!K48)</f>
        <v>2</v>
      </c>
      <c r="L48" s="156">
        <f>SUM('ASR2004:ASR2264'!L48)</f>
        <v>3</v>
      </c>
      <c r="M48" s="144">
        <f>SUM('ASR2004:ASR2264'!M48)</f>
        <v>0</v>
      </c>
    </row>
    <row r="49" spans="1:13" s="8" customFormat="1" ht="11.25" customHeight="1">
      <c r="A49" s="10" t="s">
        <v>2</v>
      </c>
      <c r="B49" s="57">
        <f>SUM('ASR2004:ASR2264'!B49)</f>
        <v>38</v>
      </c>
      <c r="C49" s="57">
        <f>SUM('ASR2004:ASR2264'!C49)</f>
        <v>40</v>
      </c>
      <c r="D49" s="57">
        <f>SUM('ASR2004:ASR2264'!D49)</f>
        <v>40</v>
      </c>
      <c r="E49" s="57">
        <f>SUM('ASR2004:ASR2264'!E49)</f>
        <v>42</v>
      </c>
      <c r="F49" s="57">
        <f>SUM('ASR2004:ASR2264'!F49)</f>
        <v>34</v>
      </c>
      <c r="G49" s="57">
        <f>SUM('ASR2004:ASR2264'!G49)</f>
        <v>51</v>
      </c>
      <c r="H49" s="57">
        <f>SUM('ASR2004:ASR2264'!H49)</f>
        <v>72</v>
      </c>
      <c r="I49" s="57">
        <f>SUM('ASR2004:ASR2264'!I49)</f>
        <v>69</v>
      </c>
      <c r="J49" s="57">
        <f>SUM('ASR2004:ASR2264'!J49)</f>
        <v>65</v>
      </c>
      <c r="K49" s="57">
        <f>SUM('ASR2004:ASR2264'!K49)</f>
        <v>20</v>
      </c>
      <c r="L49" s="156">
        <f>SUM('ASR2004:ASR2264'!L49)</f>
        <v>33</v>
      </c>
      <c r="M49" s="144">
        <f>SUM('ASR2004:ASR2264'!M49)</f>
        <v>32</v>
      </c>
    </row>
    <row r="50" spans="1:13" s="8" customFormat="1" ht="11.25" customHeight="1">
      <c r="A50" s="10" t="s">
        <v>142</v>
      </c>
      <c r="B50" s="57">
        <f>SUM('ASR2004:ASR2264'!B50)</f>
        <v>23</v>
      </c>
      <c r="C50" s="57">
        <f>SUM('ASR2004:ASR2264'!C50)</f>
        <v>9</v>
      </c>
      <c r="D50" s="57">
        <f>SUM('ASR2004:ASR2264'!D50)</f>
        <v>15</v>
      </c>
      <c r="E50" s="57">
        <f>SUM('ASR2004:ASR2264'!E50)</f>
        <v>6</v>
      </c>
      <c r="F50" s="57">
        <f>SUM('ASR2004:ASR2264'!F50)</f>
        <v>4</v>
      </c>
      <c r="G50" s="57">
        <f>SUM('ASR2004:ASR2264'!G50)</f>
        <v>6</v>
      </c>
      <c r="H50" s="57">
        <f>SUM('ASR2004:ASR2264'!H50)</f>
        <v>5</v>
      </c>
      <c r="I50" s="57">
        <f>SUM('ASR2004:ASR2264'!I50)</f>
        <v>2</v>
      </c>
      <c r="J50" s="57">
        <f>SUM('ASR2004:ASR2264'!J50)</f>
        <v>5</v>
      </c>
      <c r="K50" s="57">
        <f>SUM('ASR2004:ASR2264'!K50)</f>
        <v>4</v>
      </c>
      <c r="L50" s="156">
        <f>SUM('ASR2004:ASR2264'!L50)</f>
        <v>7</v>
      </c>
      <c r="M50" s="144">
        <f>SUM('ASR2004:ASR2264'!M50)</f>
        <v>22</v>
      </c>
    </row>
    <row r="51" spans="1:13" s="8" customFormat="1" ht="11.25" customHeight="1">
      <c r="A51" s="10" t="s">
        <v>27</v>
      </c>
      <c r="B51" s="57">
        <f>SUM('ASR2004:ASR2264'!B51)</f>
        <v>0</v>
      </c>
      <c r="C51" s="57">
        <f>SUM('ASR2004:ASR2264'!C51)</f>
        <v>1</v>
      </c>
      <c r="D51" s="57">
        <f>SUM('ASR2004:ASR2264'!D51)</f>
        <v>0</v>
      </c>
      <c r="E51" s="57">
        <f>SUM('ASR2004:ASR2264'!E51)</f>
        <v>0</v>
      </c>
      <c r="F51" s="57">
        <f>SUM('ASR2004:ASR2264'!F51)</f>
        <v>0</v>
      </c>
      <c r="G51" s="57">
        <f>SUM('ASR2004:ASR2264'!G51)</f>
        <v>0</v>
      </c>
      <c r="H51" s="57">
        <f>SUM('ASR2004:ASR2264'!H51)</f>
        <v>3</v>
      </c>
      <c r="I51" s="57">
        <f>SUM('ASR2004:ASR2264'!I51)</f>
        <v>1</v>
      </c>
      <c r="J51" s="57">
        <f>SUM('ASR2004:ASR2264'!J51)</f>
        <v>3</v>
      </c>
      <c r="K51" s="57">
        <f>SUM('ASR2004:ASR2264'!K51)</f>
        <v>4</v>
      </c>
      <c r="L51" s="156">
        <f>SUM('ASR2004:ASR2264'!L51)</f>
        <v>2</v>
      </c>
      <c r="M51" s="144">
        <f>SUM('ASR2004:ASR2264'!M51)</f>
        <v>1</v>
      </c>
    </row>
    <row r="52" spans="1:13" s="8" customFormat="1" ht="11.25" customHeight="1" thickBot="1">
      <c r="A52" s="11" t="s">
        <v>16</v>
      </c>
      <c r="B52" s="60">
        <f t="shared" ref="B52:L52" si="5">SUM(B34:B51)</f>
        <v>1684</v>
      </c>
      <c r="C52" s="60">
        <f t="shared" si="5"/>
        <v>1642</v>
      </c>
      <c r="D52" s="60">
        <f t="shared" si="5"/>
        <v>1692</v>
      </c>
      <c r="E52" s="60">
        <f t="shared" si="5"/>
        <v>1640</v>
      </c>
      <c r="F52" s="60">
        <f t="shared" si="5"/>
        <v>1780</v>
      </c>
      <c r="G52" s="60">
        <f t="shared" si="5"/>
        <v>1921</v>
      </c>
      <c r="H52" s="60">
        <f t="shared" si="5"/>
        <v>2435</v>
      </c>
      <c r="I52" s="60">
        <f t="shared" si="5"/>
        <v>2631</v>
      </c>
      <c r="J52" s="60">
        <f t="shared" si="5"/>
        <v>2204</v>
      </c>
      <c r="K52" s="60">
        <f t="shared" si="5"/>
        <v>1229</v>
      </c>
      <c r="L52" s="159">
        <f t="shared" si="5"/>
        <v>1485</v>
      </c>
      <c r="M52" s="152">
        <f>SUM(M34:M51)</f>
        <v>1889</v>
      </c>
    </row>
    <row r="53" spans="1:13" ht="12" customHeight="1" thickBot="1">
      <c r="A53" s="55" t="s">
        <v>137</v>
      </c>
      <c r="B53" s="50">
        <v>41275</v>
      </c>
      <c r="C53" s="47">
        <v>41306</v>
      </c>
      <c r="D53" s="47">
        <v>41334</v>
      </c>
      <c r="E53" s="47">
        <v>41365</v>
      </c>
      <c r="F53" s="47">
        <v>41395</v>
      </c>
      <c r="G53" s="47">
        <v>41426</v>
      </c>
      <c r="H53" s="47">
        <v>41456</v>
      </c>
      <c r="I53" s="47">
        <v>41487</v>
      </c>
      <c r="J53" s="47">
        <v>41518</v>
      </c>
      <c r="K53" s="47">
        <v>41548</v>
      </c>
      <c r="L53" s="47">
        <v>41579</v>
      </c>
      <c r="M53" s="51">
        <v>41609</v>
      </c>
    </row>
    <row r="54" spans="1:13" s="8" customFormat="1" ht="11.25" customHeight="1">
      <c r="A54" s="10" t="s">
        <v>30</v>
      </c>
      <c r="B54" s="57">
        <f>SUM('ASR2004:ASR2264'!B54)</f>
        <v>35</v>
      </c>
      <c r="C54" s="57">
        <f>SUM('ASR2004:ASR2264'!C54)</f>
        <v>30</v>
      </c>
      <c r="D54" s="57">
        <f>SUM('ASR2004:ASR2264'!D54)</f>
        <v>45</v>
      </c>
      <c r="E54" s="57">
        <f>SUM('ASR2004:ASR2264'!E54)</f>
        <v>61</v>
      </c>
      <c r="F54" s="57">
        <f>SUM('ASR2004:ASR2264'!F54)</f>
        <v>70</v>
      </c>
      <c r="G54" s="57">
        <f>SUM('ASR2004:ASR2264'!G54)</f>
        <v>73</v>
      </c>
      <c r="H54" s="57">
        <f>SUM('ASR2004:ASR2264'!H54)</f>
        <v>123</v>
      </c>
      <c r="I54" s="57">
        <f>SUM('ASR2004:ASR2264'!I54)</f>
        <v>76</v>
      </c>
      <c r="J54" s="57">
        <f>SUM('ASR2004:ASR2264'!J54)</f>
        <v>88</v>
      </c>
      <c r="K54" s="57">
        <f>SUM('ASR2004:ASR2264'!K54)</f>
        <v>46</v>
      </c>
      <c r="L54" s="156">
        <f>SUM('ASR2004:ASR2264'!L54)</f>
        <v>59</v>
      </c>
      <c r="M54" s="144">
        <f>SUM('ASR2004:ASR2264'!M54)</f>
        <v>100</v>
      </c>
    </row>
    <row r="55" spans="1:13" s="8" customFormat="1" ht="11.25" customHeight="1">
      <c r="A55" s="10" t="s">
        <v>29</v>
      </c>
      <c r="B55" s="57">
        <f>SUM('ASR2004:ASR2264'!B55)</f>
        <v>0</v>
      </c>
      <c r="C55" s="57">
        <f>SUM('ASR2004:ASR2264'!C55)</f>
        <v>0</v>
      </c>
      <c r="D55" s="57">
        <f>SUM('ASR2004:ASR2264'!D55)</f>
        <v>2</v>
      </c>
      <c r="E55" s="57">
        <f>SUM('ASR2004:ASR2264'!E55)</f>
        <v>1</v>
      </c>
      <c r="F55" s="57">
        <f>SUM('ASR2004:ASR2264'!F55)</f>
        <v>0</v>
      </c>
      <c r="G55" s="57">
        <f>SUM('ASR2004:ASR2264'!G55)</f>
        <v>0</v>
      </c>
      <c r="H55" s="57">
        <f>SUM('ASR2004:ASR2264'!H55)</f>
        <v>0</v>
      </c>
      <c r="I55" s="57">
        <f>SUM('ASR2004:ASR2264'!I55)</f>
        <v>3</v>
      </c>
      <c r="J55" s="57">
        <f>SUM('ASR2004:ASR2264'!J55)</f>
        <v>1</v>
      </c>
      <c r="K55" s="57">
        <f>SUM('ASR2004:ASR2264'!K55)</f>
        <v>1</v>
      </c>
      <c r="L55" s="156">
        <f>SUM('ASR2004:ASR2264'!L55)</f>
        <v>1</v>
      </c>
      <c r="M55" s="144">
        <f>SUM('ASR2004:ASR2264'!M55)</f>
        <v>1</v>
      </c>
    </row>
    <row r="56" spans="1:13" s="8" customFormat="1" ht="11.25" customHeight="1">
      <c r="A56" s="10" t="s">
        <v>7</v>
      </c>
      <c r="B56" s="57">
        <f>SUM('ASR2004:ASR2264'!B56)</f>
        <v>142</v>
      </c>
      <c r="C56" s="57">
        <f>SUM('ASR2004:ASR2264'!C56)</f>
        <v>165</v>
      </c>
      <c r="D56" s="57">
        <f>SUM('ASR2004:ASR2264'!D56)</f>
        <v>117</v>
      </c>
      <c r="E56" s="57">
        <f>SUM('ASR2004:ASR2264'!E56)</f>
        <v>147</v>
      </c>
      <c r="F56" s="57">
        <f>SUM('ASR2004:ASR2264'!F56)</f>
        <v>161</v>
      </c>
      <c r="G56" s="57">
        <f>SUM('ASR2004:ASR2264'!G56)</f>
        <v>134</v>
      </c>
      <c r="H56" s="57">
        <f>SUM('ASR2004:ASR2264'!H56)</f>
        <v>150</v>
      </c>
      <c r="I56" s="57">
        <f>SUM('ASR2004:ASR2264'!I56)</f>
        <v>133</v>
      </c>
      <c r="J56" s="57">
        <f>SUM('ASR2004:ASR2264'!J56)</f>
        <v>170</v>
      </c>
      <c r="K56" s="57">
        <f>SUM('ASR2004:ASR2264'!K56)</f>
        <v>89</v>
      </c>
      <c r="L56" s="156">
        <f>SUM('ASR2004:ASR2264'!L56)</f>
        <v>179</v>
      </c>
      <c r="M56" s="144">
        <f>SUM('ASR2004:ASR2264'!M56)</f>
        <v>338</v>
      </c>
    </row>
    <row r="57" spans="1:13" s="8" customFormat="1" ht="11.25" customHeight="1">
      <c r="A57" s="10" t="s">
        <v>10</v>
      </c>
      <c r="B57" s="57">
        <f>SUM('ASR2004:ASR2264'!B57)</f>
        <v>1</v>
      </c>
      <c r="C57" s="57">
        <f>SUM('ASR2004:ASR2264'!C57)</f>
        <v>0</v>
      </c>
      <c r="D57" s="57">
        <f>SUM('ASR2004:ASR2264'!D57)</f>
        <v>0</v>
      </c>
      <c r="E57" s="57">
        <f>SUM('ASR2004:ASR2264'!E57)</f>
        <v>2</v>
      </c>
      <c r="F57" s="57">
        <f>SUM('ASR2004:ASR2264'!F57)</f>
        <v>2</v>
      </c>
      <c r="G57" s="57">
        <f>SUM('ASR2004:ASR2264'!G57)</f>
        <v>5</v>
      </c>
      <c r="H57" s="57">
        <f>SUM('ASR2004:ASR2264'!H57)</f>
        <v>14</v>
      </c>
      <c r="I57" s="57">
        <f>SUM('ASR2004:ASR2264'!I57)</f>
        <v>8</v>
      </c>
      <c r="J57" s="57">
        <f>SUM('ASR2004:ASR2264'!J57)</f>
        <v>7</v>
      </c>
      <c r="K57" s="57">
        <f>SUM('ASR2004:ASR2264'!K57)</f>
        <v>0</v>
      </c>
      <c r="L57" s="156">
        <f>SUM('ASR2004:ASR2264'!L57)</f>
        <v>7</v>
      </c>
      <c r="M57" s="144">
        <f>SUM('ASR2004:ASR2264'!M57)</f>
        <v>2</v>
      </c>
    </row>
    <row r="58" spans="1:13" s="8" customFormat="1" ht="11.25" customHeight="1">
      <c r="A58" s="10" t="s">
        <v>36</v>
      </c>
      <c r="B58" s="57">
        <f>SUM('ASR2004:ASR2264'!B58)</f>
        <v>5</v>
      </c>
      <c r="C58" s="57">
        <f>SUM('ASR2004:ASR2264'!C58)</f>
        <v>0</v>
      </c>
      <c r="D58" s="57">
        <f>SUM('ASR2004:ASR2264'!D58)</f>
        <v>1</v>
      </c>
      <c r="E58" s="57">
        <f>SUM('ASR2004:ASR2264'!E58)</f>
        <v>1</v>
      </c>
      <c r="F58" s="57">
        <f>SUM('ASR2004:ASR2264'!F58)</f>
        <v>1</v>
      </c>
      <c r="G58" s="57">
        <f>SUM('ASR2004:ASR2264'!G58)</f>
        <v>10</v>
      </c>
      <c r="H58" s="57">
        <f>SUM('ASR2004:ASR2264'!H58)</f>
        <v>1</v>
      </c>
      <c r="I58" s="57">
        <f>SUM('ASR2004:ASR2264'!I58)</f>
        <v>3</v>
      </c>
      <c r="J58" s="57">
        <f>SUM('ASR2004:ASR2264'!J58)</f>
        <v>2</v>
      </c>
      <c r="K58" s="57">
        <f>SUM('ASR2004:ASR2264'!K58)</f>
        <v>14</v>
      </c>
      <c r="L58" s="156">
        <f>SUM('ASR2004:ASR2264'!L58)</f>
        <v>13</v>
      </c>
      <c r="M58" s="144">
        <f>SUM('ASR2004:ASR2264'!M58)</f>
        <v>30</v>
      </c>
    </row>
    <row r="59" spans="1:13" s="8" customFormat="1" ht="11.25" customHeight="1">
      <c r="A59" s="10" t="s">
        <v>145</v>
      </c>
      <c r="B59" s="57">
        <f>SUM('ASR2004:ASR2264'!B59)</f>
        <v>0</v>
      </c>
      <c r="C59" s="57">
        <f>SUM('ASR2004:ASR2264'!C59)</f>
        <v>0</v>
      </c>
      <c r="D59" s="57">
        <f>SUM('ASR2004:ASR2264'!D59)</f>
        <v>0</v>
      </c>
      <c r="E59" s="57">
        <f>SUM('ASR2004:ASR2264'!E59)</f>
        <v>0</v>
      </c>
      <c r="F59" s="57">
        <f>SUM('ASR2004:ASR2264'!F59)</f>
        <v>2</v>
      </c>
      <c r="G59" s="57">
        <f>SUM('ASR2004:ASR2264'!G59)</f>
        <v>0</v>
      </c>
      <c r="H59" s="57">
        <f>SUM('ASR2004:ASR2264'!H59)</f>
        <v>0</v>
      </c>
      <c r="I59" s="57">
        <f>SUM('ASR2004:ASR2264'!I59)</f>
        <v>0</v>
      </c>
      <c r="J59" s="57">
        <f>SUM('ASR2004:ASR2264'!J59)</f>
        <v>0</v>
      </c>
      <c r="K59" s="57">
        <f>SUM('ASR2004:ASR2264'!K59)</f>
        <v>0</v>
      </c>
      <c r="L59" s="156">
        <f>SUM('ASR2004:ASR2264'!L59)</f>
        <v>0</v>
      </c>
      <c r="M59" s="144">
        <f>SUM('ASR2004:ASR2264'!M59)</f>
        <v>2</v>
      </c>
    </row>
    <row r="60" spans="1:13" s="8" customFormat="1" ht="11.25" customHeight="1">
      <c r="A60" s="10" t="s">
        <v>38</v>
      </c>
      <c r="B60" s="57">
        <f>SUM('ASR2004:ASR2264'!B60)</f>
        <v>10</v>
      </c>
      <c r="C60" s="57">
        <f>SUM('ASR2004:ASR2264'!C60)</f>
        <v>23</v>
      </c>
      <c r="D60" s="57">
        <f>SUM('ASR2004:ASR2264'!D60)</f>
        <v>11</v>
      </c>
      <c r="E60" s="57">
        <f>SUM('ASR2004:ASR2264'!E60)</f>
        <v>22</v>
      </c>
      <c r="F60" s="57">
        <f>SUM('ASR2004:ASR2264'!F60)</f>
        <v>28</v>
      </c>
      <c r="G60" s="57">
        <f>SUM('ASR2004:ASR2264'!G60)</f>
        <v>28</v>
      </c>
      <c r="H60" s="57">
        <f>SUM('ASR2004:ASR2264'!H60)</f>
        <v>51</v>
      </c>
      <c r="I60" s="57">
        <f>SUM('ASR2004:ASR2264'!I60)</f>
        <v>31</v>
      </c>
      <c r="J60" s="57">
        <f>SUM('ASR2004:ASR2264'!J60)</f>
        <v>26</v>
      </c>
      <c r="K60" s="57">
        <f>SUM('ASR2004:ASR2264'!K60)</f>
        <v>10</v>
      </c>
      <c r="L60" s="156">
        <f>SUM('ASR2004:ASR2264'!L60)</f>
        <v>30</v>
      </c>
      <c r="M60" s="144">
        <f>SUM('ASR2004:ASR2264'!M60)</f>
        <v>24</v>
      </c>
    </row>
    <row r="61" spans="1:13" s="8" customFormat="1" ht="11.25" customHeight="1">
      <c r="A61" s="10" t="s">
        <v>9</v>
      </c>
      <c r="B61" s="57">
        <f>SUM('ASR2004:ASR2264'!B61)</f>
        <v>6</v>
      </c>
      <c r="C61" s="57">
        <f>SUM('ASR2004:ASR2264'!C61)</f>
        <v>4</v>
      </c>
      <c r="D61" s="57">
        <f>SUM('ASR2004:ASR2264'!D61)</f>
        <v>3</v>
      </c>
      <c r="E61" s="57">
        <f>SUM('ASR2004:ASR2264'!E61)</f>
        <v>1</v>
      </c>
      <c r="F61" s="57">
        <f>SUM('ASR2004:ASR2264'!F61)</f>
        <v>1</v>
      </c>
      <c r="G61" s="57">
        <f>SUM('ASR2004:ASR2264'!G61)</f>
        <v>4</v>
      </c>
      <c r="H61" s="57">
        <f>SUM('ASR2004:ASR2264'!H61)</f>
        <v>1</v>
      </c>
      <c r="I61" s="57">
        <f>SUM('ASR2004:ASR2264'!I61)</f>
        <v>5</v>
      </c>
      <c r="J61" s="57">
        <f>SUM('ASR2004:ASR2264'!J61)</f>
        <v>3</v>
      </c>
      <c r="K61" s="57">
        <f>SUM('ASR2004:ASR2264'!K61)</f>
        <v>2</v>
      </c>
      <c r="L61" s="156">
        <f>SUM('ASR2004:ASR2264'!L61)</f>
        <v>2</v>
      </c>
      <c r="M61" s="144">
        <f>SUM('ASR2004:ASR2264'!M61)</f>
        <v>1</v>
      </c>
    </row>
    <row r="62" spans="1:13" s="8" customFormat="1" ht="11.25" customHeight="1">
      <c r="A62" s="10" t="s">
        <v>8</v>
      </c>
      <c r="B62" s="57">
        <f>SUM('ASR2004:ASR2264'!B62)</f>
        <v>2</v>
      </c>
      <c r="C62" s="57">
        <f>SUM('ASR2004:ASR2264'!C62)</f>
        <v>1</v>
      </c>
      <c r="D62" s="57">
        <f>SUM('ASR2004:ASR2264'!D62)</f>
        <v>1</v>
      </c>
      <c r="E62" s="57">
        <f>SUM('ASR2004:ASR2264'!E62)</f>
        <v>0</v>
      </c>
      <c r="F62" s="57">
        <f>SUM('ASR2004:ASR2264'!F62)</f>
        <v>1</v>
      </c>
      <c r="G62" s="57">
        <f>SUM('ASR2004:ASR2264'!G62)</f>
        <v>0</v>
      </c>
      <c r="H62" s="57">
        <f>SUM('ASR2004:ASR2264'!H62)</f>
        <v>0</v>
      </c>
      <c r="I62" s="57">
        <f>SUM('ASR2004:ASR2264'!I62)</f>
        <v>1</v>
      </c>
      <c r="J62" s="57">
        <f>SUM('ASR2004:ASR2264'!J62)</f>
        <v>0</v>
      </c>
      <c r="K62" s="57">
        <f>SUM('ASR2004:ASR2264'!K62)</f>
        <v>1</v>
      </c>
      <c r="L62" s="156">
        <f>SUM('ASR2004:ASR2264'!L62)</f>
        <v>0</v>
      </c>
      <c r="M62" s="144">
        <f>SUM('ASR2004:ASR2264'!M62)</f>
        <v>0</v>
      </c>
    </row>
    <row r="63" spans="1:13" s="8" customFormat="1" ht="11.25" customHeight="1">
      <c r="A63" s="10" t="s">
        <v>6</v>
      </c>
      <c r="B63" s="57">
        <f>SUM('ASR2004:ASR2264'!B63)</f>
        <v>1</v>
      </c>
      <c r="C63" s="57">
        <f>SUM('ASR2004:ASR2264'!C63)</f>
        <v>0</v>
      </c>
      <c r="D63" s="57">
        <f>SUM('ASR2004:ASR2264'!D63)</f>
        <v>0</v>
      </c>
      <c r="E63" s="57">
        <f>SUM('ASR2004:ASR2264'!E63)</f>
        <v>0</v>
      </c>
      <c r="F63" s="57">
        <f>SUM('ASR2004:ASR2264'!F63)</f>
        <v>2</v>
      </c>
      <c r="G63" s="57">
        <f>SUM('ASR2004:ASR2264'!G63)</f>
        <v>1</v>
      </c>
      <c r="H63" s="57">
        <f>SUM('ASR2004:ASR2264'!H63)</f>
        <v>0</v>
      </c>
      <c r="I63" s="57">
        <f>SUM('ASR2004:ASR2264'!I63)</f>
        <v>1</v>
      </c>
      <c r="J63" s="57">
        <f>SUM('ASR2004:ASR2264'!J63)</f>
        <v>0</v>
      </c>
      <c r="K63" s="57">
        <f>SUM('ASR2004:ASR2264'!K63)</f>
        <v>0</v>
      </c>
      <c r="L63" s="156">
        <f>SUM('ASR2004:ASR2264'!L63)</f>
        <v>0</v>
      </c>
      <c r="M63" s="144">
        <f>SUM('ASR2004:ASR2264'!M63)</f>
        <v>1</v>
      </c>
    </row>
    <row r="64" spans="1:13" s="8" customFormat="1" ht="11.25" customHeight="1">
      <c r="A64" s="52" t="s">
        <v>141</v>
      </c>
      <c r="B64" s="57">
        <f>SUM('ASR2004:ASR2264'!B64)</f>
        <v>174</v>
      </c>
      <c r="C64" s="57">
        <f>SUM('ASR2004:ASR2264'!C64)</f>
        <v>90</v>
      </c>
      <c r="D64" s="57">
        <f>SUM('ASR2004:ASR2264'!D64)</f>
        <v>126</v>
      </c>
      <c r="E64" s="57">
        <f>SUM('ASR2004:ASR2264'!E64)</f>
        <v>97</v>
      </c>
      <c r="F64" s="57">
        <f>SUM('ASR2004:ASR2264'!F64)</f>
        <v>88</v>
      </c>
      <c r="G64" s="57">
        <f>SUM('ASR2004:ASR2264'!G64)</f>
        <v>38</v>
      </c>
      <c r="H64" s="57">
        <f>SUM('ASR2004:ASR2264'!H64)</f>
        <v>33</v>
      </c>
      <c r="I64" s="57">
        <f>SUM('ASR2004:ASR2264'!I64)</f>
        <v>23</v>
      </c>
      <c r="J64" s="57">
        <f>SUM('ASR2004:ASR2264'!J64)</f>
        <v>5</v>
      </c>
      <c r="K64" s="57">
        <f>SUM('ASR2004:ASR2264'!K64)</f>
        <v>16</v>
      </c>
      <c r="L64" s="156">
        <f>SUM('ASR2004:ASR2264'!L64)</f>
        <v>38</v>
      </c>
      <c r="M64" s="144">
        <f>SUM('ASR2004:ASR2264'!M64)</f>
        <v>58</v>
      </c>
    </row>
    <row r="65" spans="1:13" s="8" customFormat="1" ht="11.25" customHeight="1" thickBot="1">
      <c r="A65" s="12" t="s">
        <v>16</v>
      </c>
      <c r="B65" s="70">
        <f>SUM(B54:B64)</f>
        <v>376</v>
      </c>
      <c r="C65" s="70">
        <f t="shared" ref="C65:L65" si="6">SUM(C54:C64)</f>
        <v>313</v>
      </c>
      <c r="D65" s="70">
        <f t="shared" si="6"/>
        <v>306</v>
      </c>
      <c r="E65" s="70">
        <f t="shared" si="6"/>
        <v>332</v>
      </c>
      <c r="F65" s="70">
        <f t="shared" si="6"/>
        <v>356</v>
      </c>
      <c r="G65" s="70">
        <f t="shared" si="6"/>
        <v>293</v>
      </c>
      <c r="H65" s="70">
        <f t="shared" si="6"/>
        <v>373</v>
      </c>
      <c r="I65" s="70">
        <f t="shared" si="6"/>
        <v>284</v>
      </c>
      <c r="J65" s="70">
        <f t="shared" si="6"/>
        <v>302</v>
      </c>
      <c r="K65" s="70">
        <f t="shared" si="6"/>
        <v>179</v>
      </c>
      <c r="L65" s="165">
        <f t="shared" si="6"/>
        <v>329</v>
      </c>
      <c r="M65" s="153">
        <f>SUM(M54:M64)</f>
        <v>557</v>
      </c>
    </row>
    <row r="66" spans="1:13" s="8" customFormat="1" ht="15.75" customHeight="1">
      <c r="A66" s="6"/>
      <c r="B66" s="7"/>
      <c r="C66" s="7"/>
      <c r="D66" s="7"/>
      <c r="E66" s="7"/>
      <c r="F66" s="7"/>
      <c r="G66" s="49"/>
      <c r="H66" s="7"/>
      <c r="I66" s="7"/>
      <c r="J66" s="7"/>
      <c r="K66" s="7"/>
      <c r="L66" s="7"/>
      <c r="M66" s="7"/>
    </row>
    <row r="67" spans="1:13" ht="12" customHeight="1">
      <c r="A67" s="6"/>
      <c r="B67" s="7"/>
      <c r="C67" s="7"/>
      <c r="D67" s="7"/>
      <c r="E67" s="7"/>
      <c r="F67" s="7"/>
      <c r="G67" s="49"/>
      <c r="H67" s="7"/>
      <c r="I67" s="7"/>
      <c r="J67" s="7"/>
      <c r="K67" s="7"/>
      <c r="L67" s="7"/>
      <c r="M67" s="7"/>
    </row>
    <row r="68" spans="1:13" ht="11.25" customHeight="1">
      <c r="A68" s="6"/>
      <c r="B68" s="7"/>
      <c r="C68" s="7"/>
      <c r="D68" s="7"/>
      <c r="E68" s="7"/>
      <c r="F68" s="7"/>
      <c r="G68" s="49"/>
      <c r="H68" s="7"/>
      <c r="I68" s="7"/>
      <c r="J68" s="7"/>
      <c r="K68" s="7"/>
      <c r="L68" s="7"/>
      <c r="M68" s="7"/>
    </row>
    <row r="69" spans="1:13" ht="11.25" customHeight="1">
      <c r="A69" s="6"/>
      <c r="B69" s="7"/>
      <c r="C69" s="7"/>
      <c r="D69" s="7"/>
      <c r="E69" s="7"/>
      <c r="F69" s="7"/>
      <c r="G69" s="49"/>
      <c r="H69" s="7"/>
      <c r="I69" s="7"/>
      <c r="J69" s="7"/>
      <c r="K69" s="7"/>
      <c r="L69" s="7"/>
      <c r="M69" s="7"/>
    </row>
    <row r="70" spans="1:13">
      <c r="B70" s="13"/>
      <c r="C70" s="13"/>
      <c r="D70" s="13"/>
      <c r="E70" s="13"/>
      <c r="F70" s="13"/>
      <c r="G70" s="13"/>
      <c r="H70" s="13"/>
      <c r="I70" s="13"/>
      <c r="J70" s="13"/>
      <c r="K70" s="13"/>
      <c r="L70" s="13"/>
      <c r="M70" s="13"/>
    </row>
  </sheetData>
  <printOptions horizontalCentered="1" verticalCentered="1"/>
  <pageMargins left="0.14000000000000001" right="0.16" top="0.25" bottom="0.5" header="0.5" footer="0.25"/>
  <pageSetup scale="95" firstPageNumber="3" orientation="portrait" useFirstPageNumber="1" r:id="rId1"/>
  <headerFooter alignWithMargins="0">
    <oddFooter>&amp;R5 of 51</oddFooter>
  </headerFooter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70"/>
  <sheetViews>
    <sheetView view="pageBreakPreview" zoomScale="110" zoomScaleNormal="100" zoomScaleSheetLayoutView="110" workbookViewId="0">
      <selection activeCell="M15" sqref="M15"/>
    </sheetView>
  </sheetViews>
  <sheetFormatPr defaultRowHeight="12.75"/>
  <cols>
    <col min="1" max="1" width="22.85546875" style="1" customWidth="1"/>
    <col min="2" max="13" width="7.140625" style="1" customWidth="1"/>
    <col min="14" max="14" width="4.42578125" style="1" customWidth="1"/>
    <col min="15" max="22" width="9.140625" style="1" customWidth="1"/>
    <col min="23" max="16384" width="9.140625" style="1"/>
  </cols>
  <sheetData>
    <row r="1" spans="1:21" ht="18" customHeight="1">
      <c r="A1" s="210"/>
      <c r="B1" s="211"/>
      <c r="C1" s="211"/>
      <c r="D1" s="211"/>
      <c r="E1" s="211"/>
      <c r="F1" s="211"/>
      <c r="G1" s="211"/>
      <c r="H1" s="211"/>
      <c r="I1" s="212"/>
      <c r="J1" s="211"/>
      <c r="K1" s="211"/>
      <c r="L1" s="213"/>
      <c r="M1" s="214" t="s">
        <v>22</v>
      </c>
    </row>
    <row r="2" spans="1:21" ht="18" customHeight="1">
      <c r="A2" s="215"/>
      <c r="B2" s="132"/>
      <c r="C2" s="132"/>
      <c r="D2" s="132"/>
      <c r="E2" s="132"/>
      <c r="F2" s="132"/>
      <c r="G2" s="132"/>
      <c r="H2" s="132"/>
      <c r="I2" s="130"/>
      <c r="J2" s="132"/>
      <c r="K2" s="132"/>
      <c r="L2" s="209"/>
      <c r="M2" s="216" t="s">
        <v>13</v>
      </c>
    </row>
    <row r="3" spans="1:21" s="5" customFormat="1" ht="18" customHeight="1">
      <c r="A3" s="217"/>
      <c r="B3" s="131"/>
      <c r="C3" s="131"/>
      <c r="D3" s="131"/>
      <c r="E3" s="131"/>
      <c r="F3" s="131"/>
      <c r="G3" s="131"/>
      <c r="H3" s="131"/>
      <c r="I3" s="133"/>
      <c r="J3" s="131"/>
      <c r="K3" s="131"/>
      <c r="L3" s="143"/>
      <c r="M3" s="218" t="s">
        <v>2186</v>
      </c>
    </row>
    <row r="4" spans="1:21" s="8" customFormat="1" ht="6.75" customHeight="1" thickBot="1">
      <c r="A4" s="219"/>
      <c r="B4" s="39"/>
      <c r="C4" s="39"/>
      <c r="D4" s="39"/>
      <c r="E4" s="39"/>
      <c r="F4" s="39"/>
      <c r="G4" s="48"/>
      <c r="H4" s="39"/>
      <c r="I4" s="39"/>
      <c r="J4" s="39"/>
      <c r="K4" s="39"/>
      <c r="L4" s="154"/>
      <c r="M4" s="220"/>
    </row>
    <row r="5" spans="1:21" s="8" customFormat="1" ht="11.25" customHeight="1" thickBot="1">
      <c r="A5" s="53" t="s">
        <v>19</v>
      </c>
      <c r="B5" s="50">
        <v>41275</v>
      </c>
      <c r="C5" s="47">
        <v>41306</v>
      </c>
      <c r="D5" s="47">
        <v>41334</v>
      </c>
      <c r="E5" s="47">
        <v>41365</v>
      </c>
      <c r="F5" s="47">
        <v>41395</v>
      </c>
      <c r="G5" s="47">
        <v>41426</v>
      </c>
      <c r="H5" s="47">
        <v>41456</v>
      </c>
      <c r="I5" s="47">
        <v>41487</v>
      </c>
      <c r="J5" s="47">
        <v>41518</v>
      </c>
      <c r="K5" s="47">
        <v>41548</v>
      </c>
      <c r="L5" s="47">
        <v>41579</v>
      </c>
      <c r="M5" s="51">
        <v>41609</v>
      </c>
    </row>
    <row r="6" spans="1:21" s="8" customFormat="1" ht="11.25" customHeight="1">
      <c r="A6" s="41" t="s">
        <v>129</v>
      </c>
      <c r="B6" s="57">
        <f>SUM('ASR3001:ASR3044'!B6)</f>
        <v>397</v>
      </c>
      <c r="C6" s="57">
        <f>SUM('ASR3001:ASR3044'!C6)</f>
        <v>325</v>
      </c>
      <c r="D6" s="57">
        <f>SUM('ASR3001:ASR3044'!D6)</f>
        <v>269</v>
      </c>
      <c r="E6" s="57">
        <f>SUM('ASR3001:ASR3044'!E6)</f>
        <v>237</v>
      </c>
      <c r="F6" s="57">
        <f>SUM('ASR3001:ASR3044'!F6)</f>
        <v>275</v>
      </c>
      <c r="G6" s="57">
        <f>SUM('ASR3001:ASR3044'!G6)</f>
        <v>348</v>
      </c>
      <c r="H6" s="57">
        <f>SUM('ASR3001:ASR3044'!H6)</f>
        <v>454</v>
      </c>
      <c r="I6" s="57">
        <f>SUM('ASR3001:ASR3044'!I6)</f>
        <v>587</v>
      </c>
      <c r="J6" s="57">
        <f>SUM('ASR3001:ASR3044'!J6)</f>
        <v>588</v>
      </c>
      <c r="K6" s="57">
        <f>SUM('ASR3001:ASR3044'!K6)</f>
        <v>343</v>
      </c>
      <c r="L6" s="156">
        <f>SUM('ASR3001:ASR3044'!L6)</f>
        <v>524</v>
      </c>
      <c r="M6" s="144">
        <f>SUM('ASR3001:ASR3044'!M6)</f>
        <v>521</v>
      </c>
    </row>
    <row r="7" spans="1:21" s="8" customFormat="1" ht="11.25" customHeight="1">
      <c r="A7" s="42" t="s">
        <v>18</v>
      </c>
      <c r="B7" s="57">
        <f>SUM('ASR3001:ASR3044'!B7)</f>
        <v>584</v>
      </c>
      <c r="C7" s="57">
        <f>SUM('ASR3001:ASR3044'!C7)</f>
        <v>611</v>
      </c>
      <c r="D7" s="57">
        <f>SUM('ASR3001:ASR3044'!D7)</f>
        <v>655</v>
      </c>
      <c r="E7" s="57">
        <f>SUM('ASR3001:ASR3044'!E7)</f>
        <v>592</v>
      </c>
      <c r="F7" s="57">
        <f>SUM('ASR3001:ASR3044'!F7)</f>
        <v>657</v>
      </c>
      <c r="G7" s="57">
        <f>SUM('ASR3001:ASR3044'!G7)</f>
        <v>661</v>
      </c>
      <c r="H7" s="57">
        <f>SUM('ASR3001:ASR3044'!H7)</f>
        <v>754</v>
      </c>
      <c r="I7" s="57">
        <f>SUM('ASR3001:ASR3044'!I7)</f>
        <v>826</v>
      </c>
      <c r="J7" s="57">
        <f>SUM('ASR3001:ASR3044'!J7)</f>
        <v>792</v>
      </c>
      <c r="K7" s="57">
        <f>SUM('ASR3001:ASR3044'!K7)</f>
        <v>618</v>
      </c>
      <c r="L7" s="156">
        <f>SUM('ASR3001:ASR3044'!L7)</f>
        <v>746</v>
      </c>
      <c r="M7" s="144">
        <f>SUM('ASR3001:ASR3044'!M7)</f>
        <v>773</v>
      </c>
    </row>
    <row r="8" spans="1:21" s="8" customFormat="1" ht="11.25" customHeight="1" thickBot="1">
      <c r="A8" s="43" t="s">
        <v>14</v>
      </c>
      <c r="B8" s="58">
        <f>SUM(B6:B7)</f>
        <v>981</v>
      </c>
      <c r="C8" s="58">
        <f>SUM(C6:C7)</f>
        <v>936</v>
      </c>
      <c r="D8" s="58">
        <f t="shared" ref="D8:L8" si="0">SUM(D6:D7)</f>
        <v>924</v>
      </c>
      <c r="E8" s="58">
        <f t="shared" si="0"/>
        <v>829</v>
      </c>
      <c r="F8" s="58">
        <f t="shared" si="0"/>
        <v>932</v>
      </c>
      <c r="G8" s="58">
        <f t="shared" si="0"/>
        <v>1009</v>
      </c>
      <c r="H8" s="58">
        <f t="shared" si="0"/>
        <v>1208</v>
      </c>
      <c r="I8" s="58">
        <f t="shared" si="0"/>
        <v>1413</v>
      </c>
      <c r="J8" s="58">
        <f t="shared" si="0"/>
        <v>1380</v>
      </c>
      <c r="K8" s="58">
        <f t="shared" si="0"/>
        <v>961</v>
      </c>
      <c r="L8" s="157">
        <f t="shared" si="0"/>
        <v>1270</v>
      </c>
      <c r="M8" s="145">
        <f>SUM(M6:M7)</f>
        <v>1294</v>
      </c>
    </row>
    <row r="9" spans="1:21" s="8" customFormat="1" ht="11.25" customHeight="1" thickBot="1">
      <c r="A9" s="54" t="s">
        <v>18</v>
      </c>
      <c r="B9" s="50">
        <v>41275</v>
      </c>
      <c r="C9" s="47">
        <v>41306</v>
      </c>
      <c r="D9" s="47">
        <v>41334</v>
      </c>
      <c r="E9" s="47">
        <v>41365</v>
      </c>
      <c r="F9" s="47">
        <v>41395</v>
      </c>
      <c r="G9" s="47">
        <v>41426</v>
      </c>
      <c r="H9" s="47">
        <v>41456</v>
      </c>
      <c r="I9" s="47">
        <v>41487</v>
      </c>
      <c r="J9" s="47">
        <v>41518</v>
      </c>
      <c r="K9" s="47">
        <v>41548</v>
      </c>
      <c r="L9" s="47">
        <v>41579</v>
      </c>
      <c r="M9" s="51">
        <v>41609</v>
      </c>
      <c r="O9" s="137"/>
      <c r="P9" s="137"/>
      <c r="Q9" s="137"/>
      <c r="R9" s="137"/>
      <c r="S9" s="137"/>
      <c r="T9" s="137"/>
      <c r="U9" s="137"/>
    </row>
    <row r="10" spans="1:21" s="8" customFormat="1" ht="11.25" customHeight="1">
      <c r="A10" s="9" t="s">
        <v>128</v>
      </c>
      <c r="B10" s="57">
        <f>SUM('ASR3001:ASR3044'!B10)</f>
        <v>199</v>
      </c>
      <c r="C10" s="57">
        <f>SUM('ASR3001:ASR3044'!C10)</f>
        <v>168</v>
      </c>
      <c r="D10" s="57">
        <f>SUM('ASR3001:ASR3044'!D10)</f>
        <v>214</v>
      </c>
      <c r="E10" s="57">
        <f>SUM('ASR3001:ASR3044'!E10)</f>
        <v>153</v>
      </c>
      <c r="F10" s="57">
        <f>SUM('ASR3001:ASR3044'!F10)</f>
        <v>177</v>
      </c>
      <c r="G10" s="57">
        <f>SUM('ASR3001:ASR3044'!G10)</f>
        <v>166</v>
      </c>
      <c r="H10" s="57">
        <f>SUM('ASR3001:ASR3044'!H10)</f>
        <v>210</v>
      </c>
      <c r="I10" s="57">
        <f>SUM('ASR3001:ASR3044'!I10)</f>
        <v>242</v>
      </c>
      <c r="J10" s="57">
        <f>SUM('ASR3001:ASR3044'!J10)</f>
        <v>192</v>
      </c>
      <c r="K10" s="57">
        <f>SUM('ASR3001:ASR3044'!K10)</f>
        <v>176</v>
      </c>
      <c r="L10" s="156">
        <f>SUM('ASR3001:ASR3044'!L10)</f>
        <v>229</v>
      </c>
      <c r="M10" s="144">
        <f>SUM('ASR3001:ASR3044'!M10)</f>
        <v>247</v>
      </c>
      <c r="O10" s="123"/>
      <c r="P10" s="123"/>
      <c r="Q10" s="123"/>
      <c r="R10" s="123"/>
      <c r="S10" s="123"/>
      <c r="T10" s="123"/>
      <c r="U10" s="123"/>
    </row>
    <row r="11" spans="1:21" s="8" customFormat="1" ht="11.25" customHeight="1">
      <c r="A11" s="9" t="s">
        <v>127</v>
      </c>
      <c r="B11" s="57">
        <f>SUM('ASR3001:ASR3044'!B11)</f>
        <v>153</v>
      </c>
      <c r="C11" s="57">
        <f>SUM('ASR3001:ASR3044'!C11)</f>
        <v>150</v>
      </c>
      <c r="D11" s="57">
        <f>SUM('ASR3001:ASR3044'!D11)</f>
        <v>155</v>
      </c>
      <c r="E11" s="57">
        <f>SUM('ASR3001:ASR3044'!E11)</f>
        <v>135</v>
      </c>
      <c r="F11" s="57">
        <f>SUM('ASR3001:ASR3044'!F11)</f>
        <v>168</v>
      </c>
      <c r="G11" s="57">
        <f>SUM('ASR3001:ASR3044'!G11)</f>
        <v>187</v>
      </c>
      <c r="H11" s="57">
        <f>SUM('ASR3001:ASR3044'!H11)</f>
        <v>245</v>
      </c>
      <c r="I11" s="57">
        <f>SUM('ASR3001:ASR3044'!I11)</f>
        <v>230</v>
      </c>
      <c r="J11" s="57">
        <f>SUM('ASR3001:ASR3044'!J11)</f>
        <v>286</v>
      </c>
      <c r="K11" s="57">
        <f>SUM('ASR3001:ASR3044'!K11)</f>
        <v>136</v>
      </c>
      <c r="L11" s="156">
        <f>SUM('ASR3001:ASR3044'!L11)</f>
        <v>230</v>
      </c>
      <c r="M11" s="144">
        <f>SUM('ASR3001:ASR3044'!M11)</f>
        <v>240</v>
      </c>
      <c r="O11" s="123"/>
      <c r="P11" s="123"/>
      <c r="Q11" s="123"/>
      <c r="R11" s="123"/>
      <c r="S11" s="123"/>
      <c r="T11" s="123"/>
      <c r="U11" s="123"/>
    </row>
    <row r="12" spans="1:21" s="8" customFormat="1" ht="11.25" customHeight="1" thickBot="1">
      <c r="A12" s="2" t="s">
        <v>12</v>
      </c>
      <c r="B12" s="71">
        <f>SUM('ASR3001:ASR3044'!B12)</f>
        <v>232</v>
      </c>
      <c r="C12" s="71">
        <f>SUM('ASR3001:ASR3044'!C12)</f>
        <v>293</v>
      </c>
      <c r="D12" s="71">
        <f>SUM('ASR3001:ASR3044'!D12)</f>
        <v>286</v>
      </c>
      <c r="E12" s="71">
        <f>SUM('ASR3001:ASR3044'!E12)</f>
        <v>304</v>
      </c>
      <c r="F12" s="71">
        <f>SUM('ASR3001:ASR3044'!F12)</f>
        <v>312</v>
      </c>
      <c r="G12" s="71">
        <f>SUM('ASR3001:ASR3044'!G12)</f>
        <v>308</v>
      </c>
      <c r="H12" s="71">
        <f>SUM('ASR3001:ASR3044'!H12)</f>
        <v>299</v>
      </c>
      <c r="I12" s="71">
        <f>SUM('ASR3001:ASR3044'!I12)</f>
        <v>354</v>
      </c>
      <c r="J12" s="71">
        <f>SUM('ASR3001:ASR3044'!J12)</f>
        <v>314</v>
      </c>
      <c r="K12" s="71">
        <f>SUM('ASR3001:ASR3044'!K12)</f>
        <v>306</v>
      </c>
      <c r="L12" s="164">
        <f>SUM('ASR3001:ASR3044'!L12)</f>
        <v>287</v>
      </c>
      <c r="M12" s="146">
        <f>SUM('ASR3001:ASR3044'!M12)</f>
        <v>286</v>
      </c>
      <c r="O12" s="124"/>
      <c r="P12" s="124"/>
      <c r="Q12" s="124"/>
      <c r="R12" s="124"/>
      <c r="S12" s="124"/>
      <c r="T12" s="124"/>
      <c r="U12" s="124"/>
    </row>
    <row r="13" spans="1:21" s="8" customFormat="1" ht="5.0999999999999996" customHeight="1" thickBot="1">
      <c r="A13" s="3"/>
      <c r="B13" s="17"/>
      <c r="C13" s="17"/>
      <c r="D13" s="17"/>
      <c r="E13" s="17"/>
      <c r="F13" s="17"/>
      <c r="G13" s="17"/>
      <c r="H13" s="17"/>
      <c r="I13" s="17"/>
      <c r="J13" s="17"/>
      <c r="K13" s="17"/>
      <c r="L13" s="17"/>
      <c r="M13" s="147"/>
    </row>
    <row r="14" spans="1:21" s="8" customFormat="1" ht="11.25" customHeight="1">
      <c r="A14" s="44" t="s">
        <v>131</v>
      </c>
      <c r="B14" s="57">
        <f>SUM('ASR3001:ASR3044'!B14)</f>
        <v>66869</v>
      </c>
      <c r="C14" s="57">
        <f>SUM('ASR3001:ASR3044'!C14)</f>
        <v>69480</v>
      </c>
      <c r="D14" s="57">
        <f>SUM('ASR3001:ASR3044'!D14)</f>
        <v>69814</v>
      </c>
      <c r="E14" s="57">
        <f>SUM('ASR3001:ASR3044'!E14)</f>
        <v>68519</v>
      </c>
      <c r="F14" s="57">
        <f>SUM('ASR3001:ASR3044'!F14)</f>
        <v>67893</v>
      </c>
      <c r="G14" s="57">
        <f>SUM('ASR3001:ASR3044'!G14)</f>
        <v>69227</v>
      </c>
      <c r="H14" s="57">
        <f>SUM('ASR3001:ASR3044'!H14)</f>
        <v>71443</v>
      </c>
      <c r="I14" s="57">
        <f>SUM('ASR3001:ASR3044'!I14)</f>
        <v>77539.199999999997</v>
      </c>
      <c r="J14" s="57">
        <f>SUM('ASR3001:ASR3044'!J14)</f>
        <v>70753.8</v>
      </c>
      <c r="K14" s="57">
        <f>SUM('ASR3001:ASR3044'!K14)</f>
        <v>69783</v>
      </c>
      <c r="L14" s="156">
        <f>SUM('ASR3001:ASR3044'!L14)</f>
        <v>66678</v>
      </c>
      <c r="M14" s="166">
        <f>SUM('ASR3001:ASR3044'!M14)</f>
        <v>67399</v>
      </c>
      <c r="N14" s="15"/>
      <c r="O14" s="125"/>
      <c r="P14" s="125"/>
      <c r="Q14" s="125"/>
      <c r="R14" s="125"/>
      <c r="S14" s="125"/>
      <c r="T14" s="125"/>
      <c r="U14" s="125"/>
    </row>
    <row r="15" spans="1:21" s="8" customFormat="1" ht="11.25" customHeight="1">
      <c r="A15" s="45" t="s">
        <v>132</v>
      </c>
      <c r="B15" s="62">
        <f>IFERROR((SUMIFS(Jan!$N:$N,Jan!$K:$K,1)+SUMIFS(Jan!$N:$N,Jan!$B:$B,"&gt;1"))/(COUNTIFS(Jan!$K:$K,1)+COUNTIFS(Jan!$B:$B,"&gt;1")),"")</f>
        <v>23.357243887654072</v>
      </c>
      <c r="C15" s="57">
        <f>AVERAGE('ASR3001:ASR3044'!C15)</f>
        <v>17.302</v>
      </c>
      <c r="D15" s="57">
        <f>AVERAGE('ASR3001:ASR3044'!D15)</f>
        <v>18.036000000000001</v>
      </c>
      <c r="E15" s="57">
        <f>AVERAGE('ASR3001:ASR3044'!E15)</f>
        <v>18.157999999999998</v>
      </c>
      <c r="F15" s="57">
        <f>AVERAGE('ASR3001:ASR3044'!F15)</f>
        <v>16.631999999999998</v>
      </c>
      <c r="G15" s="57">
        <f>AVERAGE('ASR3001:ASR3044'!G15)</f>
        <v>16.936</v>
      </c>
      <c r="H15" s="57">
        <f>AVERAGE('ASR3001:ASR3044'!H15)</f>
        <v>15.716000000000003</v>
      </c>
      <c r="I15" s="57">
        <f>AVERAGE('ASR3001:ASR3044'!I15)</f>
        <v>17.268000000000001</v>
      </c>
      <c r="J15" s="57">
        <f>AVERAGE('ASR3001:ASR3044'!J15)</f>
        <v>16.385999999999999</v>
      </c>
      <c r="K15" s="57">
        <f>AVERAGE('ASR3001:ASR3044'!K15)</f>
        <v>17.334</v>
      </c>
      <c r="L15" s="62" t="str">
        <f>IFERROR((SUMIFS(#REF!,#REF!,1)+SUMIFS(#REF!,#REF!,"&gt;1"))/(COUNTIFS(#REF!,1)+COUNTIFS(#REF!,"&gt;1")),"")</f>
        <v/>
      </c>
      <c r="M15" s="221" t="str">
        <f>IFERROR((SUMIFS(#REF!,#REF!,1)+SUMIFS(#REF!,#REF!,"&gt;1"))/(COUNTIFS(#REF!,1)+COUNTIFS(#REF!,"&gt;1")),"")</f>
        <v/>
      </c>
      <c r="N15" s="15"/>
    </row>
    <row r="16" spans="1:21" s="8" customFormat="1" ht="11.25" customHeight="1">
      <c r="A16" s="45" t="s">
        <v>133</v>
      </c>
      <c r="B16" s="62">
        <f>IFERROR(AVERAGEIFS(Jan!$N:$N,Jan!$F:$F,800),"")</f>
        <v>27.30427046263345</v>
      </c>
      <c r="C16" s="57">
        <f>AVERAGE('ASR3001:ASR3044'!C16)</f>
        <v>21.3</v>
      </c>
      <c r="D16" s="57">
        <f>AVERAGE('ASR3001:ASR3044'!D16)</f>
        <v>21.486000000000001</v>
      </c>
      <c r="E16" s="57">
        <f>AVERAGE('ASR3001:ASR3044'!E16)</f>
        <v>21.389999999999997</v>
      </c>
      <c r="F16" s="57">
        <f>AVERAGE('ASR3001:ASR3044'!F16)</f>
        <v>21.848000000000003</v>
      </c>
      <c r="G16" s="57">
        <f>AVERAGE('ASR3001:ASR3044'!G16)</f>
        <v>22.125999999999998</v>
      </c>
      <c r="H16" s="57">
        <f>AVERAGE('ASR3001:ASR3044'!H16)</f>
        <v>20.956</v>
      </c>
      <c r="I16" s="57">
        <f>AVERAGE('ASR3001:ASR3044'!I16)</f>
        <v>21.633999999999997</v>
      </c>
      <c r="J16" s="57">
        <f>AVERAGE('ASR3001:ASR3044'!J16)</f>
        <v>21.915999999999997</v>
      </c>
      <c r="K16" s="57">
        <f>AVERAGE('ASR3001:ASR3044'!K16)</f>
        <v>21.742000000000001</v>
      </c>
      <c r="L16" s="57"/>
      <c r="M16" s="221"/>
    </row>
    <row r="17" spans="1:14" s="8" customFormat="1" ht="11.25" customHeight="1">
      <c r="A17" s="45" t="s">
        <v>134</v>
      </c>
      <c r="B17" s="63">
        <f>IFERROR((SUMIFS(Jan!$N:$N,Jan!$L:$L,1)+SUMIFS(Jan!$N:$N,Jan!$E:$E,"&gt;1"))/(COUNTIFS(Jan!$L:$L,1)+COUNTIFS(Jan!$E:$E,"&gt;1")),"")</f>
        <v>23.648231190832089</v>
      </c>
      <c r="C17" s="207">
        <f>AVERAGE('ASR3001:ASR3044'!C17)</f>
        <v>16.558</v>
      </c>
      <c r="D17" s="207">
        <f>AVERAGE('ASR3001:ASR3044'!D17)</f>
        <v>15.770000000000001</v>
      </c>
      <c r="E17" s="207">
        <f>AVERAGE('ASR3001:ASR3044'!E17)</f>
        <v>14.666</v>
      </c>
      <c r="F17" s="207">
        <f>AVERAGE('ASR3001:ASR3044'!F17)</f>
        <v>15.852</v>
      </c>
      <c r="G17" s="207">
        <f>AVERAGE('ASR3001:ASR3044'!G17)</f>
        <v>16.363999999999997</v>
      </c>
      <c r="H17" s="207">
        <f>AVERAGE('ASR3001:ASR3044'!H17)</f>
        <v>16.762</v>
      </c>
      <c r="I17" s="207">
        <f>AVERAGE('ASR3001:ASR3044'!I17)</f>
        <v>17.844000000000001</v>
      </c>
      <c r="J17" s="207">
        <f>AVERAGE('ASR3001:ASR3044'!J17)</f>
        <v>16.663999999999998</v>
      </c>
      <c r="K17" s="207">
        <f>AVERAGE('ASR3001:ASR3044'!K17)</f>
        <v>20.77</v>
      </c>
      <c r="L17" s="63" t="str">
        <f>IFERROR((SUMIFS(#REF!,#REF!,1)+SUMIFS(#REF!,#REF!,"&gt;1"))/(COUNTIFS(#REF!,1)+COUNTIFS(#REF!,"&gt;1")),"")</f>
        <v/>
      </c>
      <c r="M17" s="222" t="str">
        <f>IFERROR((SUMIFS(#REF!,#REF!,1)+SUMIFS(#REF!,#REF!,"&gt;1"))/(COUNTIFS(#REF!,1)+COUNTIFS(#REF!,"&gt;1")),"")</f>
        <v/>
      </c>
    </row>
    <row r="18" spans="1:14" s="8" customFormat="1" ht="11.25" customHeight="1" thickBot="1">
      <c r="A18" s="43" t="s">
        <v>135</v>
      </c>
      <c r="B18" s="64">
        <f>IFERROR(AVERAGEIFS(Jan!$M:$M,Jan!$F:$F,800),"")</f>
        <v>4.8509786476868326</v>
      </c>
      <c r="C18" s="207">
        <f>AVERAGE('ASR3001:ASR3044'!C18)</f>
        <v>16.142000000000003</v>
      </c>
      <c r="D18" s="207">
        <f>AVERAGE('ASR3001:ASR3044'!D18)</f>
        <v>15.837999999999999</v>
      </c>
      <c r="E18" s="207">
        <f>AVERAGE('ASR3001:ASR3044'!E18)</f>
        <v>13.214000000000002</v>
      </c>
      <c r="F18" s="207">
        <f>AVERAGE('ASR3001:ASR3044'!F18)</f>
        <v>14.8</v>
      </c>
      <c r="G18" s="207">
        <f>AVERAGE('ASR3001:ASR3044'!G18)</f>
        <v>13.87</v>
      </c>
      <c r="H18" s="207">
        <f>AVERAGE('ASR3001:ASR3044'!H18)</f>
        <v>15.286000000000001</v>
      </c>
      <c r="I18" s="207">
        <f>AVERAGE('ASR3001:ASR3044'!I18)</f>
        <v>14.945999999999998</v>
      </c>
      <c r="J18" s="207">
        <f>AVERAGE('ASR3001:ASR3044'!J18)</f>
        <v>13.158000000000001</v>
      </c>
      <c r="K18" s="207">
        <f>AVERAGE('ASR3001:ASR3044'!K18)</f>
        <v>12.244</v>
      </c>
      <c r="L18" s="64" t="str">
        <f>IFERROR(AVERAGEIFS(#REF!,#REF!,800),"")</f>
        <v/>
      </c>
      <c r="M18" s="223" t="str">
        <f>IFERROR(AVERAGEIFS(#REF!,#REF!,800),"")</f>
        <v/>
      </c>
    </row>
    <row r="19" spans="1:14" s="8" customFormat="1" ht="5.0999999999999996" customHeight="1" thickBot="1">
      <c r="A19" s="3"/>
      <c r="B19" s="17"/>
      <c r="C19" s="17"/>
      <c r="D19" s="17"/>
      <c r="E19" s="17"/>
      <c r="F19" s="17"/>
      <c r="G19" s="17"/>
      <c r="H19" s="17"/>
      <c r="I19" s="17"/>
      <c r="J19" s="17"/>
      <c r="K19" s="17"/>
      <c r="L19" s="17"/>
      <c r="M19" s="147"/>
    </row>
    <row r="20" spans="1:14" s="8" customFormat="1" ht="11.25" customHeight="1">
      <c r="A20" s="42" t="s">
        <v>52</v>
      </c>
      <c r="B20" s="65">
        <f>AVERAGE('ASR3001:ASR3044'!B20)</f>
        <v>31</v>
      </c>
      <c r="C20" s="65">
        <v>28</v>
      </c>
      <c r="D20" s="65">
        <f>AVERAGE('ASR3001:ASR3044'!D20)</f>
        <v>31</v>
      </c>
      <c r="E20" s="65">
        <f>AVERAGE('ASR3001:ASR3044'!E20)</f>
        <v>29.6</v>
      </c>
      <c r="F20" s="65">
        <f>AVERAGE('ASR3001:ASR3011'!F20)</f>
        <v>30</v>
      </c>
      <c r="G20" s="65">
        <f>AVERAGE('ASR3001:ASR3011'!G20)</f>
        <v>30</v>
      </c>
      <c r="H20" s="65">
        <f>AVERAGE('ASR3001:ASR3011'!H20)</f>
        <v>31</v>
      </c>
      <c r="I20" s="65">
        <f>AVERAGE('ASR3001:ASR3011'!I20)</f>
        <v>31</v>
      </c>
      <c r="J20" s="65">
        <f>AVERAGE('ASR3001:ASR3044'!J20)</f>
        <v>30</v>
      </c>
      <c r="K20" s="65">
        <f>AVERAGE('ASR3001:ASR3044'!K20)</f>
        <v>31</v>
      </c>
      <c r="L20" s="161">
        <f>AVERAGE('ASR3001:ASR3044'!L20)</f>
        <v>30</v>
      </c>
      <c r="M20" s="148">
        <f>AVERAGE('ASR3001:ASR3044'!M20)</f>
        <v>31</v>
      </c>
    </row>
    <row r="21" spans="1:14" s="8" customFormat="1" ht="11.25" customHeight="1">
      <c r="A21" s="9" t="s">
        <v>15</v>
      </c>
      <c r="B21" s="66">
        <f t="shared" ref="B21:L21" si="1">B12/B20</f>
        <v>7.4838709677419351</v>
      </c>
      <c r="C21" s="66">
        <f t="shared" si="1"/>
        <v>10.464285714285714</v>
      </c>
      <c r="D21" s="66">
        <f t="shared" si="1"/>
        <v>9.2258064516129039</v>
      </c>
      <c r="E21" s="66">
        <f t="shared" si="1"/>
        <v>10.27027027027027</v>
      </c>
      <c r="F21" s="66">
        <f t="shared" si="1"/>
        <v>10.4</v>
      </c>
      <c r="G21" s="66">
        <f t="shared" si="1"/>
        <v>10.266666666666667</v>
      </c>
      <c r="H21" s="66">
        <f t="shared" si="1"/>
        <v>9.6451612903225801</v>
      </c>
      <c r="I21" s="66">
        <f t="shared" si="1"/>
        <v>11.419354838709678</v>
      </c>
      <c r="J21" s="66">
        <f t="shared" si="1"/>
        <v>10.466666666666667</v>
      </c>
      <c r="K21" s="66">
        <f t="shared" si="1"/>
        <v>9.870967741935484</v>
      </c>
      <c r="L21" s="162">
        <f t="shared" si="1"/>
        <v>9.5666666666666664</v>
      </c>
      <c r="M21" s="149">
        <f>M12/M20</f>
        <v>9.2258064516129039</v>
      </c>
    </row>
    <row r="22" spans="1:14" s="8" customFormat="1" ht="11.25" customHeight="1">
      <c r="A22" s="9" t="s">
        <v>130</v>
      </c>
      <c r="B22" s="67">
        <f>IFERROR(B12/B7,0)</f>
        <v>0.39726027397260272</v>
      </c>
      <c r="C22" s="67">
        <f>IFERROR(C12/C7,0)</f>
        <v>0.47954173486088381</v>
      </c>
      <c r="D22" s="67">
        <f>IFERROR(D12/D7,0)</f>
        <v>0.43664122137404582</v>
      </c>
      <c r="E22" s="67">
        <f>IFERROR(E12/E7,0)</f>
        <v>0.51351351351351349</v>
      </c>
      <c r="F22" s="67">
        <f>IFERROR(F12/F7,0)</f>
        <v>0.47488584474885842</v>
      </c>
      <c r="G22" s="67">
        <f t="shared" ref="G22:L22" si="2">IFERROR(G12/G7,0)</f>
        <v>0.4659606656580938</v>
      </c>
      <c r="H22" s="67">
        <f t="shared" si="2"/>
        <v>0.39655172413793105</v>
      </c>
      <c r="I22" s="67">
        <f t="shared" si="2"/>
        <v>0.42857142857142855</v>
      </c>
      <c r="J22" s="67">
        <f t="shared" si="2"/>
        <v>0.39646464646464646</v>
      </c>
      <c r="K22" s="116">
        <f t="shared" si="2"/>
        <v>0.49514563106796117</v>
      </c>
      <c r="L22" s="67">
        <f t="shared" si="2"/>
        <v>0.3847184986595174</v>
      </c>
      <c r="M22" s="150">
        <f>IFERROR(M12/M7,0)</f>
        <v>0.36998706338939197</v>
      </c>
      <c r="N22" s="1"/>
    </row>
    <row r="23" spans="1:14" s="8" customFormat="1" ht="11.25" customHeight="1" thickBot="1">
      <c r="A23" s="9" t="s">
        <v>53</v>
      </c>
      <c r="B23" s="67">
        <f>IFERROR(B12/(B11+B12),0)</f>
        <v>0.60259740259740258</v>
      </c>
      <c r="C23" s="67">
        <f>IFERROR(C12/(C11+C12),0)</f>
        <v>0.66139954853273142</v>
      </c>
      <c r="D23" s="67">
        <f>IFERROR(D12/(D11+D12),0)</f>
        <v>0.64852607709750565</v>
      </c>
      <c r="E23" s="67">
        <f>IFERROR(E12/(E11+E12),0)</f>
        <v>0.69248291571753984</v>
      </c>
      <c r="F23" s="67">
        <f>IFERROR(F12/(F11+F12),0)</f>
        <v>0.65</v>
      </c>
      <c r="G23" s="67">
        <f t="shared" ref="G23:L23" si="3">IFERROR(G12/(G11+G12),0)</f>
        <v>0.62222222222222223</v>
      </c>
      <c r="H23" s="67">
        <f t="shared" si="3"/>
        <v>0.54963235294117652</v>
      </c>
      <c r="I23" s="67">
        <f t="shared" si="3"/>
        <v>0.60616438356164382</v>
      </c>
      <c r="J23" s="67">
        <f t="shared" si="3"/>
        <v>0.52333333333333332</v>
      </c>
      <c r="K23" s="117">
        <f t="shared" si="3"/>
        <v>0.69230769230769229</v>
      </c>
      <c r="L23" s="163">
        <f t="shared" si="3"/>
        <v>0.55512572533849125</v>
      </c>
      <c r="M23" s="151">
        <f>IFERROR(M12/(M11+M12),0)</f>
        <v>0.54372623574144485</v>
      </c>
      <c r="N23" s="4"/>
    </row>
    <row r="24" spans="1:14" s="8" customFormat="1" ht="11.25" customHeight="1" thickBot="1">
      <c r="A24" s="53" t="s">
        <v>21</v>
      </c>
      <c r="B24" s="50">
        <v>41275</v>
      </c>
      <c r="C24" s="47">
        <v>41306</v>
      </c>
      <c r="D24" s="47">
        <v>41334</v>
      </c>
      <c r="E24" s="47">
        <v>41365</v>
      </c>
      <c r="F24" s="47">
        <v>41395</v>
      </c>
      <c r="G24" s="47">
        <v>41426</v>
      </c>
      <c r="H24" s="47">
        <v>41456</v>
      </c>
      <c r="I24" s="47">
        <v>41487</v>
      </c>
      <c r="J24" s="47">
        <v>41518</v>
      </c>
      <c r="K24" s="47">
        <v>41548</v>
      </c>
      <c r="L24" s="47">
        <v>41579</v>
      </c>
      <c r="M24" s="51">
        <v>41609</v>
      </c>
    </row>
    <row r="25" spans="1:14" s="8" customFormat="1" ht="11.25" customHeight="1">
      <c r="A25" s="18" t="s">
        <v>5</v>
      </c>
      <c r="B25" s="57">
        <f>SUM('ASR3001:ASR3044'!B25)</f>
        <v>44</v>
      </c>
      <c r="C25" s="57">
        <f>SUM('ASR3001:ASR3044'!C25)</f>
        <v>48</v>
      </c>
      <c r="D25" s="57">
        <f>SUM('ASR3001:ASR3044'!D25)</f>
        <v>45</v>
      </c>
      <c r="E25" s="57">
        <f>SUM('ASR3001:ASR3044'!E25)</f>
        <v>30</v>
      </c>
      <c r="F25" s="57">
        <f>SUM('ASR3001:ASR3044'!F25)</f>
        <v>33</v>
      </c>
      <c r="G25" s="57">
        <f>SUM('ASR3001:ASR3044'!G25)</f>
        <v>38</v>
      </c>
      <c r="H25" s="57">
        <f>SUM('ASR3001:ASR3044'!H25)</f>
        <v>60</v>
      </c>
      <c r="I25" s="57">
        <f>SUM('ASR3001:ASR3044'!I25)</f>
        <v>66</v>
      </c>
      <c r="J25" s="57">
        <f>SUM('ASR3001:ASR3044'!J25)</f>
        <v>67</v>
      </c>
      <c r="K25" s="57">
        <f>SUM('ASR3001:ASR3044'!K25)</f>
        <v>24</v>
      </c>
      <c r="L25" s="156">
        <f>SUM('ASR3001:ASR3044'!L25)</f>
        <v>65</v>
      </c>
      <c r="M25" s="144">
        <f>SUM('ASR3001:ASR3044'!M25)</f>
        <v>52</v>
      </c>
    </row>
    <row r="26" spans="1:14" s="8" customFormat="1" ht="11.25" customHeight="1">
      <c r="A26" s="46" t="s">
        <v>40</v>
      </c>
      <c r="B26" s="57">
        <f>SUM('ASR3001:ASR3044'!B26)</f>
        <v>0</v>
      </c>
      <c r="C26" s="57">
        <f>SUM('ASR3001:ASR3044'!C26)</f>
        <v>0</v>
      </c>
      <c r="D26" s="57">
        <f>SUM('ASR3001:ASR3044'!D26)</f>
        <v>0</v>
      </c>
      <c r="E26" s="57">
        <f>SUM('ASR3001:ASR3044'!E26)</f>
        <v>2</v>
      </c>
      <c r="F26" s="57">
        <f>SUM('ASR3001:ASR3044'!F26)</f>
        <v>2</v>
      </c>
      <c r="G26" s="57">
        <f>SUM('ASR3001:ASR3044'!G26)</f>
        <v>0</v>
      </c>
      <c r="H26" s="57">
        <f>SUM('ASR3001:ASR3044'!H26)</f>
        <v>12</v>
      </c>
      <c r="I26" s="57">
        <f>SUM('ASR3001:ASR3044'!I26)</f>
        <v>4</v>
      </c>
      <c r="J26" s="57">
        <f>SUM('ASR3001:ASR3044'!J26)</f>
        <v>5</v>
      </c>
      <c r="K26" s="57">
        <f>SUM('ASR3001:ASR3044'!K26)</f>
        <v>0</v>
      </c>
      <c r="L26" s="156">
        <f>SUM('ASR3001:ASR3044'!L26)</f>
        <v>2</v>
      </c>
      <c r="M26" s="144">
        <f>SUM('ASR3001:ASR3044'!M26)</f>
        <v>0</v>
      </c>
    </row>
    <row r="27" spans="1:14" s="8" customFormat="1" ht="11.25" customHeight="1">
      <c r="A27" s="9" t="s">
        <v>11</v>
      </c>
      <c r="B27" s="57">
        <f>SUM('ASR3001:ASR3044'!B27)</f>
        <v>353</v>
      </c>
      <c r="C27" s="180">
        <f>SUM('ASR3001:ASR3044'!C27)</f>
        <v>276</v>
      </c>
      <c r="D27" s="180">
        <f>SUM('ASR3001:ASR3044'!D27)</f>
        <v>224</v>
      </c>
      <c r="E27" s="57">
        <f>SUM('ASR3001:ASR3044'!E27)</f>
        <v>204</v>
      </c>
      <c r="F27" s="57">
        <f>SUM('ASR3001:ASR3044'!F27)</f>
        <v>239</v>
      </c>
      <c r="G27" s="57">
        <f>SUM('ASR3001:ASR3044'!G27)</f>
        <v>307</v>
      </c>
      <c r="H27" s="57">
        <f>SUM('ASR3001:ASR3044'!H27)</f>
        <v>377</v>
      </c>
      <c r="I27" s="57">
        <f>SUM('ASR3001:ASR3044'!I27)</f>
        <v>346</v>
      </c>
      <c r="J27" s="57">
        <f>SUM('ASR3001:ASR3044'!J27)</f>
        <v>359</v>
      </c>
      <c r="K27" s="57">
        <f>SUM('ASR3001:ASR3044'!K27)</f>
        <v>165</v>
      </c>
      <c r="L27" s="156">
        <f>SUM('ASR3001:ASR3044'!L27)</f>
        <v>306</v>
      </c>
      <c r="M27" s="144">
        <f>SUM('ASR3001:ASR3044'!M27)</f>
        <v>331</v>
      </c>
    </row>
    <row r="28" spans="1:14" s="8" customFormat="1" ht="11.25" customHeight="1">
      <c r="A28" s="9" t="s">
        <v>143</v>
      </c>
      <c r="B28" s="57">
        <f>SUM('ASR3001:ASR3044'!B28)</f>
        <v>0</v>
      </c>
      <c r="C28" s="57">
        <f>SUM('ASR3001:ASR3044'!C28)</f>
        <v>0</v>
      </c>
      <c r="D28" s="57">
        <f>SUM('ASR3001:ASR3044'!D28)</f>
        <v>0</v>
      </c>
      <c r="E28" s="57">
        <f>SUM('ASR3001:ASR3044'!E28)</f>
        <v>0</v>
      </c>
      <c r="F28" s="57">
        <f>SUM('ASR3001:ASR3044'!F28)</f>
        <v>0</v>
      </c>
      <c r="G28" s="57">
        <f>SUM('ASR3001:ASR3044'!G28)</f>
        <v>0</v>
      </c>
      <c r="H28" s="57">
        <f>SUM('ASR3001:ASR3044'!H28)</f>
        <v>0</v>
      </c>
      <c r="I28" s="57">
        <f>SUM('ASR3001:ASR3044'!I28)</f>
        <v>0</v>
      </c>
      <c r="J28" s="57">
        <f>SUM('ASR3001:ASR3044'!J28)</f>
        <v>0</v>
      </c>
      <c r="K28" s="57">
        <f>SUM('ASR3001:ASR3044'!K28)</f>
        <v>0</v>
      </c>
      <c r="L28" s="156">
        <f>SUM('ASR3001:ASR3044'!L28)</f>
        <v>0</v>
      </c>
      <c r="M28" s="144">
        <f>SUM('ASR3001:ASR3044'!M28)</f>
        <v>0</v>
      </c>
    </row>
    <row r="29" spans="1:14" s="8" customFormat="1" ht="11.25" customHeight="1">
      <c r="A29" s="9" t="s">
        <v>23</v>
      </c>
      <c r="B29" s="57">
        <f>SUM('ASR3001:ASR3044'!B29)</f>
        <v>0</v>
      </c>
      <c r="C29" s="57">
        <f>SUM('ASR3001:ASR3044'!C29)</f>
        <v>0</v>
      </c>
      <c r="D29" s="57">
        <f>SUM('ASR3001:ASR3044'!D29)</f>
        <v>0</v>
      </c>
      <c r="E29" s="57">
        <f>SUM('ASR3001:ASR3044'!E29)</f>
        <v>0</v>
      </c>
      <c r="F29" s="57">
        <f>SUM('ASR3001:ASR3044'!F29)</f>
        <v>0</v>
      </c>
      <c r="G29" s="57">
        <f>SUM('ASR3001:ASR3044'!G29)</f>
        <v>0</v>
      </c>
      <c r="H29" s="57">
        <f>SUM('ASR3001:ASR3044'!H29)</f>
        <v>0</v>
      </c>
      <c r="I29" s="57">
        <f>SUM('ASR3001:ASR3044'!I29)</f>
        <v>168</v>
      </c>
      <c r="J29" s="57">
        <f>SUM('ASR3001:ASR3044'!J29)</f>
        <v>152</v>
      </c>
      <c r="K29" s="57">
        <f>SUM('ASR3001:ASR3044'!K29)</f>
        <v>153</v>
      </c>
      <c r="L29" s="156">
        <f>SUM('ASR3001:ASR3044'!L29)</f>
        <v>149</v>
      </c>
      <c r="M29" s="144">
        <f>SUM('ASR3001:ASR3044'!M29)</f>
        <v>138</v>
      </c>
    </row>
    <row r="30" spans="1:14" s="8" customFormat="1" ht="11.25" customHeight="1">
      <c r="A30" s="9" t="s">
        <v>37</v>
      </c>
      <c r="B30" s="57">
        <f>SUM('ASR3001:ASR3044'!B30)</f>
        <v>0</v>
      </c>
      <c r="C30" s="57">
        <f>SUM('ASR3001:ASR3044'!C30)</f>
        <v>1</v>
      </c>
      <c r="D30" s="57">
        <f>SUM('ASR3001:ASR3044'!D30)</f>
        <v>0</v>
      </c>
      <c r="E30" s="57">
        <f>SUM('ASR3001:ASR3044'!E30)</f>
        <v>1</v>
      </c>
      <c r="F30" s="57">
        <f>SUM('ASR3001:ASR3044'!F30)</f>
        <v>1</v>
      </c>
      <c r="G30" s="57">
        <f>SUM('ASR3001:ASR3044'!G30)</f>
        <v>3</v>
      </c>
      <c r="H30" s="57">
        <f>SUM('ASR3001:ASR3044'!H30)</f>
        <v>5</v>
      </c>
      <c r="I30" s="57">
        <f>SUM('ASR3001:ASR3044'!I30)</f>
        <v>3</v>
      </c>
      <c r="J30" s="57">
        <f>SUM('ASR3001:ASR3044'!J30)</f>
        <v>5</v>
      </c>
      <c r="K30" s="57">
        <f>SUM('ASR3001:ASR3044'!K30)</f>
        <v>1</v>
      </c>
      <c r="L30" s="156">
        <f>SUM('ASR3001:ASR3044'!L30)</f>
        <v>2</v>
      </c>
      <c r="M30" s="144">
        <f>SUM('ASR3001:ASR3044'!M30)</f>
        <v>0</v>
      </c>
    </row>
    <row r="31" spans="1:14" s="8" customFormat="1" ht="11.25" customHeight="1">
      <c r="A31" s="10" t="s">
        <v>24</v>
      </c>
      <c r="B31" s="57">
        <f>SUM('ASR3001:ASR3044'!B31)</f>
        <v>0</v>
      </c>
      <c r="C31" s="57">
        <f>SUM('ASR3001:ASR3044'!C31)</f>
        <v>0</v>
      </c>
      <c r="D31" s="57">
        <f>SUM('ASR3001:ASR3044'!D31)</f>
        <v>0</v>
      </c>
      <c r="E31" s="57">
        <f>SUM('ASR3001:ASR3044'!E31)</f>
        <v>0</v>
      </c>
      <c r="F31" s="57">
        <f>SUM('ASR3001:ASR3044'!F31)</f>
        <v>0</v>
      </c>
      <c r="G31" s="57">
        <f>SUM('ASR3001:ASR3044'!G31)</f>
        <v>0</v>
      </c>
      <c r="H31" s="57">
        <f>SUM('ASR3001:ASR3044'!H31)</f>
        <v>0</v>
      </c>
      <c r="I31" s="57">
        <f>SUM('ASR3001:ASR3044'!I31)</f>
        <v>0</v>
      </c>
      <c r="J31" s="57">
        <f>SUM('ASR3001:ASR3044'!J31)</f>
        <v>0</v>
      </c>
      <c r="K31" s="57">
        <f>SUM('ASR3001:ASR3044'!K31)</f>
        <v>0</v>
      </c>
      <c r="L31" s="156">
        <f>SUM('ASR3001:ASR3044'!L31)</f>
        <v>0</v>
      </c>
      <c r="M31" s="144">
        <f>SUM('ASR3001:ASR3044'!M31)</f>
        <v>0</v>
      </c>
    </row>
    <row r="32" spans="1:14" s="14" customFormat="1" ht="11.25" customHeight="1" thickBot="1">
      <c r="A32" s="2" t="s">
        <v>140</v>
      </c>
      <c r="B32" s="60">
        <f>SUM(B25:B31)</f>
        <v>397</v>
      </c>
      <c r="C32" s="60">
        <f t="shared" ref="C32:L32" si="4">SUM(C25:C31)</f>
        <v>325</v>
      </c>
      <c r="D32" s="60">
        <f t="shared" si="4"/>
        <v>269</v>
      </c>
      <c r="E32" s="60">
        <f t="shared" si="4"/>
        <v>237</v>
      </c>
      <c r="F32" s="60">
        <f t="shared" si="4"/>
        <v>275</v>
      </c>
      <c r="G32" s="60">
        <f t="shared" si="4"/>
        <v>348</v>
      </c>
      <c r="H32" s="60">
        <f t="shared" si="4"/>
        <v>454</v>
      </c>
      <c r="I32" s="60">
        <f t="shared" si="4"/>
        <v>587</v>
      </c>
      <c r="J32" s="60">
        <f t="shared" si="4"/>
        <v>588</v>
      </c>
      <c r="K32" s="60">
        <f t="shared" si="4"/>
        <v>343</v>
      </c>
      <c r="L32" s="159">
        <f t="shared" si="4"/>
        <v>524</v>
      </c>
      <c r="M32" s="152">
        <f>SUM(M25:M31)</f>
        <v>521</v>
      </c>
    </row>
    <row r="33" spans="1:13" ht="12" customHeight="1" thickBot="1">
      <c r="A33" s="55" t="s">
        <v>136</v>
      </c>
      <c r="B33" s="50">
        <v>41275</v>
      </c>
      <c r="C33" s="47">
        <v>41306</v>
      </c>
      <c r="D33" s="47">
        <v>41334</v>
      </c>
      <c r="E33" s="47">
        <v>41365</v>
      </c>
      <c r="F33" s="47">
        <v>41395</v>
      </c>
      <c r="G33" s="47">
        <v>41426</v>
      </c>
      <c r="H33" s="47">
        <v>41456</v>
      </c>
      <c r="I33" s="47">
        <v>41487</v>
      </c>
      <c r="J33" s="47">
        <v>41518</v>
      </c>
      <c r="K33" s="47">
        <v>41548</v>
      </c>
      <c r="L33" s="47">
        <v>41579</v>
      </c>
      <c r="M33" s="51">
        <v>41609</v>
      </c>
    </row>
    <row r="34" spans="1:13" s="8" customFormat="1" ht="11.25" customHeight="1">
      <c r="A34" s="46" t="s">
        <v>33</v>
      </c>
      <c r="B34" s="57">
        <f>SUM('ASR3001:ASR3044'!B34)</f>
        <v>3</v>
      </c>
      <c r="C34" s="57">
        <f>SUM('ASR3001:ASR3044'!C34)</f>
        <v>0</v>
      </c>
      <c r="D34" s="57">
        <f>SUM('ASR3001:ASR3044'!D34)</f>
        <v>3</v>
      </c>
      <c r="E34" s="57">
        <f>SUM('ASR3001:ASR3044'!E34)</f>
        <v>1</v>
      </c>
      <c r="F34" s="57">
        <f>SUM('ASR3001:ASR3044'!F34)</f>
        <v>0</v>
      </c>
      <c r="G34" s="57">
        <f>SUM('ASR3001:ASR3044'!G34)</f>
        <v>2</v>
      </c>
      <c r="H34" s="57">
        <f>SUM('ASR3001:ASR3044'!H34)</f>
        <v>0</v>
      </c>
      <c r="I34" s="57">
        <f>SUM('ASR3001:ASR3044'!I34)</f>
        <v>1</v>
      </c>
      <c r="J34" s="57">
        <f>SUM('ASR3001:ASR3044'!J34)</f>
        <v>1</v>
      </c>
      <c r="K34" s="57">
        <f>SUM('ASR3001:ASR3044'!K34)</f>
        <v>6</v>
      </c>
      <c r="L34" s="156">
        <f>SUM('ASR3001:ASR3044'!L34)</f>
        <v>5</v>
      </c>
      <c r="M34" s="144">
        <f>SUM('ASR3001:ASR3044'!M34)</f>
        <v>1</v>
      </c>
    </row>
    <row r="35" spans="1:13" s="8" customFormat="1" ht="11.25" customHeight="1">
      <c r="A35" s="10" t="s">
        <v>4</v>
      </c>
      <c r="B35" s="57">
        <f>SUM('ASR3001:ASR3044'!B35)</f>
        <v>2</v>
      </c>
      <c r="C35" s="57">
        <f>SUM('ASR3001:ASR3044'!C35)</f>
        <v>0</v>
      </c>
      <c r="D35" s="57">
        <f>SUM('ASR3001:ASR3044'!D35)</f>
        <v>0</v>
      </c>
      <c r="E35" s="57">
        <f>SUM('ASR3001:ASR3044'!E35)</f>
        <v>4</v>
      </c>
      <c r="F35" s="57">
        <f>SUM('ASR3001:ASR3044'!F35)</f>
        <v>4</v>
      </c>
      <c r="G35" s="57">
        <f>SUM('ASR3001:ASR3044'!G35)</f>
        <v>2</v>
      </c>
      <c r="H35" s="57">
        <f>SUM('ASR3001:ASR3044'!H35)</f>
        <v>3</v>
      </c>
      <c r="I35" s="57">
        <f>SUM('ASR3001:ASR3044'!I35)</f>
        <v>11</v>
      </c>
      <c r="J35" s="57">
        <f>SUM('ASR3001:ASR3044'!J35)</f>
        <v>4</v>
      </c>
      <c r="K35" s="57">
        <f>SUM('ASR3001:ASR3044'!K35)</f>
        <v>1</v>
      </c>
      <c r="L35" s="156">
        <f>SUM('ASR3001:ASR3044'!L35)</f>
        <v>5</v>
      </c>
      <c r="M35" s="144">
        <f>SUM('ASR3001:ASR3044'!M35)</f>
        <v>8</v>
      </c>
    </row>
    <row r="36" spans="1:13" s="8" customFormat="1" ht="11.25" customHeight="1">
      <c r="A36" s="10" t="s">
        <v>39</v>
      </c>
      <c r="B36" s="57">
        <f>SUM('ASR3001:ASR3044'!B36)</f>
        <v>28</v>
      </c>
      <c r="C36" s="57">
        <f>SUM('ASR3001:ASR3044'!C36)</f>
        <v>36</v>
      </c>
      <c r="D36" s="57">
        <f>SUM('ASR3001:ASR3044'!D36)</f>
        <v>37</v>
      </c>
      <c r="E36" s="57">
        <f>SUM('ASR3001:ASR3044'!E36)</f>
        <v>21</v>
      </c>
      <c r="F36" s="57">
        <f>SUM('ASR3001:ASR3044'!F36)</f>
        <v>29</v>
      </c>
      <c r="G36" s="57">
        <f>SUM('ASR3001:ASR3044'!G36)</f>
        <v>31</v>
      </c>
      <c r="H36" s="57">
        <f>SUM('ASR3001:ASR3044'!H36)</f>
        <v>40</v>
      </c>
      <c r="I36" s="57">
        <f>SUM('ASR3001:ASR3044'!I36)</f>
        <v>36</v>
      </c>
      <c r="J36" s="57">
        <f>SUM('ASR3001:ASR3044'!J36)</f>
        <v>34</v>
      </c>
      <c r="K36" s="57">
        <f>SUM('ASR3001:ASR3044'!K36)</f>
        <v>46</v>
      </c>
      <c r="L36" s="156">
        <f>SUM('ASR3001:ASR3044'!L36)</f>
        <v>24</v>
      </c>
      <c r="M36" s="144">
        <f>SUM('ASR3001:ASR3044'!M36)</f>
        <v>33</v>
      </c>
    </row>
    <row r="37" spans="1:13" s="8" customFormat="1" ht="11.25" customHeight="1">
      <c r="A37" s="10" t="s">
        <v>3</v>
      </c>
      <c r="B37" s="57">
        <f>SUM('ASR3001:ASR3044'!B37)</f>
        <v>3</v>
      </c>
      <c r="C37" s="57">
        <f>SUM('ASR3001:ASR3044'!C37)</f>
        <v>2</v>
      </c>
      <c r="D37" s="57">
        <f>SUM('ASR3001:ASR3044'!D37)</f>
        <v>2</v>
      </c>
      <c r="E37" s="57">
        <f>SUM('ASR3001:ASR3044'!E37)</f>
        <v>1</v>
      </c>
      <c r="F37" s="57">
        <f>SUM('ASR3001:ASR3044'!F37)</f>
        <v>0</v>
      </c>
      <c r="G37" s="57">
        <f>SUM('ASR3001:ASR3044'!G37)</f>
        <v>1</v>
      </c>
      <c r="H37" s="57">
        <f>SUM('ASR3001:ASR3044'!H37)</f>
        <v>0</v>
      </c>
      <c r="I37" s="57">
        <f>SUM('ASR3001:ASR3044'!I37)</f>
        <v>3</v>
      </c>
      <c r="J37" s="57">
        <f>SUM('ASR3001:ASR3044'!J37)</f>
        <v>3</v>
      </c>
      <c r="K37" s="57">
        <f>SUM('ASR3001:ASR3044'!K37)</f>
        <v>1</v>
      </c>
      <c r="L37" s="156">
        <f>SUM('ASR3001:ASR3044'!L37)</f>
        <v>2</v>
      </c>
      <c r="M37" s="144">
        <f>SUM('ASR3001:ASR3044'!M37)</f>
        <v>2</v>
      </c>
    </row>
    <row r="38" spans="1:13" s="8" customFormat="1" ht="11.25" customHeight="1">
      <c r="A38" s="9" t="s">
        <v>218</v>
      </c>
      <c r="B38" s="57">
        <f>SUM('ASR3001:ASR3044'!B38)</f>
        <v>0</v>
      </c>
      <c r="C38" s="57">
        <f>SUM('ASR3001:ASR3044'!C38)</f>
        <v>0</v>
      </c>
      <c r="D38" s="57">
        <f>SUM('ASR3001:ASR3044'!D38)</f>
        <v>0</v>
      </c>
      <c r="E38" s="57">
        <f>SUM('ASR3001:ASR3044'!E38)</f>
        <v>0</v>
      </c>
      <c r="F38" s="57">
        <f>SUM('ASR3001:ASR3044'!F38)</f>
        <v>1</v>
      </c>
      <c r="G38" s="57">
        <f>SUM('ASR3001:ASR3044'!G38)</f>
        <v>1</v>
      </c>
      <c r="H38" s="57">
        <f>SUM('ASR3001:ASR3044'!H38)</f>
        <v>0</v>
      </c>
      <c r="I38" s="57">
        <f>SUM('ASR3001:ASR3044'!I38)</f>
        <v>2</v>
      </c>
      <c r="J38" s="57">
        <f>SUM('ASR3001:ASR3044'!J38)</f>
        <v>1</v>
      </c>
      <c r="K38" s="57">
        <f>SUM('ASR3001:ASR3044'!K38)</f>
        <v>0</v>
      </c>
      <c r="L38" s="156">
        <f>SUM('ASR3001:ASR3044'!L38)</f>
        <v>0</v>
      </c>
      <c r="M38" s="144">
        <f>SUM('ASR3001:ASR3044'!M38)</f>
        <v>3</v>
      </c>
    </row>
    <row r="39" spans="1:13" s="8" customFormat="1" ht="11.25" customHeight="1">
      <c r="A39" s="10" t="s">
        <v>25</v>
      </c>
      <c r="B39" s="57">
        <f>SUM('ASR3001:ASR3044'!B39)</f>
        <v>69</v>
      </c>
      <c r="C39" s="57">
        <f>SUM('ASR3001:ASR3044'!C39)</f>
        <v>46</v>
      </c>
      <c r="D39" s="57">
        <f>SUM('ASR3001:ASR3044'!D39)</f>
        <v>72</v>
      </c>
      <c r="E39" s="57">
        <f>SUM('ASR3001:ASR3044'!E39)</f>
        <v>56</v>
      </c>
      <c r="F39" s="57">
        <f>SUM('ASR3001:ASR3044'!F39)</f>
        <v>52</v>
      </c>
      <c r="G39" s="57">
        <f>SUM('ASR3001:ASR3044'!G39)</f>
        <v>55</v>
      </c>
      <c r="H39" s="57">
        <f>SUM('ASR3001:ASR3044'!H39)</f>
        <v>69</v>
      </c>
      <c r="I39" s="57">
        <f>SUM('ASR3001:ASR3044'!I39)</f>
        <v>68</v>
      </c>
      <c r="J39" s="57">
        <f>SUM('ASR3001:ASR3044'!J39)</f>
        <v>56</v>
      </c>
      <c r="K39" s="57">
        <f>SUM('ASR3001:ASR3044'!K39)</f>
        <v>58</v>
      </c>
      <c r="L39" s="156">
        <f>SUM('ASR3001:ASR3044'!L39)</f>
        <v>65</v>
      </c>
      <c r="M39" s="144">
        <f>SUM('ASR3001:ASR3044'!M39)</f>
        <v>51</v>
      </c>
    </row>
    <row r="40" spans="1:13" s="8" customFormat="1" ht="11.25" customHeight="1">
      <c r="A40" s="10" t="s">
        <v>34</v>
      </c>
      <c r="B40" s="57">
        <f>SUM('ASR3001:ASR3044'!B40)</f>
        <v>0</v>
      </c>
      <c r="C40" s="57">
        <f>SUM('ASR3001:ASR3044'!C40)</f>
        <v>1</v>
      </c>
      <c r="D40" s="57">
        <f>SUM('ASR3001:ASR3044'!D40)</f>
        <v>1</v>
      </c>
      <c r="E40" s="57">
        <f>SUM('ASR3001:ASR3044'!E40)</f>
        <v>0</v>
      </c>
      <c r="F40" s="57">
        <f>SUM('ASR3001:ASR3044'!F40)</f>
        <v>0</v>
      </c>
      <c r="G40" s="57">
        <f>SUM('ASR3001:ASR3044'!G40)</f>
        <v>3</v>
      </c>
      <c r="H40" s="57">
        <f>SUM('ASR3001:ASR3044'!H40)</f>
        <v>14</v>
      </c>
      <c r="I40" s="57">
        <f>SUM('ASR3001:ASR3044'!I40)</f>
        <v>2</v>
      </c>
      <c r="J40" s="57">
        <f>SUM('ASR3001:ASR3044'!J40)</f>
        <v>1</v>
      </c>
      <c r="K40" s="57">
        <f>SUM('ASR3001:ASR3044'!K40)</f>
        <v>0</v>
      </c>
      <c r="L40" s="156">
        <f>SUM('ASR3001:ASR3044'!L40)</f>
        <v>0</v>
      </c>
      <c r="M40" s="144">
        <f>SUM('ASR3001:ASR3044'!M40)</f>
        <v>7</v>
      </c>
    </row>
    <row r="41" spans="1:13" s="8" customFormat="1" ht="11.25" customHeight="1">
      <c r="A41" s="10" t="s">
        <v>31</v>
      </c>
      <c r="B41" s="57">
        <f>SUM('ASR3001:ASR3044'!B41)</f>
        <v>3</v>
      </c>
      <c r="C41" s="57">
        <f>SUM('ASR3001:ASR3044'!C41)</f>
        <v>1</v>
      </c>
      <c r="D41" s="57">
        <f>SUM('ASR3001:ASR3044'!D41)</f>
        <v>1</v>
      </c>
      <c r="E41" s="57">
        <f>SUM('ASR3001:ASR3044'!E41)</f>
        <v>1</v>
      </c>
      <c r="F41" s="57">
        <f>SUM('ASR3001:ASR3044'!F41)</f>
        <v>8</v>
      </c>
      <c r="G41" s="57">
        <f>SUM('ASR3001:ASR3044'!G41)</f>
        <v>5</v>
      </c>
      <c r="H41" s="57">
        <f>SUM('ASR3001:ASR3044'!H41)</f>
        <v>1</v>
      </c>
      <c r="I41" s="57">
        <f>SUM('ASR3001:ASR3044'!I41)</f>
        <v>10</v>
      </c>
      <c r="J41" s="57">
        <f>SUM('ASR3001:ASR3044'!J41)</f>
        <v>2</v>
      </c>
      <c r="K41" s="57">
        <f>SUM('ASR3001:ASR3044'!K41)</f>
        <v>1</v>
      </c>
      <c r="L41" s="156">
        <f>SUM('ASR3001:ASR3044'!L41)</f>
        <v>0</v>
      </c>
      <c r="M41" s="144">
        <f>SUM('ASR3001:ASR3044'!M41)</f>
        <v>3</v>
      </c>
    </row>
    <row r="42" spans="1:13" s="8" customFormat="1" ht="11.25" customHeight="1">
      <c r="A42" s="10" t="s">
        <v>144</v>
      </c>
      <c r="B42" s="57">
        <f>SUM('ASR3001:ASR3044'!B42)</f>
        <v>0</v>
      </c>
      <c r="C42" s="57">
        <f>SUM('ASR3001:ASR3044'!C42)</f>
        <v>0</v>
      </c>
      <c r="D42" s="57">
        <f>SUM('ASR3001:ASR3044'!D42)</f>
        <v>1</v>
      </c>
      <c r="E42" s="57">
        <f>SUM('ASR3001:ASR3044'!E42)</f>
        <v>0</v>
      </c>
      <c r="F42" s="57">
        <f>SUM('ASR3001:ASR3044'!F42)</f>
        <v>0</v>
      </c>
      <c r="G42" s="57">
        <f>SUM('ASR3001:ASR3044'!G42)</f>
        <v>0</v>
      </c>
      <c r="H42" s="57">
        <f>SUM('ASR3001:ASR3044'!H42)</f>
        <v>0</v>
      </c>
      <c r="I42" s="57">
        <f>SUM('ASR3001:ASR3044'!I42)</f>
        <v>0</v>
      </c>
      <c r="J42" s="57">
        <f>SUM('ASR3001:ASR3044'!J42)</f>
        <v>0</v>
      </c>
      <c r="K42" s="57">
        <f>SUM('ASR3001:ASR3044'!K42)</f>
        <v>0</v>
      </c>
      <c r="L42" s="156">
        <f>SUM('ASR3001:ASR3044'!L42)</f>
        <v>0</v>
      </c>
      <c r="M42" s="144">
        <f>SUM('ASR3001:ASR3044'!M42)</f>
        <v>0</v>
      </c>
    </row>
    <row r="43" spans="1:13" s="8" customFormat="1" ht="11.25" customHeight="1">
      <c r="A43" s="10" t="s">
        <v>1</v>
      </c>
      <c r="B43" s="57">
        <f>SUM('ASR3001:ASR3044'!B43)</f>
        <v>2</v>
      </c>
      <c r="C43" s="57">
        <f>SUM('ASR3001:ASR3044'!C43)</f>
        <v>3</v>
      </c>
      <c r="D43" s="57">
        <f>SUM('ASR3001:ASR3044'!D43)</f>
        <v>11</v>
      </c>
      <c r="E43" s="57">
        <f>SUM('ASR3001:ASR3044'!E43)</f>
        <v>1</v>
      </c>
      <c r="F43" s="57">
        <f>SUM('ASR3001:ASR3044'!F43)</f>
        <v>2</v>
      </c>
      <c r="G43" s="57">
        <f>SUM('ASR3001:ASR3044'!G43)</f>
        <v>1</v>
      </c>
      <c r="H43" s="57">
        <f>SUM('ASR3001:ASR3044'!H43)</f>
        <v>8</v>
      </c>
      <c r="I43" s="57">
        <f>SUM('ASR3001:ASR3044'!I43)</f>
        <v>7</v>
      </c>
      <c r="J43" s="57">
        <f>SUM('ASR3001:ASR3044'!J43)</f>
        <v>3</v>
      </c>
      <c r="K43" s="57">
        <f>SUM('ASR3001:ASR3044'!K43)</f>
        <v>5</v>
      </c>
      <c r="L43" s="156">
        <f>SUM('ASR3001:ASR3044'!L43)</f>
        <v>11</v>
      </c>
      <c r="M43" s="144">
        <f>SUM('ASR3001:ASR3044'!M43)</f>
        <v>8</v>
      </c>
    </row>
    <row r="44" spans="1:13" s="8" customFormat="1" ht="11.25" customHeight="1">
      <c r="A44" s="10" t="s">
        <v>26</v>
      </c>
      <c r="B44" s="57">
        <f>SUM('ASR3001:ASR3044'!B44)</f>
        <v>0</v>
      </c>
      <c r="C44" s="57">
        <f>SUM('ASR3001:ASR3044'!C44)</f>
        <v>0</v>
      </c>
      <c r="D44" s="57">
        <f>SUM('ASR3001:ASR3044'!D44)</f>
        <v>1</v>
      </c>
      <c r="E44" s="57">
        <f>SUM('ASR3001:ASR3044'!E44)</f>
        <v>0</v>
      </c>
      <c r="F44" s="57">
        <f>SUM('ASR3001:ASR3044'!F44)</f>
        <v>1</v>
      </c>
      <c r="G44" s="57">
        <f>SUM('ASR3001:ASR3044'!G44)</f>
        <v>0</v>
      </c>
      <c r="H44" s="57">
        <f>SUM('ASR3001:ASR3044'!H44)</f>
        <v>0</v>
      </c>
      <c r="I44" s="57">
        <f>SUM('ASR3001:ASR3044'!I44)</f>
        <v>0</v>
      </c>
      <c r="J44" s="57">
        <f>SUM('ASR3001:ASR3044'!J44)</f>
        <v>0</v>
      </c>
      <c r="K44" s="57">
        <f>SUM('ASR3001:ASR3044'!K44)</f>
        <v>2</v>
      </c>
      <c r="L44" s="156">
        <f>SUM('ASR3001:ASR3044'!L44)</f>
        <v>2</v>
      </c>
      <c r="M44" s="144">
        <f>SUM('ASR3001:ASR3044'!M44)</f>
        <v>1</v>
      </c>
    </row>
    <row r="45" spans="1:13" s="8" customFormat="1" ht="11.25" customHeight="1">
      <c r="A45" s="10" t="s">
        <v>32</v>
      </c>
      <c r="B45" s="57">
        <f>SUM('ASR3001:ASR3044'!B45)</f>
        <v>19</v>
      </c>
      <c r="C45" s="57">
        <f>SUM('ASR3001:ASR3044'!C45)</f>
        <v>26</v>
      </c>
      <c r="D45" s="57">
        <f>SUM('ASR3001:ASR3044'!D45)</f>
        <v>22</v>
      </c>
      <c r="E45" s="57">
        <f>SUM('ASR3001:ASR3044'!E45)</f>
        <v>29</v>
      </c>
      <c r="F45" s="57">
        <f>SUM('ASR3001:ASR3044'!F45)</f>
        <v>26</v>
      </c>
      <c r="G45" s="57">
        <f>SUM('ASR3001:ASR3044'!G45)</f>
        <v>36</v>
      </c>
      <c r="H45" s="57">
        <f>SUM('ASR3001:ASR3044'!H45)</f>
        <v>28</v>
      </c>
      <c r="I45" s="57">
        <f>SUM('ASR3001:ASR3044'!I45)</f>
        <v>43</v>
      </c>
      <c r="J45" s="57">
        <f>SUM('ASR3001:ASR3044'!J45)</f>
        <v>37</v>
      </c>
      <c r="K45" s="57">
        <f>SUM('ASR3001:ASR3044'!K45)</f>
        <v>19</v>
      </c>
      <c r="L45" s="156">
        <f>SUM('ASR3001:ASR3044'!L45)</f>
        <v>22</v>
      </c>
      <c r="M45" s="144">
        <f>SUM('ASR3001:ASR3044'!M45)</f>
        <v>50</v>
      </c>
    </row>
    <row r="46" spans="1:13" s="8" customFormat="1" ht="11.25" customHeight="1">
      <c r="A46" s="10" t="s">
        <v>28</v>
      </c>
      <c r="B46" s="57">
        <f>SUM('ASR3001:ASR3044'!B46)</f>
        <v>0</v>
      </c>
      <c r="C46" s="57">
        <f>SUM('ASR3001:ASR3044'!C46)</f>
        <v>0</v>
      </c>
      <c r="D46" s="57">
        <f>SUM('ASR3001:ASR3044'!D46)</f>
        <v>0</v>
      </c>
      <c r="E46" s="57">
        <f>SUM('ASR3001:ASR3044'!E46)</f>
        <v>0</v>
      </c>
      <c r="F46" s="57">
        <f>SUM('ASR3001:ASR3044'!F46)</f>
        <v>0</v>
      </c>
      <c r="G46" s="57">
        <f>SUM('ASR3001:ASR3044'!G46)</f>
        <v>0</v>
      </c>
      <c r="H46" s="57">
        <f>SUM('ASR3001:ASR3044'!H46)</f>
        <v>0</v>
      </c>
      <c r="I46" s="57">
        <f>SUM('ASR3001:ASR3044'!I46)</f>
        <v>9</v>
      </c>
      <c r="J46" s="57">
        <f>SUM('ASR3001:ASR3044'!J46)</f>
        <v>2</v>
      </c>
      <c r="K46" s="57">
        <f>SUM('ASR3001:ASR3044'!K46)</f>
        <v>2</v>
      </c>
      <c r="L46" s="156">
        <f>SUM('ASR3001:ASR3044'!L46)</f>
        <v>22</v>
      </c>
      <c r="M46" s="144">
        <f>SUM('ASR3001:ASR3044'!M46)</f>
        <v>14</v>
      </c>
    </row>
    <row r="47" spans="1:13" s="8" customFormat="1" ht="11.25" customHeight="1">
      <c r="A47" s="10" t="s">
        <v>0</v>
      </c>
      <c r="B47" s="57">
        <f>SUM('ASR3001:ASR3044'!B47)</f>
        <v>30</v>
      </c>
      <c r="C47" s="57">
        <f>SUM('ASR3001:ASR3044'!C47)</f>
        <v>29</v>
      </c>
      <c r="D47" s="57">
        <f>SUM('ASR3001:ASR3044'!D47)</f>
        <v>33</v>
      </c>
      <c r="E47" s="57">
        <f>SUM('ASR3001:ASR3044'!E47)</f>
        <v>16</v>
      </c>
      <c r="F47" s="57">
        <f>SUM('ASR3001:ASR3044'!F47)</f>
        <v>32</v>
      </c>
      <c r="G47" s="57">
        <f>SUM('ASR3001:ASR3044'!G47)</f>
        <v>21</v>
      </c>
      <c r="H47" s="57">
        <f>SUM('ASR3001:ASR3044'!H47)</f>
        <v>39</v>
      </c>
      <c r="I47" s="57">
        <f>SUM('ASR3001:ASR3044'!I47)</f>
        <v>49</v>
      </c>
      <c r="J47" s="57">
        <f>SUM('ASR3001:ASR3044'!J47)</f>
        <v>36</v>
      </c>
      <c r="K47" s="57">
        <f>SUM('ASR3001:ASR3044'!K47)</f>
        <v>17</v>
      </c>
      <c r="L47" s="156">
        <f>SUM('ASR3001:ASR3044'!L47)</f>
        <v>43</v>
      </c>
      <c r="M47" s="144">
        <f>SUM('ASR3001:ASR3044'!M47)</f>
        <v>32</v>
      </c>
    </row>
    <row r="48" spans="1:13" s="8" customFormat="1" ht="11.25" customHeight="1">
      <c r="A48" s="10" t="s">
        <v>35</v>
      </c>
      <c r="B48" s="57">
        <f>SUM('ASR3001:ASR3044'!B48)</f>
        <v>0</v>
      </c>
      <c r="C48" s="57">
        <f>SUM('ASR3001:ASR3044'!C48)</f>
        <v>0</v>
      </c>
      <c r="D48" s="57">
        <f>SUM('ASR3001:ASR3044'!D48)</f>
        <v>0</v>
      </c>
      <c r="E48" s="57">
        <f>SUM('ASR3001:ASR3044'!E48)</f>
        <v>0</v>
      </c>
      <c r="F48" s="57">
        <f>SUM('ASR3001:ASR3044'!F48)</f>
        <v>0</v>
      </c>
      <c r="G48" s="57">
        <f>SUM('ASR3001:ASR3044'!G48)</f>
        <v>0</v>
      </c>
      <c r="H48" s="57">
        <f>SUM('ASR3001:ASR3044'!H48)</f>
        <v>0</v>
      </c>
      <c r="I48" s="57">
        <f>SUM('ASR3001:ASR3044'!I48)</f>
        <v>0</v>
      </c>
      <c r="J48" s="57">
        <f>SUM('ASR3001:ASR3044'!J48)</f>
        <v>1</v>
      </c>
      <c r="K48" s="57">
        <f>SUM('ASR3001:ASR3044'!K48)</f>
        <v>0</v>
      </c>
      <c r="L48" s="156">
        <f>SUM('ASR3001:ASR3044'!L48)</f>
        <v>0</v>
      </c>
      <c r="M48" s="144">
        <f>SUM('ASR3001:ASR3044'!M48)</f>
        <v>0</v>
      </c>
    </row>
    <row r="49" spans="1:13" s="8" customFormat="1" ht="11.25" customHeight="1">
      <c r="A49" s="10" t="s">
        <v>2</v>
      </c>
      <c r="B49" s="57">
        <f>SUM('ASR3001:ASR3044'!B49)</f>
        <v>0</v>
      </c>
      <c r="C49" s="57">
        <f>SUM('ASR3001:ASR3044'!C49)</f>
        <v>0</v>
      </c>
      <c r="D49" s="57">
        <f>SUM('ASR3001:ASR3044'!D49)</f>
        <v>0</v>
      </c>
      <c r="E49" s="57">
        <f>SUM('ASR3001:ASR3044'!E49)</f>
        <v>0</v>
      </c>
      <c r="F49" s="57">
        <f>SUM('ASR3001:ASR3044'!F49)</f>
        <v>0</v>
      </c>
      <c r="G49" s="57">
        <f>SUM('ASR3001:ASR3044'!G49)</f>
        <v>0</v>
      </c>
      <c r="H49" s="57">
        <f>SUM('ASR3001:ASR3044'!H49)</f>
        <v>0</v>
      </c>
      <c r="I49" s="57">
        <f>SUM('ASR3001:ASR3044'!I49)</f>
        <v>0</v>
      </c>
      <c r="J49" s="57">
        <f>SUM('ASR3001:ASR3044'!J49)</f>
        <v>4</v>
      </c>
      <c r="K49" s="57">
        <f>SUM('ASR3001:ASR3044'!K49)</f>
        <v>1</v>
      </c>
      <c r="L49" s="156">
        <f>SUM('ASR3001:ASR3044'!L49)</f>
        <v>0</v>
      </c>
      <c r="M49" s="144">
        <f>SUM('ASR3001:ASR3044'!M49)</f>
        <v>1</v>
      </c>
    </row>
    <row r="50" spans="1:13" s="8" customFormat="1" ht="11.25" customHeight="1">
      <c r="A50" s="10" t="s">
        <v>142</v>
      </c>
      <c r="B50" s="57">
        <f>SUM('ASR3001:ASR3044'!B50)</f>
        <v>40</v>
      </c>
      <c r="C50" s="57">
        <f>SUM('ASR3001:ASR3044'!C50)</f>
        <v>24</v>
      </c>
      <c r="D50" s="57">
        <f>SUM('ASR3001:ASR3044'!D50)</f>
        <v>30</v>
      </c>
      <c r="E50" s="57">
        <f>SUM('ASR3001:ASR3044'!E50)</f>
        <v>23</v>
      </c>
      <c r="F50" s="57">
        <f>SUM('ASR3001:ASR3044'!F50)</f>
        <v>22</v>
      </c>
      <c r="G50" s="57">
        <f>SUM('ASR3001:ASR3044'!G50)</f>
        <v>8</v>
      </c>
      <c r="H50" s="57">
        <f>SUM('ASR3001:ASR3044'!H50)</f>
        <v>8</v>
      </c>
      <c r="I50" s="57">
        <f>SUM('ASR3001:ASR3044'!I50)</f>
        <v>1</v>
      </c>
      <c r="J50" s="57">
        <f>SUM('ASR3001:ASR3044'!J50)</f>
        <v>7</v>
      </c>
      <c r="K50" s="57">
        <f>SUM('ASR3001:ASR3044'!K50)</f>
        <v>17</v>
      </c>
      <c r="L50" s="156">
        <f>SUM('ASR3001:ASR3044'!L50)</f>
        <v>27</v>
      </c>
      <c r="M50" s="144">
        <f>SUM('ASR3001:ASR3044'!M50)</f>
        <v>33</v>
      </c>
    </row>
    <row r="51" spans="1:13" s="8" customFormat="1" ht="11.25" customHeight="1">
      <c r="A51" s="10" t="s">
        <v>27</v>
      </c>
      <c r="B51" s="57">
        <f>SUM('ASR3001:ASR3044'!B51)</f>
        <v>0</v>
      </c>
      <c r="C51" s="57">
        <f>SUM('ASR3001:ASR3044'!C51)</f>
        <v>0</v>
      </c>
      <c r="D51" s="57">
        <f>SUM('ASR3001:ASR3044'!D51)</f>
        <v>0</v>
      </c>
      <c r="E51" s="57">
        <f>SUM('ASR3001:ASR3044'!E51)</f>
        <v>0</v>
      </c>
      <c r="F51" s="57">
        <f>SUM('ASR3001:ASR3044'!F51)</f>
        <v>0</v>
      </c>
      <c r="G51" s="57">
        <f>SUM('ASR3001:ASR3044'!G51)</f>
        <v>0</v>
      </c>
      <c r="H51" s="57">
        <f>SUM('ASR3001:ASR3044'!H51)</f>
        <v>0</v>
      </c>
      <c r="I51" s="57">
        <f>SUM('ASR3001:ASR3044'!I51)</f>
        <v>0</v>
      </c>
      <c r="J51" s="57">
        <f>SUM('ASR3001:ASR3044'!J51)</f>
        <v>0</v>
      </c>
      <c r="K51" s="57">
        <f>SUM('ASR3001:ASR3044'!K51)</f>
        <v>0</v>
      </c>
      <c r="L51" s="156">
        <f>SUM('ASR3001:ASR3044'!L51)</f>
        <v>1</v>
      </c>
      <c r="M51" s="144">
        <f>SUM('ASR3001:ASR3044'!M51)</f>
        <v>0</v>
      </c>
    </row>
    <row r="52" spans="1:13" s="8" customFormat="1" ht="11.25" customHeight="1" thickBot="1">
      <c r="A52" s="11" t="s">
        <v>16</v>
      </c>
      <c r="B52" s="60">
        <f t="shared" ref="B52:L52" si="5">SUM(B34:B51)</f>
        <v>199</v>
      </c>
      <c r="C52" s="60">
        <f t="shared" si="5"/>
        <v>168</v>
      </c>
      <c r="D52" s="60">
        <f t="shared" si="5"/>
        <v>214</v>
      </c>
      <c r="E52" s="60">
        <f t="shared" si="5"/>
        <v>153</v>
      </c>
      <c r="F52" s="60">
        <f t="shared" si="5"/>
        <v>177</v>
      </c>
      <c r="G52" s="60">
        <f t="shared" si="5"/>
        <v>166</v>
      </c>
      <c r="H52" s="60">
        <f t="shared" si="5"/>
        <v>210</v>
      </c>
      <c r="I52" s="60">
        <f t="shared" si="5"/>
        <v>242</v>
      </c>
      <c r="J52" s="60">
        <f t="shared" si="5"/>
        <v>192</v>
      </c>
      <c r="K52" s="60">
        <f t="shared" si="5"/>
        <v>176</v>
      </c>
      <c r="L52" s="159">
        <f t="shared" si="5"/>
        <v>229</v>
      </c>
      <c r="M52" s="152">
        <f>SUM(M34:M51)</f>
        <v>247</v>
      </c>
    </row>
    <row r="53" spans="1:13" ht="12" customHeight="1" thickBot="1">
      <c r="A53" s="55" t="s">
        <v>137</v>
      </c>
      <c r="B53" s="50">
        <v>41275</v>
      </c>
      <c r="C53" s="47">
        <v>41306</v>
      </c>
      <c r="D53" s="47">
        <v>41334</v>
      </c>
      <c r="E53" s="47">
        <v>41365</v>
      </c>
      <c r="F53" s="47">
        <v>41395</v>
      </c>
      <c r="G53" s="47">
        <v>41426</v>
      </c>
      <c r="H53" s="47">
        <v>41456</v>
      </c>
      <c r="I53" s="47">
        <v>41487</v>
      </c>
      <c r="J53" s="47">
        <v>41518</v>
      </c>
      <c r="K53" s="47">
        <v>41548</v>
      </c>
      <c r="L53" s="47">
        <v>41579</v>
      </c>
      <c r="M53" s="51">
        <v>41609</v>
      </c>
    </row>
    <row r="54" spans="1:13" s="8" customFormat="1" ht="11.25" customHeight="1">
      <c r="A54" s="10" t="s">
        <v>30</v>
      </c>
      <c r="B54" s="57">
        <f>SUM('ASR3001:ASR3044'!B54)</f>
        <v>5</v>
      </c>
      <c r="C54" s="57">
        <f>SUM('ASR3001:ASR3044'!C54)</f>
        <v>0</v>
      </c>
      <c r="D54" s="57">
        <f>SUM('ASR3001:ASR3044'!D54)</f>
        <v>1</v>
      </c>
      <c r="E54" s="57">
        <f>SUM('ASR3001:ASR3044'!E54)</f>
        <v>0</v>
      </c>
      <c r="F54" s="57">
        <f>SUM('ASR3001:ASR3044'!F54)</f>
        <v>5</v>
      </c>
      <c r="G54" s="57">
        <f>SUM('ASR3001:ASR3044'!G54)</f>
        <v>3</v>
      </c>
      <c r="H54" s="57">
        <f>SUM('ASR3001:ASR3044'!H54)</f>
        <v>3</v>
      </c>
      <c r="I54" s="57">
        <f>SUM('ASR3001:ASR3044'!I54)</f>
        <v>3</v>
      </c>
      <c r="J54" s="57">
        <f>SUM('ASR3001:ASR3044'!J54)</f>
        <v>6</v>
      </c>
      <c r="K54" s="57">
        <f>SUM('ASR3001:ASR3044'!K54)</f>
        <v>10</v>
      </c>
      <c r="L54" s="156">
        <f>SUM('ASR3001:ASR3044'!L54)</f>
        <v>4</v>
      </c>
      <c r="M54" s="144">
        <f>SUM('ASR3001:ASR3044'!M54)</f>
        <v>5</v>
      </c>
    </row>
    <row r="55" spans="1:13" s="8" customFormat="1" ht="11.25" customHeight="1">
      <c r="A55" s="10" t="s">
        <v>29</v>
      </c>
      <c r="B55" s="57">
        <f>SUM('ASR3001:ASR3044'!B55)</f>
        <v>2</v>
      </c>
      <c r="C55" s="57">
        <f>SUM('ASR3001:ASR3044'!C55)</f>
        <v>0</v>
      </c>
      <c r="D55" s="57">
        <f>SUM('ASR3001:ASR3044'!D55)</f>
        <v>0</v>
      </c>
      <c r="E55" s="57">
        <f>SUM('ASR3001:ASR3044'!E55)</f>
        <v>0</v>
      </c>
      <c r="F55" s="57">
        <f>SUM('ASR3001:ASR3044'!F55)</f>
        <v>0</v>
      </c>
      <c r="G55" s="57">
        <f>SUM('ASR3001:ASR3044'!G55)</f>
        <v>0</v>
      </c>
      <c r="H55" s="57">
        <f>SUM('ASR3001:ASR3044'!H55)</f>
        <v>0</v>
      </c>
      <c r="I55" s="57">
        <f>SUM('ASR3001:ASR3044'!I55)</f>
        <v>0</v>
      </c>
      <c r="J55" s="57">
        <f>SUM('ASR3001:ASR3044'!J55)</f>
        <v>0</v>
      </c>
      <c r="K55" s="57">
        <f>SUM('ASR3001:ASR3044'!K55)</f>
        <v>0</v>
      </c>
      <c r="L55" s="156">
        <f>SUM('ASR3001:ASR3044'!L55)</f>
        <v>0</v>
      </c>
      <c r="M55" s="144">
        <f>SUM('ASR3001:ASR3044'!M55)</f>
        <v>0</v>
      </c>
    </row>
    <row r="56" spans="1:13" s="8" customFormat="1" ht="11.25" customHeight="1">
      <c r="A56" s="10" t="s">
        <v>7</v>
      </c>
      <c r="B56" s="57">
        <f>SUM('ASR3001:ASR3044'!B56)</f>
        <v>0</v>
      </c>
      <c r="C56" s="57">
        <f>SUM('ASR3001:ASR3044'!C56)</f>
        <v>1</v>
      </c>
      <c r="D56" s="57">
        <f>SUM('ASR3001:ASR3044'!D56)</f>
        <v>2</v>
      </c>
      <c r="E56" s="57">
        <f>SUM('ASR3001:ASR3044'!E56)</f>
        <v>4</v>
      </c>
      <c r="F56" s="57">
        <f>SUM('ASR3001:ASR3044'!F56)</f>
        <v>12</v>
      </c>
      <c r="G56" s="57">
        <f>SUM('ASR3001:ASR3044'!G56)</f>
        <v>8</v>
      </c>
      <c r="H56" s="57">
        <f>SUM('ASR3001:ASR3044'!H56)</f>
        <v>3</v>
      </c>
      <c r="I56" s="57">
        <f>SUM('ASR3001:ASR3044'!I56)</f>
        <v>10</v>
      </c>
      <c r="J56" s="57">
        <f>SUM('ASR3001:ASR3044'!J56)</f>
        <v>20</v>
      </c>
      <c r="K56" s="57">
        <f>SUM('ASR3001:ASR3044'!K56)</f>
        <v>23</v>
      </c>
      <c r="L56" s="156">
        <f>SUM('ASR3001:ASR3044'!L56)</f>
        <v>48</v>
      </c>
      <c r="M56" s="144">
        <f>SUM('ASR3001:ASR3044'!M56)</f>
        <v>40</v>
      </c>
    </row>
    <row r="57" spans="1:13" s="8" customFormat="1" ht="11.25" customHeight="1">
      <c r="A57" s="10" t="s">
        <v>10</v>
      </c>
      <c r="B57" s="57">
        <f>SUM('ASR3001:ASR3044'!B57)</f>
        <v>0</v>
      </c>
      <c r="C57" s="57">
        <f>SUM('ASR3001:ASR3044'!C57)</f>
        <v>0</v>
      </c>
      <c r="D57" s="57">
        <f>SUM('ASR3001:ASR3044'!D57)</f>
        <v>0</v>
      </c>
      <c r="E57" s="57">
        <f>SUM('ASR3001:ASR3044'!E57)</f>
        <v>0</v>
      </c>
      <c r="F57" s="57">
        <f>SUM('ASR3001:ASR3044'!F57)</f>
        <v>0</v>
      </c>
      <c r="G57" s="57">
        <f>SUM('ASR3001:ASR3044'!G57)</f>
        <v>0</v>
      </c>
      <c r="H57" s="57">
        <f>SUM('ASR3001:ASR3044'!H57)</f>
        <v>0</v>
      </c>
      <c r="I57" s="57">
        <f>SUM('ASR3001:ASR3044'!I57)</f>
        <v>0</v>
      </c>
      <c r="J57" s="57">
        <f>SUM('ASR3001:ASR3044'!J57)</f>
        <v>0</v>
      </c>
      <c r="K57" s="57">
        <f>SUM('ASR3001:ASR3044'!K57)</f>
        <v>0</v>
      </c>
      <c r="L57" s="156">
        <f>SUM('ASR3001:ASR3044'!L57)</f>
        <v>0</v>
      </c>
      <c r="M57" s="144">
        <f>SUM('ASR3001:ASR3044'!M57)</f>
        <v>0</v>
      </c>
    </row>
    <row r="58" spans="1:13" s="8" customFormat="1" ht="11.25" customHeight="1">
      <c r="A58" s="10" t="s">
        <v>36</v>
      </c>
      <c r="B58" s="57">
        <f>SUM('ASR3001:ASR3044'!B58)</f>
        <v>146</v>
      </c>
      <c r="C58" s="57">
        <f>SUM('ASR3001:ASR3044'!C58)</f>
        <v>149</v>
      </c>
      <c r="D58" s="57">
        <f>SUM('ASR3001:ASR3044'!D58)</f>
        <v>151</v>
      </c>
      <c r="E58" s="57">
        <f>SUM('ASR3001:ASR3044'!E58)</f>
        <v>130</v>
      </c>
      <c r="F58" s="57">
        <f>SUM('ASR3001:ASR3044'!F58)</f>
        <v>150</v>
      </c>
      <c r="G58" s="57">
        <f>SUM('ASR3001:ASR3044'!G58)</f>
        <v>175</v>
      </c>
      <c r="H58" s="57">
        <f>SUM('ASR3001:ASR3044'!H58)</f>
        <v>238</v>
      </c>
      <c r="I58" s="57">
        <f>SUM('ASR3001:ASR3044'!I58)</f>
        <v>217</v>
      </c>
      <c r="J58" s="57">
        <f>SUM('ASR3001:ASR3044'!J58)</f>
        <v>259</v>
      </c>
      <c r="K58" s="57">
        <f>SUM('ASR3001:ASR3044'!K58)</f>
        <v>101</v>
      </c>
      <c r="L58" s="156">
        <f>SUM('ASR3001:ASR3044'!L58)</f>
        <v>178</v>
      </c>
      <c r="M58" s="144">
        <f>SUM('ASR3001:ASR3044'!M58)</f>
        <v>195</v>
      </c>
    </row>
    <row r="59" spans="1:13" s="8" customFormat="1" ht="11.25" customHeight="1">
      <c r="A59" s="10" t="s">
        <v>145</v>
      </c>
      <c r="B59" s="57">
        <f>SUM('ASR3001:ASR3044'!B59)</f>
        <v>0</v>
      </c>
      <c r="C59" s="57">
        <f>SUM('ASR3001:ASR3044'!C59)</f>
        <v>0</v>
      </c>
      <c r="D59" s="57">
        <f>SUM('ASR3001:ASR3044'!D59)</f>
        <v>0</v>
      </c>
      <c r="E59" s="57">
        <f>SUM('ASR3001:ASR3044'!E59)</f>
        <v>0</v>
      </c>
      <c r="F59" s="57">
        <f>SUM('ASR3001:ASR3044'!F59)</f>
        <v>0</v>
      </c>
      <c r="G59" s="57">
        <f>SUM('ASR3001:ASR3044'!G59)</f>
        <v>0</v>
      </c>
      <c r="H59" s="57">
        <f>SUM('ASR3001:ASR3044'!H59)</f>
        <v>0</v>
      </c>
      <c r="I59" s="57">
        <f>SUM('ASR3001:ASR3044'!I59)</f>
        <v>0</v>
      </c>
      <c r="J59" s="57">
        <f>SUM('ASR3001:ASR3044'!J59)</f>
        <v>0</v>
      </c>
      <c r="K59" s="57">
        <f>SUM('ASR3001:ASR3044'!K59)</f>
        <v>0</v>
      </c>
      <c r="L59" s="156">
        <f>SUM('ASR3001:ASR3044'!L59)</f>
        <v>0</v>
      </c>
      <c r="M59" s="144">
        <f>SUM('ASR3001:ASR3044'!M59)</f>
        <v>0</v>
      </c>
    </row>
    <row r="60" spans="1:13" s="8" customFormat="1" ht="11.25" customHeight="1">
      <c r="A60" s="10" t="s">
        <v>38</v>
      </c>
      <c r="B60" s="57">
        <f>SUM('ASR3001:ASR3044'!B60)</f>
        <v>0</v>
      </c>
      <c r="C60" s="57">
        <f>SUM('ASR3001:ASR3044'!C60)</f>
        <v>0</v>
      </c>
      <c r="D60" s="57">
        <f>SUM('ASR3001:ASR3044'!D60)</f>
        <v>1</v>
      </c>
      <c r="E60" s="57">
        <f>SUM('ASR3001:ASR3044'!E60)</f>
        <v>0</v>
      </c>
      <c r="F60" s="57">
        <f>SUM('ASR3001:ASR3044'!F60)</f>
        <v>0</v>
      </c>
      <c r="G60" s="57">
        <f>SUM('ASR3001:ASR3044'!G60)</f>
        <v>0</v>
      </c>
      <c r="H60" s="57">
        <f>SUM('ASR3001:ASR3044'!H60)</f>
        <v>0</v>
      </c>
      <c r="I60" s="57">
        <f>SUM('ASR3001:ASR3044'!I60)</f>
        <v>0</v>
      </c>
      <c r="J60" s="57">
        <f>SUM('ASR3001:ASR3044'!J60)</f>
        <v>0</v>
      </c>
      <c r="K60" s="57">
        <f>SUM('ASR3001:ASR3044'!K60)</f>
        <v>0</v>
      </c>
      <c r="L60" s="156">
        <f>SUM('ASR3001:ASR3044'!L60)</f>
        <v>0</v>
      </c>
      <c r="M60" s="144">
        <f>SUM('ASR3001:ASR3044'!M60)</f>
        <v>0</v>
      </c>
    </row>
    <row r="61" spans="1:13" s="8" customFormat="1" ht="11.25" customHeight="1">
      <c r="A61" s="10" t="s">
        <v>9</v>
      </c>
      <c r="B61" s="57">
        <f>SUM('ASR3001:ASR3044'!B61)</f>
        <v>0</v>
      </c>
      <c r="C61" s="57">
        <f>SUM('ASR3001:ASR3044'!C61)</f>
        <v>0</v>
      </c>
      <c r="D61" s="57">
        <f>SUM('ASR3001:ASR3044'!D61)</f>
        <v>0</v>
      </c>
      <c r="E61" s="57">
        <f>SUM('ASR3001:ASR3044'!E61)</f>
        <v>0</v>
      </c>
      <c r="F61" s="57">
        <f>SUM('ASR3001:ASR3044'!F61)</f>
        <v>0</v>
      </c>
      <c r="G61" s="57">
        <f>SUM('ASR3001:ASR3044'!G61)</f>
        <v>0</v>
      </c>
      <c r="H61" s="57">
        <f>SUM('ASR3001:ASR3044'!H61)</f>
        <v>0</v>
      </c>
      <c r="I61" s="57">
        <f>SUM('ASR3001:ASR3044'!I61)</f>
        <v>0</v>
      </c>
      <c r="J61" s="57">
        <f>SUM('ASR3001:ASR3044'!J61)</f>
        <v>0</v>
      </c>
      <c r="K61" s="57">
        <f>SUM('ASR3001:ASR3044'!K61)</f>
        <v>1</v>
      </c>
      <c r="L61" s="156">
        <f>SUM('ASR3001:ASR3044'!L61)</f>
        <v>0</v>
      </c>
      <c r="M61" s="144">
        <f>SUM('ASR3001:ASR3044'!M61)</f>
        <v>0</v>
      </c>
    </row>
    <row r="62" spans="1:13" s="8" customFormat="1" ht="11.25" customHeight="1">
      <c r="A62" s="10" t="s">
        <v>8</v>
      </c>
      <c r="B62" s="57">
        <f>SUM('ASR3001:ASR3044'!B62)</f>
        <v>0</v>
      </c>
      <c r="C62" s="57">
        <f>SUM('ASR3001:ASR3044'!C62)</f>
        <v>0</v>
      </c>
      <c r="D62" s="57">
        <f>SUM('ASR3001:ASR3044'!D62)</f>
        <v>0</v>
      </c>
      <c r="E62" s="57">
        <f>SUM('ASR3001:ASR3044'!E62)</f>
        <v>0</v>
      </c>
      <c r="F62" s="57">
        <f>SUM('ASR3001:ASR3044'!F62)</f>
        <v>0</v>
      </c>
      <c r="G62" s="57">
        <f>SUM('ASR3001:ASR3044'!G62)</f>
        <v>0</v>
      </c>
      <c r="H62" s="57">
        <f>SUM('ASR3001:ASR3044'!H62)</f>
        <v>0</v>
      </c>
      <c r="I62" s="57">
        <f>SUM('ASR3001:ASR3044'!I62)</f>
        <v>0</v>
      </c>
      <c r="J62" s="57">
        <f>SUM('ASR3001:ASR3044'!J62)</f>
        <v>0</v>
      </c>
      <c r="K62" s="57">
        <f>SUM('ASR3001:ASR3044'!K62)</f>
        <v>0</v>
      </c>
      <c r="L62" s="156">
        <f>SUM('ASR3001:ASR3044'!L62)</f>
        <v>0</v>
      </c>
      <c r="M62" s="144">
        <f>SUM('ASR3001:ASR3044'!M62)</f>
        <v>0</v>
      </c>
    </row>
    <row r="63" spans="1:13" s="8" customFormat="1" ht="11.25" customHeight="1">
      <c r="A63" s="10" t="s">
        <v>6</v>
      </c>
      <c r="B63" s="57">
        <f>SUM('ASR3001:ASR3044'!B63)</f>
        <v>0</v>
      </c>
      <c r="C63" s="57">
        <f>SUM('ASR3001:ASR3044'!C63)</f>
        <v>0</v>
      </c>
      <c r="D63" s="57">
        <f>SUM('ASR3001:ASR3044'!D63)</f>
        <v>0</v>
      </c>
      <c r="E63" s="57">
        <f>SUM('ASR3001:ASR3044'!E63)</f>
        <v>0</v>
      </c>
      <c r="F63" s="57">
        <f>SUM('ASR3001:ASR3044'!F63)</f>
        <v>0</v>
      </c>
      <c r="G63" s="57">
        <f>SUM('ASR3001:ASR3044'!G63)</f>
        <v>0</v>
      </c>
      <c r="H63" s="57">
        <f>SUM('ASR3001:ASR3044'!H63)</f>
        <v>0</v>
      </c>
      <c r="I63" s="57">
        <f>SUM('ASR3001:ASR3044'!I63)</f>
        <v>0</v>
      </c>
      <c r="J63" s="57">
        <f>SUM('ASR3001:ASR3044'!J63)</f>
        <v>0</v>
      </c>
      <c r="K63" s="57">
        <f>SUM('ASR3001:ASR3044'!K63)</f>
        <v>0</v>
      </c>
      <c r="L63" s="156">
        <f>SUM('ASR3001:ASR3044'!L63)</f>
        <v>0</v>
      </c>
      <c r="M63" s="144">
        <f>SUM('ASR3001:ASR3044'!M63)</f>
        <v>0</v>
      </c>
    </row>
    <row r="64" spans="1:13" s="8" customFormat="1" ht="11.25" customHeight="1">
      <c r="A64" s="52" t="s">
        <v>141</v>
      </c>
      <c r="B64" s="57">
        <f>SUM('ASR3001:ASR3044'!B64)</f>
        <v>0</v>
      </c>
      <c r="C64" s="57">
        <f>SUM('ASR3001:ASR3044'!C64)</f>
        <v>0</v>
      </c>
      <c r="D64" s="57">
        <f>SUM('ASR3001:ASR3044'!D64)</f>
        <v>0</v>
      </c>
      <c r="E64" s="57">
        <f>SUM('ASR3001:ASR3044'!E64)</f>
        <v>1</v>
      </c>
      <c r="F64" s="57">
        <f>SUM('ASR3001:ASR3044'!F64)</f>
        <v>1</v>
      </c>
      <c r="G64" s="57">
        <f>SUM('ASR3001:ASR3044'!G64)</f>
        <v>1</v>
      </c>
      <c r="H64" s="57">
        <f>SUM('ASR3001:ASR3044'!H64)</f>
        <v>1</v>
      </c>
      <c r="I64" s="57">
        <f>SUM('ASR3001:ASR3044'!I64)</f>
        <v>0</v>
      </c>
      <c r="J64" s="57">
        <f>SUM('ASR3001:ASR3044'!J64)</f>
        <v>1</v>
      </c>
      <c r="K64" s="57">
        <f>SUM('ASR3001:ASR3044'!K64)</f>
        <v>1</v>
      </c>
      <c r="L64" s="156">
        <f>SUM('ASR3001:ASR3044'!L64)</f>
        <v>0</v>
      </c>
      <c r="M64" s="144">
        <f>SUM('ASR3001:ASR3044'!M64)</f>
        <v>0</v>
      </c>
    </row>
    <row r="65" spans="1:13" s="8" customFormat="1" ht="11.25" customHeight="1" thickBot="1">
      <c r="A65" s="12" t="s">
        <v>16</v>
      </c>
      <c r="B65" s="70">
        <f>SUM(B54:B64)</f>
        <v>153</v>
      </c>
      <c r="C65" s="70">
        <f t="shared" ref="C65:L65" si="6">SUM(C54:C64)</f>
        <v>150</v>
      </c>
      <c r="D65" s="70">
        <f t="shared" si="6"/>
        <v>155</v>
      </c>
      <c r="E65" s="70">
        <f t="shared" si="6"/>
        <v>135</v>
      </c>
      <c r="F65" s="70">
        <f t="shared" si="6"/>
        <v>168</v>
      </c>
      <c r="G65" s="70">
        <f t="shared" si="6"/>
        <v>187</v>
      </c>
      <c r="H65" s="70">
        <f t="shared" si="6"/>
        <v>245</v>
      </c>
      <c r="I65" s="70">
        <f t="shared" si="6"/>
        <v>230</v>
      </c>
      <c r="J65" s="70">
        <f t="shared" si="6"/>
        <v>286</v>
      </c>
      <c r="K65" s="70">
        <f t="shared" si="6"/>
        <v>136</v>
      </c>
      <c r="L65" s="165">
        <f t="shared" si="6"/>
        <v>230</v>
      </c>
      <c r="M65" s="153">
        <f>SUM(M54:M64)</f>
        <v>240</v>
      </c>
    </row>
    <row r="66" spans="1:13" s="8" customFormat="1" ht="15.75" customHeight="1">
      <c r="A66" s="6"/>
      <c r="B66" s="7"/>
      <c r="C66" s="7"/>
      <c r="D66" s="7"/>
      <c r="E66" s="7"/>
      <c r="F66" s="7"/>
      <c r="G66" s="49"/>
      <c r="H66" s="7"/>
      <c r="I66" s="7"/>
      <c r="J66" s="7"/>
      <c r="K66" s="7"/>
      <c r="L66" s="7"/>
      <c r="M66" s="7"/>
    </row>
    <row r="67" spans="1:13" ht="12" customHeight="1">
      <c r="A67" s="6"/>
      <c r="B67" s="7"/>
      <c r="C67" s="7"/>
      <c r="D67" s="7"/>
      <c r="E67" s="7"/>
      <c r="F67" s="7"/>
      <c r="G67" s="49"/>
      <c r="H67" s="7"/>
      <c r="I67" s="7"/>
      <c r="J67" s="7"/>
      <c r="K67" s="7"/>
      <c r="L67" s="7"/>
      <c r="M67" s="7"/>
    </row>
    <row r="68" spans="1:13" ht="11.25" customHeight="1">
      <c r="A68" s="6"/>
      <c r="B68" s="7"/>
      <c r="C68" s="7"/>
      <c r="D68" s="7"/>
      <c r="E68" s="7"/>
      <c r="F68" s="7"/>
      <c r="G68" s="49"/>
      <c r="H68" s="7"/>
      <c r="I68" s="7"/>
      <c r="J68" s="7"/>
      <c r="K68" s="7"/>
      <c r="L68" s="7"/>
      <c r="M68" s="7"/>
    </row>
    <row r="69" spans="1:13" ht="11.25" customHeight="1">
      <c r="A69" s="6"/>
      <c r="B69" s="7"/>
      <c r="C69" s="7"/>
      <c r="D69" s="7"/>
      <c r="E69" s="7"/>
      <c r="F69" s="7"/>
      <c r="G69" s="49"/>
      <c r="H69" s="7"/>
      <c r="I69" s="7"/>
      <c r="J69" s="7"/>
      <c r="K69" s="7"/>
      <c r="L69" s="7"/>
      <c r="M69" s="7"/>
    </row>
    <row r="70" spans="1:13">
      <c r="B70" s="13"/>
      <c r="C70" s="13"/>
      <c r="D70" s="13"/>
      <c r="E70" s="13"/>
      <c r="F70" s="13"/>
      <c r="G70" s="13"/>
      <c r="H70" s="13"/>
      <c r="I70" s="13"/>
      <c r="J70" s="13"/>
      <c r="K70" s="13"/>
      <c r="L70" s="13"/>
      <c r="M70" s="13"/>
    </row>
  </sheetData>
  <printOptions horizontalCentered="1" verticalCentered="1"/>
  <pageMargins left="0.14000000000000001" right="0.16" top="0.25" bottom="0.5" header="0.5" footer="0.25"/>
  <pageSetup scale="95" firstPageNumber="3" orientation="portrait" useFirstPageNumber="1" r:id="rId1"/>
  <headerFooter alignWithMargins="0">
    <oddFooter>&amp;R5 of 51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67"/>
  <sheetViews>
    <sheetView view="pageBreakPreview" zoomScale="90" zoomScaleNormal="100" zoomScaleSheetLayoutView="90" workbookViewId="0">
      <selection activeCell="M65" sqref="M65"/>
    </sheetView>
  </sheetViews>
  <sheetFormatPr defaultRowHeight="12.75"/>
  <cols>
    <col min="1" max="1" width="22.85546875" style="1" customWidth="1"/>
    <col min="2" max="13" width="7.140625" style="1" customWidth="1"/>
    <col min="14" max="14" width="4.42578125" style="1" customWidth="1"/>
    <col min="15" max="16384" width="9.140625" style="1"/>
  </cols>
  <sheetData>
    <row r="1" spans="1:21" ht="18" customHeight="1">
      <c r="A1" s="130"/>
      <c r="B1" s="131"/>
      <c r="C1" s="131"/>
      <c r="D1" s="131"/>
      <c r="E1" s="131"/>
      <c r="F1" s="131"/>
      <c r="G1" s="131"/>
      <c r="H1" s="130"/>
      <c r="I1" s="131"/>
      <c r="J1" s="131"/>
      <c r="K1" s="131"/>
      <c r="L1" s="143"/>
      <c r="M1" s="143" t="s">
        <v>22</v>
      </c>
    </row>
    <row r="2" spans="1:21" ht="18" customHeight="1">
      <c r="A2" s="130"/>
      <c r="B2" s="135"/>
      <c r="C2" s="135"/>
      <c r="D2" s="135"/>
      <c r="E2" s="135"/>
      <c r="F2" s="135"/>
      <c r="G2" s="135"/>
      <c r="H2" s="130"/>
      <c r="I2" s="135"/>
      <c r="J2" s="135"/>
      <c r="K2" s="135"/>
      <c r="L2" s="155"/>
      <c r="M2" s="155" t="s">
        <v>2181</v>
      </c>
    </row>
    <row r="3" spans="1:21" s="5" customFormat="1" ht="18" customHeight="1">
      <c r="A3" s="133"/>
      <c r="B3" s="133"/>
      <c r="C3" s="133"/>
      <c r="D3" s="133"/>
      <c r="E3" s="133"/>
      <c r="F3" s="133"/>
      <c r="G3" s="133"/>
      <c r="H3" s="133"/>
      <c r="I3" s="133"/>
      <c r="J3" s="136"/>
      <c r="K3" s="136"/>
      <c r="L3" s="155"/>
      <c r="M3" s="155" t="s">
        <v>55</v>
      </c>
      <c r="N3" s="134"/>
      <c r="O3" s="134"/>
      <c r="P3" s="134"/>
      <c r="Q3" s="134"/>
      <c r="R3" s="134"/>
      <c r="S3" s="134"/>
      <c r="T3" s="134"/>
      <c r="U3" s="134"/>
    </row>
    <row r="4" spans="1:21" s="8" customFormat="1" ht="6.75" customHeight="1" thickBot="1">
      <c r="A4" s="38"/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</row>
    <row r="5" spans="1:21" s="8" customFormat="1" ht="11.25" customHeight="1" thickBot="1">
      <c r="A5" s="53" t="s">
        <v>19</v>
      </c>
      <c r="B5" s="50">
        <v>41275</v>
      </c>
      <c r="C5" s="47">
        <v>41306</v>
      </c>
      <c r="D5" s="47">
        <v>41334</v>
      </c>
      <c r="E5" s="47">
        <v>41365</v>
      </c>
      <c r="F5" s="47">
        <v>41395</v>
      </c>
      <c r="G5" s="47">
        <v>41426</v>
      </c>
      <c r="H5" s="47">
        <v>41456</v>
      </c>
      <c r="I5" s="47">
        <v>41487</v>
      </c>
      <c r="J5" s="47">
        <v>41518</v>
      </c>
      <c r="K5" s="47">
        <v>41548</v>
      </c>
      <c r="L5" s="47">
        <v>41579</v>
      </c>
      <c r="M5" s="51">
        <v>41609</v>
      </c>
    </row>
    <row r="6" spans="1:21" s="8" customFormat="1" ht="11.25" customHeight="1">
      <c r="A6" s="41" t="s">
        <v>129</v>
      </c>
      <c r="B6" s="57">
        <f>B32</f>
        <v>54</v>
      </c>
      <c r="C6" s="57">
        <f>C32</f>
        <v>47</v>
      </c>
      <c r="D6" s="57">
        <f t="shared" ref="D6:M6" si="0">D32</f>
        <v>30</v>
      </c>
      <c r="E6" s="57">
        <f t="shared" si="0"/>
        <v>33</v>
      </c>
      <c r="F6" s="57">
        <f t="shared" si="0"/>
        <v>34</v>
      </c>
      <c r="G6" s="57">
        <f t="shared" si="0"/>
        <v>44</v>
      </c>
      <c r="H6" s="57">
        <f t="shared" si="0"/>
        <v>43</v>
      </c>
      <c r="I6" s="57">
        <f t="shared" si="0"/>
        <v>35</v>
      </c>
      <c r="J6" s="57">
        <f t="shared" si="0"/>
        <v>46</v>
      </c>
      <c r="K6" s="57">
        <f t="shared" si="0"/>
        <v>15</v>
      </c>
      <c r="L6" s="156">
        <f t="shared" si="0"/>
        <v>18</v>
      </c>
      <c r="M6" s="168">
        <f t="shared" si="0"/>
        <v>35</v>
      </c>
    </row>
    <row r="7" spans="1:21" s="8" customFormat="1" ht="11.25" customHeight="1">
      <c r="A7" s="42" t="s">
        <v>18</v>
      </c>
      <c r="B7" s="57">
        <f>SUM(B10:B12)</f>
        <v>81</v>
      </c>
      <c r="C7" s="57">
        <f>SUM(C10:C12)</f>
        <v>69</v>
      </c>
      <c r="D7" s="57">
        <f t="shared" ref="D7:M7" si="1">SUM(D10:D12)</f>
        <v>87</v>
      </c>
      <c r="E7" s="57">
        <f t="shared" si="1"/>
        <v>68</v>
      </c>
      <c r="F7" s="57">
        <f t="shared" si="1"/>
        <v>79</v>
      </c>
      <c r="G7" s="57">
        <f t="shared" si="1"/>
        <v>85</v>
      </c>
      <c r="H7" s="57">
        <f t="shared" si="1"/>
        <v>111</v>
      </c>
      <c r="I7" s="57">
        <f t="shared" si="1"/>
        <v>126</v>
      </c>
      <c r="J7" s="57">
        <f t="shared" si="1"/>
        <v>132</v>
      </c>
      <c r="K7" s="57">
        <f t="shared" si="1"/>
        <v>118</v>
      </c>
      <c r="L7" s="156">
        <f t="shared" si="1"/>
        <v>111</v>
      </c>
      <c r="M7" s="171">
        <f t="shared" si="1"/>
        <v>94</v>
      </c>
    </row>
    <row r="8" spans="1:21" s="8" customFormat="1" ht="11.25" customHeight="1" thickBot="1">
      <c r="A8" s="43" t="s">
        <v>14</v>
      </c>
      <c r="B8" s="58">
        <f>SUM(B6:B7)</f>
        <v>135</v>
      </c>
      <c r="C8" s="58">
        <f t="shared" ref="C8:M8" si="2">SUM(C6:C7)</f>
        <v>116</v>
      </c>
      <c r="D8" s="58">
        <f t="shared" si="2"/>
        <v>117</v>
      </c>
      <c r="E8" s="58">
        <f t="shared" si="2"/>
        <v>101</v>
      </c>
      <c r="F8" s="58">
        <f t="shared" si="2"/>
        <v>113</v>
      </c>
      <c r="G8" s="58">
        <f t="shared" si="2"/>
        <v>129</v>
      </c>
      <c r="H8" s="58">
        <f t="shared" si="2"/>
        <v>154</v>
      </c>
      <c r="I8" s="58">
        <f t="shared" si="2"/>
        <v>161</v>
      </c>
      <c r="J8" s="58">
        <f t="shared" si="2"/>
        <v>178</v>
      </c>
      <c r="K8" s="58">
        <f t="shared" si="2"/>
        <v>133</v>
      </c>
      <c r="L8" s="157">
        <f t="shared" si="2"/>
        <v>129</v>
      </c>
      <c r="M8" s="172">
        <f t="shared" si="2"/>
        <v>129</v>
      </c>
    </row>
    <row r="9" spans="1:21" s="8" customFormat="1" ht="11.25" customHeight="1" thickBot="1">
      <c r="A9" s="54" t="s">
        <v>18</v>
      </c>
      <c r="B9" s="50">
        <v>41275</v>
      </c>
      <c r="C9" s="47">
        <v>41306</v>
      </c>
      <c r="D9" s="47">
        <v>41334</v>
      </c>
      <c r="E9" s="47">
        <v>41365</v>
      </c>
      <c r="F9" s="47">
        <v>41395</v>
      </c>
      <c r="G9" s="47">
        <v>41426</v>
      </c>
      <c r="H9" s="47">
        <v>41456</v>
      </c>
      <c r="I9" s="47">
        <v>41487</v>
      </c>
      <c r="J9" s="47">
        <v>41518</v>
      </c>
      <c r="K9" s="47">
        <v>41548</v>
      </c>
      <c r="L9" s="47">
        <v>41579</v>
      </c>
      <c r="M9" s="51">
        <v>41609</v>
      </c>
    </row>
    <row r="10" spans="1:21" s="8" customFormat="1" ht="11.25" customHeight="1">
      <c r="A10" s="9" t="s">
        <v>128</v>
      </c>
      <c r="B10" s="57">
        <f>B52</f>
        <v>35</v>
      </c>
      <c r="C10" s="57">
        <f t="shared" ref="C10:M10" si="3">C52</f>
        <v>34</v>
      </c>
      <c r="D10" s="57">
        <f t="shared" si="3"/>
        <v>40</v>
      </c>
      <c r="E10" s="57">
        <f t="shared" si="3"/>
        <v>28</v>
      </c>
      <c r="F10" s="57">
        <f t="shared" si="3"/>
        <v>31</v>
      </c>
      <c r="G10" s="59">
        <f t="shared" si="3"/>
        <v>38</v>
      </c>
      <c r="H10" s="59">
        <f t="shared" si="3"/>
        <v>50</v>
      </c>
      <c r="I10" s="59">
        <f t="shared" si="3"/>
        <v>73</v>
      </c>
      <c r="J10" s="59">
        <f t="shared" si="3"/>
        <v>80</v>
      </c>
      <c r="K10" s="59">
        <f t="shared" si="3"/>
        <v>47</v>
      </c>
      <c r="L10" s="158">
        <f t="shared" si="3"/>
        <v>36</v>
      </c>
      <c r="M10" s="168">
        <f t="shared" si="3"/>
        <v>55</v>
      </c>
    </row>
    <row r="11" spans="1:21" s="8" customFormat="1" ht="11.25" customHeight="1">
      <c r="A11" s="9" t="s">
        <v>127</v>
      </c>
      <c r="B11" s="59">
        <f>B65</f>
        <v>10</v>
      </c>
      <c r="C11" s="59">
        <f>C65</f>
        <v>3</v>
      </c>
      <c r="D11" s="59">
        <f t="shared" ref="D11:M11" si="4">D65</f>
        <v>11</v>
      </c>
      <c r="E11" s="59">
        <f t="shared" si="4"/>
        <v>30</v>
      </c>
      <c r="F11" s="59">
        <f t="shared" si="4"/>
        <v>18</v>
      </c>
      <c r="G11" s="59">
        <f t="shared" si="4"/>
        <v>2</v>
      </c>
      <c r="H11" s="59">
        <f t="shared" si="4"/>
        <v>16</v>
      </c>
      <c r="I11" s="59">
        <f t="shared" si="4"/>
        <v>5</v>
      </c>
      <c r="J11" s="59">
        <f t="shared" si="4"/>
        <v>2</v>
      </c>
      <c r="K11" s="59">
        <f t="shared" si="4"/>
        <v>2</v>
      </c>
      <c r="L11" s="158">
        <f t="shared" si="4"/>
        <v>6</v>
      </c>
      <c r="M11" s="169">
        <f t="shared" si="4"/>
        <v>4</v>
      </c>
    </row>
    <row r="12" spans="1:21" s="8" customFormat="1" ht="11.25" customHeight="1" thickBot="1">
      <c r="A12" s="2" t="s">
        <v>12</v>
      </c>
      <c r="B12" s="60">
        <f>COUNTIFS(Jan!$B:$B,2011,Jan!$F:$F,800)</f>
        <v>36</v>
      </c>
      <c r="C12" s="60">
        <v>32</v>
      </c>
      <c r="D12" s="60">
        <v>36</v>
      </c>
      <c r="E12" s="60">
        <v>10</v>
      </c>
      <c r="F12" s="60">
        <v>30</v>
      </c>
      <c r="G12" s="60">
        <v>45</v>
      </c>
      <c r="H12" s="60">
        <v>45</v>
      </c>
      <c r="I12" s="60">
        <v>48</v>
      </c>
      <c r="J12" s="60">
        <v>50</v>
      </c>
      <c r="K12" s="60">
        <v>69</v>
      </c>
      <c r="L12" s="60">
        <v>69</v>
      </c>
      <c r="M12" s="60">
        <v>35</v>
      </c>
    </row>
    <row r="13" spans="1:21" s="8" customFormat="1" ht="5.0999999999999996" customHeight="1" thickBot="1">
      <c r="A13" s="3"/>
      <c r="B13" s="17"/>
      <c r="C13" s="17"/>
      <c r="D13" s="17"/>
      <c r="E13" s="17"/>
      <c r="F13" s="17"/>
      <c r="G13" s="17"/>
      <c r="H13" s="17"/>
      <c r="I13" s="17"/>
      <c r="J13" s="17"/>
      <c r="K13" s="17"/>
      <c r="L13" s="17"/>
      <c r="M13" s="147"/>
    </row>
    <row r="14" spans="1:21" s="16" customFormat="1" ht="11.25" customHeight="1">
      <c r="A14" s="44" t="s">
        <v>131</v>
      </c>
      <c r="B14" s="120">
        <v>24129</v>
      </c>
      <c r="C14" s="120">
        <v>25048</v>
      </c>
      <c r="D14" s="120">
        <v>26287</v>
      </c>
      <c r="E14" s="120">
        <v>24110</v>
      </c>
      <c r="F14" s="120">
        <v>26497</v>
      </c>
      <c r="G14" s="120">
        <v>27545</v>
      </c>
      <c r="H14" s="119">
        <v>25194</v>
      </c>
      <c r="I14" s="61">
        <v>24630</v>
      </c>
      <c r="J14" s="61">
        <v>26473</v>
      </c>
      <c r="K14" s="118">
        <v>25567</v>
      </c>
      <c r="L14" s="160">
        <v>22939</v>
      </c>
      <c r="M14" s="173">
        <v>39837</v>
      </c>
      <c r="O14" s="22"/>
      <c r="P14" s="22"/>
      <c r="Q14" s="22"/>
    </row>
    <row r="15" spans="1:21" s="8" customFormat="1" ht="11.25" customHeight="1">
      <c r="A15" s="45" t="s">
        <v>132</v>
      </c>
      <c r="B15" s="62">
        <f>IFERROR((SUMIFS(Jan!$N:$N,Jan!$J:$J,1,Jan!$B:$B,2011)+SUMIFS(Jan!$N:$N,Jan!$D:$D,"&gt;1",Jan!$B:$B,2011))/(COUNTIFS(Jan!$J:$J,1,Jan!$B:$B,2011)+COUNTIFS(Jan!$D:$D,"&gt;1",Jan!$B:$B,2011)),"")</f>
        <v>35.152173913043477</v>
      </c>
      <c r="C15" s="62">
        <v>34.74</v>
      </c>
      <c r="D15" s="62">
        <v>33.450000000000003</v>
      </c>
      <c r="E15" s="62">
        <v>33.840000000000003</v>
      </c>
      <c r="F15" s="62">
        <v>34.39</v>
      </c>
      <c r="G15" s="62">
        <v>32.590000000000003</v>
      </c>
      <c r="H15" s="62">
        <v>33.46</v>
      </c>
      <c r="I15" s="62">
        <v>34.4</v>
      </c>
      <c r="J15" s="62">
        <v>34.9</v>
      </c>
      <c r="K15" s="62">
        <v>32.549999999999997</v>
      </c>
      <c r="L15" s="62">
        <v>32.96</v>
      </c>
      <c r="M15" s="62">
        <v>33.229999999999997</v>
      </c>
      <c r="N15" s="15"/>
      <c r="O15" s="1"/>
      <c r="P15" s="1"/>
      <c r="Q15" s="1"/>
    </row>
    <row r="16" spans="1:21" s="8" customFormat="1" ht="11.25" customHeight="1">
      <c r="A16" s="45" t="s">
        <v>133</v>
      </c>
      <c r="B16" s="62">
        <f>IFERROR(AVERAGEIFS(Jan!$N:$N,Jan!$F:$F,800,Jan!$B:$B,2011),"")</f>
        <v>33.722222222222221</v>
      </c>
      <c r="C16" s="62">
        <v>35.32</v>
      </c>
      <c r="D16" s="62">
        <v>34.270000000000003</v>
      </c>
      <c r="E16" s="62">
        <v>31.9</v>
      </c>
      <c r="F16" s="62">
        <v>37.15</v>
      </c>
      <c r="G16" s="62">
        <v>34.46</v>
      </c>
      <c r="H16" s="62">
        <v>35.47</v>
      </c>
      <c r="I16" s="62">
        <v>35.159999999999997</v>
      </c>
      <c r="J16" s="62">
        <v>36.1</v>
      </c>
      <c r="K16" s="62">
        <v>32.86</v>
      </c>
      <c r="L16" s="62">
        <v>34.11</v>
      </c>
      <c r="M16" s="62">
        <v>33.78</v>
      </c>
      <c r="O16" s="1"/>
      <c r="P16" s="1"/>
      <c r="Q16" s="1"/>
    </row>
    <row r="17" spans="1:17" s="8" customFormat="1" ht="11.25" customHeight="1">
      <c r="A17" s="45" t="s">
        <v>134</v>
      </c>
      <c r="B17" s="63">
        <f>IFERROR((SUMIFS(Jan!$M:$M,Jan!$J:$J,1,Jan!$B:$B,2011)+SUMIFS(Jan!$M:$M,Jan!$D:$D,"&gt;1",Jan!$B:$B,2011))/(COUNTIFS(Jan!$J:$J,1,Jan!$B:$B,2011)+COUNTIFS(Jan!$D:$D,"&gt;1",Jan!$B:$B,2011)),"")</f>
        <v>0.52391304347826084</v>
      </c>
      <c r="C17" s="63">
        <v>0.75</v>
      </c>
      <c r="D17" s="63">
        <v>0.56000000000000005</v>
      </c>
      <c r="E17" s="63">
        <v>0.94</v>
      </c>
      <c r="F17" s="63">
        <v>0.6</v>
      </c>
      <c r="G17" s="63">
        <v>1.1000000000000001</v>
      </c>
      <c r="H17" s="63">
        <v>0.68</v>
      </c>
      <c r="I17" s="63">
        <v>0.88</v>
      </c>
      <c r="J17" s="63">
        <v>1.08</v>
      </c>
      <c r="K17" s="63">
        <v>0.54</v>
      </c>
      <c r="L17" s="63">
        <v>0.65</v>
      </c>
      <c r="M17" s="63">
        <v>1.06</v>
      </c>
      <c r="O17" s="1"/>
      <c r="P17" s="1"/>
      <c r="Q17" s="1"/>
    </row>
    <row r="18" spans="1:17" s="8" customFormat="1" ht="11.25" customHeight="1" thickBot="1">
      <c r="A18" s="43" t="s">
        <v>135</v>
      </c>
      <c r="B18" s="64">
        <f>IFERROR(AVERAGEIFS(Jan!$M:$M,Jan!$F:$F,800,Jan!$B:$B,2011),"")</f>
        <v>0.54999999999999993</v>
      </c>
      <c r="C18" s="64">
        <v>0.64</v>
      </c>
      <c r="D18" s="64">
        <v>0.52</v>
      </c>
      <c r="E18" s="64">
        <v>0.45</v>
      </c>
      <c r="F18" s="64">
        <v>0.54</v>
      </c>
      <c r="G18" s="64">
        <v>0.66</v>
      </c>
      <c r="H18" s="64">
        <v>0.49</v>
      </c>
      <c r="I18" s="64">
        <v>0.62</v>
      </c>
      <c r="J18" s="64">
        <v>0.57999999999999996</v>
      </c>
      <c r="K18" s="64">
        <v>0.53</v>
      </c>
      <c r="L18" s="64">
        <v>0.62</v>
      </c>
      <c r="M18" s="64">
        <v>0.56000000000000005</v>
      </c>
    </row>
    <row r="19" spans="1:17" s="8" customFormat="1" ht="5.0999999999999996" customHeight="1" thickBot="1">
      <c r="A19" s="3"/>
      <c r="B19" s="17"/>
      <c r="C19" s="17"/>
      <c r="D19" s="17"/>
      <c r="E19" s="17"/>
      <c r="F19" s="17"/>
      <c r="G19" s="17"/>
      <c r="H19" s="17"/>
      <c r="I19" s="17"/>
      <c r="J19" s="17"/>
      <c r="K19" s="17"/>
      <c r="L19" s="17"/>
      <c r="M19" s="147"/>
    </row>
    <row r="20" spans="1:17" s="8" customFormat="1" ht="11.25" customHeight="1">
      <c r="A20" s="42" t="s">
        <v>52</v>
      </c>
      <c r="B20" s="65">
        <v>31</v>
      </c>
      <c r="C20" s="65">
        <v>28</v>
      </c>
      <c r="D20" s="65">
        <v>31</v>
      </c>
      <c r="E20" s="65">
        <v>30</v>
      </c>
      <c r="F20" s="65">
        <v>31</v>
      </c>
      <c r="G20" s="65">
        <v>30</v>
      </c>
      <c r="H20" s="65">
        <v>31</v>
      </c>
      <c r="I20" s="65">
        <v>31</v>
      </c>
      <c r="J20" s="65">
        <v>30</v>
      </c>
      <c r="K20" s="65">
        <v>31</v>
      </c>
      <c r="L20" s="161">
        <v>30</v>
      </c>
      <c r="M20" s="174">
        <v>31</v>
      </c>
    </row>
    <row r="21" spans="1:17" s="8" customFormat="1" ht="11.25" customHeight="1">
      <c r="A21" s="9" t="s">
        <v>15</v>
      </c>
      <c r="B21" s="66">
        <f>B12/B20</f>
        <v>1.1612903225806452</v>
      </c>
      <c r="C21" s="66">
        <f t="shared" ref="C21:M21" si="5">C12/C20</f>
        <v>1.1428571428571428</v>
      </c>
      <c r="D21" s="66">
        <f>D12/D20</f>
        <v>1.1612903225806452</v>
      </c>
      <c r="E21" s="66">
        <f>E12/E20</f>
        <v>0.33333333333333331</v>
      </c>
      <c r="F21" s="66">
        <f>F12/F20</f>
        <v>0.967741935483871</v>
      </c>
      <c r="G21" s="66">
        <f>G12/G20</f>
        <v>1.5</v>
      </c>
      <c r="H21" s="66">
        <f t="shared" si="5"/>
        <v>1.4516129032258065</v>
      </c>
      <c r="I21" s="66">
        <f t="shared" si="5"/>
        <v>1.5483870967741935</v>
      </c>
      <c r="J21" s="66">
        <f t="shared" si="5"/>
        <v>1.6666666666666667</v>
      </c>
      <c r="K21" s="66">
        <f t="shared" si="5"/>
        <v>2.225806451612903</v>
      </c>
      <c r="L21" s="162">
        <f t="shared" si="5"/>
        <v>2.2999999999999998</v>
      </c>
      <c r="M21" s="175">
        <f t="shared" si="5"/>
        <v>1.1290322580645162</v>
      </c>
    </row>
    <row r="22" spans="1:17" s="8" customFormat="1" ht="11.25" customHeight="1">
      <c r="A22" s="9" t="s">
        <v>130</v>
      </c>
      <c r="B22" s="67">
        <f t="shared" ref="B22:G22" si="6">IFERROR(B12/B7,0)</f>
        <v>0.44444444444444442</v>
      </c>
      <c r="C22" s="67">
        <f t="shared" si="6"/>
        <v>0.46376811594202899</v>
      </c>
      <c r="D22" s="67">
        <f t="shared" si="6"/>
        <v>0.41379310344827586</v>
      </c>
      <c r="E22" s="67">
        <f t="shared" si="6"/>
        <v>0.14705882352941177</v>
      </c>
      <c r="F22" s="67">
        <f t="shared" si="6"/>
        <v>0.379746835443038</v>
      </c>
      <c r="G22" s="67">
        <f t="shared" si="6"/>
        <v>0.52941176470588236</v>
      </c>
      <c r="H22" s="67">
        <f t="shared" ref="H22:M22" si="7">IFERROR(H12/H7,0)</f>
        <v>0.40540540540540543</v>
      </c>
      <c r="I22" s="67">
        <f t="shared" si="7"/>
        <v>0.38095238095238093</v>
      </c>
      <c r="J22" s="67">
        <f t="shared" si="7"/>
        <v>0.37878787878787878</v>
      </c>
      <c r="K22" s="116">
        <f t="shared" si="7"/>
        <v>0.5847457627118644</v>
      </c>
      <c r="L22" s="67">
        <f t="shared" si="7"/>
        <v>0.6216216216216216</v>
      </c>
      <c r="M22" s="176">
        <f t="shared" si="7"/>
        <v>0.37234042553191488</v>
      </c>
      <c r="N22" s="1"/>
    </row>
    <row r="23" spans="1:17" s="8" customFormat="1" ht="11.25" customHeight="1" thickBot="1">
      <c r="A23" s="9" t="s">
        <v>53</v>
      </c>
      <c r="B23" s="67">
        <f t="shared" ref="B23:G23" si="8">IFERROR(B12/(B11+B12),0)</f>
        <v>0.78260869565217395</v>
      </c>
      <c r="C23" s="67">
        <f t="shared" si="8"/>
        <v>0.91428571428571426</v>
      </c>
      <c r="D23" s="67">
        <f t="shared" si="8"/>
        <v>0.76595744680851063</v>
      </c>
      <c r="E23" s="67">
        <f t="shared" si="8"/>
        <v>0.25</v>
      </c>
      <c r="F23" s="67">
        <f t="shared" si="8"/>
        <v>0.625</v>
      </c>
      <c r="G23" s="67">
        <f t="shared" si="8"/>
        <v>0.95744680851063835</v>
      </c>
      <c r="H23" s="67">
        <f t="shared" ref="H23:M23" si="9">IFERROR(H12/(H11+H12),0)</f>
        <v>0.73770491803278693</v>
      </c>
      <c r="I23" s="67">
        <f t="shared" si="9"/>
        <v>0.90566037735849059</v>
      </c>
      <c r="J23" s="67">
        <f t="shared" si="9"/>
        <v>0.96153846153846156</v>
      </c>
      <c r="K23" s="117">
        <f t="shared" si="9"/>
        <v>0.971830985915493</v>
      </c>
      <c r="L23" s="163">
        <f t="shared" si="9"/>
        <v>0.92</v>
      </c>
      <c r="M23" s="177">
        <f t="shared" si="9"/>
        <v>0.89743589743589747</v>
      </c>
      <c r="N23" s="4"/>
    </row>
    <row r="24" spans="1:17" s="8" customFormat="1" ht="11.25" customHeight="1" thickBot="1">
      <c r="A24" s="53" t="s">
        <v>21</v>
      </c>
      <c r="B24" s="50">
        <v>41275</v>
      </c>
      <c r="C24" s="47">
        <v>41306</v>
      </c>
      <c r="D24" s="47">
        <v>41334</v>
      </c>
      <c r="E24" s="47">
        <v>41365</v>
      </c>
      <c r="F24" s="47">
        <v>41395</v>
      </c>
      <c r="G24" s="47">
        <v>41426</v>
      </c>
      <c r="H24" s="47">
        <v>41456</v>
      </c>
      <c r="I24" s="47">
        <v>41487</v>
      </c>
      <c r="J24" s="47">
        <v>41518</v>
      </c>
      <c r="K24" s="47">
        <v>41548</v>
      </c>
      <c r="L24" s="47">
        <v>41579</v>
      </c>
      <c r="M24" s="51">
        <v>41609</v>
      </c>
    </row>
    <row r="25" spans="1:17" s="8" customFormat="1" ht="11.25" customHeight="1">
      <c r="A25" s="18" t="s">
        <v>5</v>
      </c>
      <c r="B25" s="68">
        <f>COUNTIFS(Jan!$B:$B,2011,Jan!$J:$J,18)</f>
        <v>1</v>
      </c>
      <c r="C25" s="68">
        <v>3</v>
      </c>
      <c r="D25" s="68">
        <v>1</v>
      </c>
      <c r="E25" s="68">
        <v>1</v>
      </c>
      <c r="F25" s="68">
        <f>COUNTIFS(May!$B:$B,2011,May!$J:$J,18)</f>
        <v>0</v>
      </c>
      <c r="G25" s="68">
        <v>1</v>
      </c>
      <c r="H25" s="68">
        <v>3</v>
      </c>
      <c r="I25" s="68">
        <v>5</v>
      </c>
      <c r="J25" s="68">
        <v>9</v>
      </c>
      <c r="K25" s="68">
        <f>COUNTIFS(Oct!$B:$B,2011,Oct!$J:$J,18)</f>
        <v>0</v>
      </c>
      <c r="L25" s="68">
        <f>COUNTIFS(Nov!$B:$B,2011,Nov!$J:$J,18)</f>
        <v>0</v>
      </c>
      <c r="M25" s="68">
        <v>6</v>
      </c>
    </row>
    <row r="26" spans="1:17" s="8" customFormat="1" ht="11.25" customHeight="1">
      <c r="A26" s="46" t="s">
        <v>40</v>
      </c>
      <c r="B26" s="57">
        <f>COUNTIFS(Jan!$B:$B,2011,Jan!$J:$J,41)</f>
        <v>0</v>
      </c>
      <c r="C26" s="57">
        <f>COUNTIFS(Feb!$B:$B,2011,Feb!$J:$J,41)</f>
        <v>0</v>
      </c>
      <c r="D26" s="57">
        <v>1</v>
      </c>
      <c r="E26" s="57">
        <f>COUNTIFS(Apr!$B:$B,2011,Apr!$J:$J,41)</f>
        <v>0</v>
      </c>
      <c r="F26" s="57">
        <f>COUNTIFS(May!$B:$B,2011,May!$J:$J,41)</f>
        <v>0</v>
      </c>
      <c r="G26" s="57">
        <v>4</v>
      </c>
      <c r="H26" s="57">
        <f>COUNTIFS(Jul!$B:$B,2011,Jul!$J:$J,41)</f>
        <v>0</v>
      </c>
      <c r="I26" s="57">
        <f>COUNTIFS(Aug!$B:$B,2011,Aug!$J:$J,41)</f>
        <v>0</v>
      </c>
      <c r="J26" s="57">
        <f>COUNTIFS(Sep!$B:$B,2011,Sep!$J:$J,41)</f>
        <v>0</v>
      </c>
      <c r="K26" s="57">
        <f>COUNTIFS(Oct!$B:$B,2011,Oct!$J:$J,41)</f>
        <v>0</v>
      </c>
      <c r="L26" s="57">
        <f>COUNTIFS(Nov!$B:$B,2011,Nov!$J:$J,41)</f>
        <v>0</v>
      </c>
      <c r="M26" s="57">
        <v>0</v>
      </c>
    </row>
    <row r="27" spans="1:17" s="8" customFormat="1" ht="11.25" customHeight="1">
      <c r="A27" s="9" t="s">
        <v>11</v>
      </c>
      <c r="B27" s="179">
        <f>COUNTIFS(Jan!$B:$B,2011,Jan!$J:$J,17)</f>
        <v>48</v>
      </c>
      <c r="C27" s="206">
        <v>40</v>
      </c>
      <c r="D27" s="206">
        <v>27</v>
      </c>
      <c r="E27" s="206">
        <v>31</v>
      </c>
      <c r="F27" s="206">
        <v>32</v>
      </c>
      <c r="G27" s="206">
        <v>35</v>
      </c>
      <c r="H27" s="206">
        <v>36</v>
      </c>
      <c r="I27" s="206">
        <v>27</v>
      </c>
      <c r="J27" s="206">
        <v>34</v>
      </c>
      <c r="K27" s="206">
        <v>11</v>
      </c>
      <c r="L27" s="206">
        <v>18</v>
      </c>
      <c r="M27" s="206">
        <v>27</v>
      </c>
    </row>
    <row r="28" spans="1:17" s="8" customFormat="1" ht="11.25" customHeight="1">
      <c r="A28" s="9" t="s">
        <v>143</v>
      </c>
      <c r="B28" s="59">
        <f>COUNTIFS(Jan!$B:$B,2011,Jan!$F:$F,455)</f>
        <v>0</v>
      </c>
      <c r="C28" s="59">
        <f>COUNTIFS(Feb!$B:$B,2011,Feb!$F:$F,455)</f>
        <v>0</v>
      </c>
      <c r="D28" s="59">
        <f>COUNTIFS(Mar!$B:$B,2011,Mar!$F:$F,455)</f>
        <v>0</v>
      </c>
      <c r="E28" s="59">
        <f>COUNTIFS(Apr!$B:$B,2011,Apr!$F:$F,455)</f>
        <v>0</v>
      </c>
      <c r="F28" s="59">
        <f>COUNTIFS(May!$B:$B,2011,May!$F:$F,455)</f>
        <v>0</v>
      </c>
      <c r="G28" s="59">
        <f>COUNTIFS(Jun!$B:$B,2011,Jun!$F:$F,455)</f>
        <v>0</v>
      </c>
      <c r="H28" s="59">
        <f>COUNTIFS(Jul!$B:$B,2011,Jul!$F:$F,455)</f>
        <v>0</v>
      </c>
      <c r="I28" s="59">
        <f>COUNTIFS(Aug!$B:$B,2011,Aug!$F:$F,455)</f>
        <v>0</v>
      </c>
      <c r="J28" s="59">
        <f>COUNTIFS(Sep!$B:$B,2011,Sep!$F:$F,455)</f>
        <v>0</v>
      </c>
      <c r="K28" s="59">
        <f>COUNTIFS(Oct!$B:$B,2011,Oct!$F:$F,455)</f>
        <v>0</v>
      </c>
      <c r="L28" s="59">
        <f>COUNTIFS(Nov!$B:$B,2011,Nov!$F:$F,455)</f>
        <v>0</v>
      </c>
      <c r="M28" s="59">
        <v>0</v>
      </c>
    </row>
    <row r="29" spans="1:17" s="8" customFormat="1" ht="11.25" customHeight="1">
      <c r="A29" s="9" t="s">
        <v>23</v>
      </c>
      <c r="B29" s="59">
        <f>COUNTIFS(Jan!$B:$B,2011,Jan!$J:$J,31)</f>
        <v>0</v>
      </c>
      <c r="C29" s="59">
        <f>COUNTIFS(Feb!$B:$B,2011,Feb!$J:$J,31)</f>
        <v>0</v>
      </c>
      <c r="D29" s="59">
        <f>COUNTIFS(Mar!$B:$B,2011,Mar!$J:$J,31)</f>
        <v>0</v>
      </c>
      <c r="E29" s="59">
        <f>COUNTIFS(Apr!$B:$B,2011,Apr!$J:$J,31)</f>
        <v>0</v>
      </c>
      <c r="F29" s="59">
        <f>COUNTIFS(May!$B:$B,2011,May!$J:$J,31)</f>
        <v>0</v>
      </c>
      <c r="G29" s="59">
        <f>COUNTIFS(Jun!$B:$B,2011,Jun!$J:$J,31)</f>
        <v>0</v>
      </c>
      <c r="H29" s="59">
        <f>COUNTIFS(Jul!$B:$B,2011,Jul!$J:$J,31)</f>
        <v>0</v>
      </c>
      <c r="I29" s="59">
        <f>COUNTIFS(Aug!$B:$B,2011,Aug!$J:$J,31)</f>
        <v>0</v>
      </c>
      <c r="J29" s="59">
        <f>COUNTIFS(Sep!$B:$B,2011,Sep!$J:$J,31)</f>
        <v>0</v>
      </c>
      <c r="K29" s="59">
        <f>COUNTIFS(Oct!$B:$B,2011,Oct!$J:$J,31)</f>
        <v>0</v>
      </c>
      <c r="L29" s="59">
        <f>COUNTIFS(Nov!$B:$B,2011,Nov!$J:$J,31)</f>
        <v>0</v>
      </c>
      <c r="M29" s="59">
        <v>0</v>
      </c>
    </row>
    <row r="30" spans="1:17" s="8" customFormat="1" ht="11.25" customHeight="1">
      <c r="A30" s="9" t="s">
        <v>37</v>
      </c>
      <c r="B30" s="59">
        <f>COUNTIFS(Jan!$B:$B,2011,Jan!$J:$J,4400)</f>
        <v>5</v>
      </c>
      <c r="C30" s="59">
        <v>4</v>
      </c>
      <c r="D30" s="59">
        <v>1</v>
      </c>
      <c r="E30" s="59">
        <v>1</v>
      </c>
      <c r="F30" s="59">
        <v>2</v>
      </c>
      <c r="G30" s="59">
        <v>4</v>
      </c>
      <c r="H30" s="59">
        <v>4</v>
      </c>
      <c r="I30" s="59">
        <v>3</v>
      </c>
      <c r="J30" s="59">
        <v>3</v>
      </c>
      <c r="K30" s="59">
        <v>4</v>
      </c>
      <c r="L30" s="59">
        <f>COUNTIFS(Nov!$B:$B,2011,Nov!$J:$J,4400)</f>
        <v>0</v>
      </c>
      <c r="M30" s="59">
        <v>2</v>
      </c>
    </row>
    <row r="31" spans="1:17" s="8" customFormat="1" ht="11.25" customHeight="1">
      <c r="A31" s="10" t="s">
        <v>24</v>
      </c>
      <c r="B31" s="59">
        <f>COUNTIFS(Jan!$B:$B,2011,Jan!$J:$J,30)</f>
        <v>0</v>
      </c>
      <c r="C31" s="59">
        <f>COUNTIFS(Feb!$B:$B,2011,Feb!$J:$J,30)</f>
        <v>0</v>
      </c>
      <c r="D31" s="59">
        <f>COUNTIFS(Mar!$B:$B,2011,Mar!$J:$J,30)</f>
        <v>0</v>
      </c>
      <c r="E31" s="59">
        <f>COUNTIFS(Apr!$B:$B,2011,Apr!$J:$J,30)</f>
        <v>0</v>
      </c>
      <c r="F31" s="59">
        <f>COUNTIFS(May!$B:$B,2011,May!$J:$J,30)</f>
        <v>0</v>
      </c>
      <c r="G31" s="59">
        <f>COUNTIFS(Jun!$B:$B,2011,Jun!$J:$J,30)</f>
        <v>0</v>
      </c>
      <c r="H31" s="59">
        <f>COUNTIFS(Jul!$B:$B,2011,Jul!$J:$J,30)</f>
        <v>0</v>
      </c>
      <c r="I31" s="59">
        <f>COUNTIFS(Aug!$B:$B,2011,Aug!$J:$J,30)</f>
        <v>0</v>
      </c>
      <c r="J31" s="59">
        <f>COUNTIFS(Sep!$B:$B,2011,Sep!$J:$J,30)</f>
        <v>0</v>
      </c>
      <c r="K31" s="59">
        <f>COUNTIFS(Oct!$B:$B,2011,Oct!$J:$J,30)</f>
        <v>0</v>
      </c>
      <c r="L31" s="59">
        <f>COUNTIFS(Nov!$B:$B,2011,Nov!$J:$J,30)</f>
        <v>0</v>
      </c>
      <c r="M31" s="59">
        <v>0</v>
      </c>
    </row>
    <row r="32" spans="1:17" s="14" customFormat="1" ht="11.25" customHeight="1" thickBot="1">
      <c r="A32" s="2" t="s">
        <v>140</v>
      </c>
      <c r="B32" s="60">
        <f>SUM(B25:B31)</f>
        <v>54</v>
      </c>
      <c r="C32" s="60">
        <f t="shared" ref="C32:M32" si="10">SUM(C25:C31)</f>
        <v>47</v>
      </c>
      <c r="D32" s="60">
        <f>SUM(D25:D31)</f>
        <v>30</v>
      </c>
      <c r="E32" s="60">
        <f>SUM(E25:E31)</f>
        <v>33</v>
      </c>
      <c r="F32" s="60">
        <f>SUM(F25:F31)</f>
        <v>34</v>
      </c>
      <c r="G32" s="60">
        <f>SUM(G25:G31)</f>
        <v>44</v>
      </c>
      <c r="H32" s="60">
        <f t="shared" si="10"/>
        <v>43</v>
      </c>
      <c r="I32" s="60">
        <f t="shared" si="10"/>
        <v>35</v>
      </c>
      <c r="J32" s="60">
        <f>SUM(J25:J31)</f>
        <v>46</v>
      </c>
      <c r="K32" s="60">
        <f t="shared" si="10"/>
        <v>15</v>
      </c>
      <c r="L32" s="159">
        <f t="shared" si="10"/>
        <v>18</v>
      </c>
      <c r="M32" s="170">
        <f t="shared" si="10"/>
        <v>35</v>
      </c>
    </row>
    <row r="33" spans="1:13" ht="12" customHeight="1" thickBot="1">
      <c r="A33" s="55" t="s">
        <v>136</v>
      </c>
      <c r="B33" s="50">
        <v>41275</v>
      </c>
      <c r="C33" s="47">
        <v>41306</v>
      </c>
      <c r="D33" s="47">
        <v>41334</v>
      </c>
      <c r="E33" s="47">
        <v>41365</v>
      </c>
      <c r="F33" s="47">
        <v>41395</v>
      </c>
      <c r="G33" s="47">
        <v>41426</v>
      </c>
      <c r="H33" s="47">
        <v>41456</v>
      </c>
      <c r="I33" s="47">
        <v>41487</v>
      </c>
      <c r="J33" s="47">
        <v>41518</v>
      </c>
      <c r="K33" s="47">
        <v>41548</v>
      </c>
      <c r="L33" s="47">
        <v>41579</v>
      </c>
      <c r="M33" s="51">
        <v>41609</v>
      </c>
    </row>
    <row r="34" spans="1:13" s="8" customFormat="1" ht="11.25" customHeight="1">
      <c r="A34" s="46" t="s">
        <v>33</v>
      </c>
      <c r="B34" s="57">
        <f>COUNTIFS(Jan!$B:$B,2011,Jan!$J:$J,40)</f>
        <v>0</v>
      </c>
      <c r="C34" s="57">
        <f>COUNTIFS(Feb!$B:$B,2011,Feb!$J:$J,40)</f>
        <v>0</v>
      </c>
      <c r="D34" s="57">
        <f>COUNTIFS(Mar!$B:$B,2011,Mar!$J:$J,40)</f>
        <v>0</v>
      </c>
      <c r="E34" s="57">
        <f>COUNTIFS(Apr!$B:$B,2011,Apr!$J:$J,40)</f>
        <v>0</v>
      </c>
      <c r="F34" s="57">
        <f>COUNTIFS(May!$B:$B,2011,May!$J:$J,40)</f>
        <v>0</v>
      </c>
      <c r="G34" s="57">
        <f>COUNTIFS(Jun!$B:$B,2011,Jun!$J:$J,40)</f>
        <v>0</v>
      </c>
      <c r="H34" s="57">
        <f>COUNTIFS(Jul!$B:$B,2011,Jul!$J:$J,40)</f>
        <v>0</v>
      </c>
      <c r="I34" s="57">
        <v>1</v>
      </c>
      <c r="J34" s="57">
        <f>COUNTIFS(Sep!$B:$B,2011,Sep!$J:$J,40)</f>
        <v>0</v>
      </c>
      <c r="K34" s="57">
        <v>1</v>
      </c>
      <c r="L34" s="57">
        <v>1</v>
      </c>
      <c r="M34" s="57">
        <v>0</v>
      </c>
    </row>
    <row r="35" spans="1:13" s="8" customFormat="1" ht="11.25" customHeight="1">
      <c r="A35" s="10" t="s">
        <v>4</v>
      </c>
      <c r="B35" s="59">
        <f>COUNTIFS(Jan!$B:$B,2011,Jan!$J:$J,15)</f>
        <v>1</v>
      </c>
      <c r="C35" s="59">
        <v>3</v>
      </c>
      <c r="D35" s="59">
        <v>3</v>
      </c>
      <c r="E35" s="59">
        <v>1</v>
      </c>
      <c r="F35" s="59">
        <v>1</v>
      </c>
      <c r="G35" s="59">
        <v>4</v>
      </c>
      <c r="H35" s="59">
        <v>4</v>
      </c>
      <c r="I35" s="59">
        <v>5</v>
      </c>
      <c r="J35" s="59">
        <v>3</v>
      </c>
      <c r="K35" s="59">
        <v>2</v>
      </c>
      <c r="L35" s="59">
        <v>5</v>
      </c>
      <c r="M35" s="59">
        <v>5</v>
      </c>
    </row>
    <row r="36" spans="1:13" s="8" customFormat="1" ht="11.25" customHeight="1">
      <c r="A36" s="10" t="s">
        <v>39</v>
      </c>
      <c r="B36" s="59">
        <f>COUNTIFS(Jan!$B:$B,2011,Jan!$J:$J,29)</f>
        <v>5</v>
      </c>
      <c r="C36" s="59">
        <v>6</v>
      </c>
      <c r="D36" s="59">
        <v>4</v>
      </c>
      <c r="E36" s="59">
        <v>1</v>
      </c>
      <c r="F36" s="59">
        <v>1</v>
      </c>
      <c r="G36" s="59">
        <v>3</v>
      </c>
      <c r="H36" s="59">
        <v>6</v>
      </c>
      <c r="I36" s="59">
        <v>9</v>
      </c>
      <c r="J36" s="59">
        <v>11</v>
      </c>
      <c r="K36" s="59">
        <v>10</v>
      </c>
      <c r="L36" s="59">
        <v>5</v>
      </c>
      <c r="M36" s="59">
        <v>8</v>
      </c>
    </row>
    <row r="37" spans="1:13" s="8" customFormat="1" ht="11.25" customHeight="1">
      <c r="A37" s="10" t="s">
        <v>3</v>
      </c>
      <c r="B37" s="59">
        <f>COUNTIFS(Jan!$B:$B,2011,Jan!$J:$J,13)</f>
        <v>2</v>
      </c>
      <c r="C37" s="59">
        <f>COUNTIFS(Feb!$B:$B,2011,Feb!$J:$J,13)</f>
        <v>0</v>
      </c>
      <c r="D37" s="59">
        <v>1</v>
      </c>
      <c r="E37" s="59">
        <f>COUNTIFS(Apr!$B:$B,2011,Apr!$J:$J,13)</f>
        <v>0</v>
      </c>
      <c r="F37" s="59">
        <v>2</v>
      </c>
      <c r="G37" s="59">
        <v>2</v>
      </c>
      <c r="H37" s="59">
        <v>1</v>
      </c>
      <c r="I37" s="59">
        <v>1</v>
      </c>
      <c r="J37" s="59">
        <v>2</v>
      </c>
      <c r="K37" s="59">
        <f>COUNTIFS(Oct!$B:$B,2011,Oct!$J:$J,13)</f>
        <v>0</v>
      </c>
      <c r="L37" s="59">
        <f>COUNTIFS(Nov!$B:$B,2011,Nov!$J:$J,13)</f>
        <v>0</v>
      </c>
      <c r="M37" s="59">
        <v>2</v>
      </c>
    </row>
    <row r="38" spans="1:13" s="8" customFormat="1" ht="11.25" customHeight="1">
      <c r="A38" s="9" t="s">
        <v>218</v>
      </c>
      <c r="B38" s="59">
        <f>COUNTIFS(Jan!$B:$B,2011,Jan!$J:$J,43)</f>
        <v>1</v>
      </c>
      <c r="C38" s="59">
        <v>2</v>
      </c>
      <c r="D38" s="59">
        <v>1</v>
      </c>
      <c r="E38" s="59">
        <f>COUNTIFS(Apr!$B:$B,2011,Apr!$J:$J,43)</f>
        <v>0</v>
      </c>
      <c r="F38" s="59">
        <v>2</v>
      </c>
      <c r="G38" s="59">
        <v>2</v>
      </c>
      <c r="H38" s="59">
        <v>2</v>
      </c>
      <c r="I38" s="59">
        <v>3</v>
      </c>
      <c r="J38" s="59">
        <v>2</v>
      </c>
      <c r="K38" s="59">
        <v>1</v>
      </c>
      <c r="L38" s="59">
        <v>1</v>
      </c>
      <c r="M38" s="59">
        <v>3</v>
      </c>
    </row>
    <row r="39" spans="1:13" s="8" customFormat="1" ht="11.25" customHeight="1">
      <c r="A39" s="10" t="s">
        <v>25</v>
      </c>
      <c r="B39" s="59">
        <f>COUNTIFS(Jan!$B:$B,2011,Jan!$J:$J,24)</f>
        <v>10</v>
      </c>
      <c r="C39" s="59">
        <v>6</v>
      </c>
      <c r="D39" s="59">
        <f>COUNTIFS(Mar!$B:$B,2011,Mar!$J:$J,24)</f>
        <v>0</v>
      </c>
      <c r="E39" s="59">
        <v>3</v>
      </c>
      <c r="F39" s="59">
        <v>9</v>
      </c>
      <c r="G39" s="59">
        <v>8</v>
      </c>
      <c r="H39" s="59">
        <v>11</v>
      </c>
      <c r="I39" s="59">
        <v>18</v>
      </c>
      <c r="J39" s="59">
        <v>18</v>
      </c>
      <c r="K39" s="59">
        <v>12</v>
      </c>
      <c r="L39" s="59">
        <v>8</v>
      </c>
      <c r="M39" s="59">
        <v>7</v>
      </c>
    </row>
    <row r="40" spans="1:13" s="8" customFormat="1" ht="11.25" customHeight="1">
      <c r="A40" s="10" t="s">
        <v>34</v>
      </c>
      <c r="B40" s="59">
        <f>COUNTIFS(Jan!$B:$B,2011,Jan!$J:$J,9)</f>
        <v>0</v>
      </c>
      <c r="C40" s="59">
        <f>COUNTIFS(Feb!$B:$B,2011,Feb!$J:$J,9)</f>
        <v>0</v>
      </c>
      <c r="D40" s="59">
        <v>9</v>
      </c>
      <c r="E40" s="59">
        <f>COUNTIFS(Apr!$B:$B,2011,Apr!$J:$J,9)</f>
        <v>0</v>
      </c>
      <c r="F40" s="59">
        <f>COUNTIFS(May!$B:$B,2011,May!$J:$J,9)</f>
        <v>0</v>
      </c>
      <c r="G40" s="59">
        <f>COUNTIFS(Jun!$B:$B,2011,Jun!$J:$J,9)</f>
        <v>0</v>
      </c>
      <c r="H40" s="59">
        <f>COUNTIFS(Jul!$B:$B,2011,Jul!$J:$J,9)</f>
        <v>0</v>
      </c>
      <c r="I40" s="59">
        <f>COUNTIFS(Aug!$B:$B,2011,Aug!$J:$J,9)</f>
        <v>0</v>
      </c>
      <c r="J40" s="59">
        <f>COUNTIFS(Sep!$B:$B,2011,Sep!$J:$J,9)</f>
        <v>0</v>
      </c>
      <c r="K40" s="59">
        <f>COUNTIFS(Oct!$B:$B,2011,Oct!$J:$J,9)</f>
        <v>0</v>
      </c>
      <c r="L40" s="59">
        <f>COUNTIFS(Nov!$B:$B,2011,Nov!$J:$J,9)</f>
        <v>0</v>
      </c>
      <c r="M40" s="59">
        <v>0</v>
      </c>
    </row>
    <row r="41" spans="1:13" s="8" customFormat="1" ht="11.25" customHeight="1">
      <c r="A41" s="10" t="s">
        <v>31</v>
      </c>
      <c r="B41" s="59">
        <f>COUNTIFS(Jan!$B:$B,2011,Jan!$J:$J,10)</f>
        <v>2</v>
      </c>
      <c r="C41" s="59">
        <v>3</v>
      </c>
      <c r="D41" s="59">
        <v>3</v>
      </c>
      <c r="E41" s="59">
        <v>10</v>
      </c>
      <c r="F41" s="59">
        <v>6</v>
      </c>
      <c r="G41" s="59">
        <v>6</v>
      </c>
      <c r="H41" s="59">
        <v>7</v>
      </c>
      <c r="I41" s="59">
        <v>7</v>
      </c>
      <c r="J41" s="59">
        <v>11</v>
      </c>
      <c r="K41" s="59">
        <v>6</v>
      </c>
      <c r="L41" s="59">
        <v>1</v>
      </c>
      <c r="M41" s="59">
        <v>2</v>
      </c>
    </row>
    <row r="42" spans="1:13" s="8" customFormat="1" ht="11.25" customHeight="1">
      <c r="A42" s="10" t="s">
        <v>144</v>
      </c>
      <c r="B42" s="59">
        <f>COUNTIFS(Jan!$B:$B,2011,Jan!$F:$F,462)</f>
        <v>0</v>
      </c>
      <c r="C42" s="59">
        <f>COUNTIFS(Feb!$B:$B,2011,Feb!$F:$F,462)</f>
        <v>0</v>
      </c>
      <c r="D42" s="59">
        <f>COUNTIFS(Mar!$B:$B,2011,Mar!$F:$F,462)</f>
        <v>0</v>
      </c>
      <c r="E42" s="59">
        <f>COUNTIFS(Apr!$B:$B,2011,Apr!$F:$F,462)</f>
        <v>0</v>
      </c>
      <c r="F42" s="59">
        <f>COUNTIFS(May!$B:$B,2011,May!$F:$F,462)</f>
        <v>0</v>
      </c>
      <c r="G42" s="59">
        <f>COUNTIFS(Jun!$B:$B,2011,Jun!$F:$F,462)</f>
        <v>0</v>
      </c>
      <c r="H42" s="59">
        <f>COUNTIFS(Jul!$B:$B,2011,Jul!$F:$F,462)</f>
        <v>0</v>
      </c>
      <c r="I42" s="59">
        <f>COUNTIFS(Aug!$B:$B,2011,Aug!$F:$F,462)</f>
        <v>0</v>
      </c>
      <c r="J42" s="59">
        <f>COUNTIFS(Sep!$B:$B,2011,Sep!$F:$F,462)</f>
        <v>0</v>
      </c>
      <c r="K42" s="59">
        <f>COUNTIFS(Oct!$B:$B,2011,Oct!$F:$F,462)</f>
        <v>0</v>
      </c>
      <c r="L42" s="59">
        <f>COUNTIFS(Nov!$B:$B,2011,Nov!$F:$F,462)</f>
        <v>0</v>
      </c>
      <c r="M42" s="59">
        <v>0</v>
      </c>
    </row>
    <row r="43" spans="1:13" s="8" customFormat="1" ht="11.25" customHeight="1">
      <c r="A43" s="10" t="s">
        <v>1</v>
      </c>
      <c r="B43" s="59">
        <f>COUNTIFS(Jan!$B:$B,2011,Jan!$J:$J,11)</f>
        <v>0</v>
      </c>
      <c r="C43" s="59">
        <v>1</v>
      </c>
      <c r="D43" s="59">
        <v>3</v>
      </c>
      <c r="E43" s="59">
        <v>2</v>
      </c>
      <c r="F43" s="59">
        <v>3</v>
      </c>
      <c r="G43" s="59">
        <f>COUNTIFS(Jun!$B:$B,2011,Jun!$J:$J,11)</f>
        <v>0</v>
      </c>
      <c r="H43" s="59">
        <v>2</v>
      </c>
      <c r="I43" s="59">
        <v>3</v>
      </c>
      <c r="J43" s="59">
        <v>5</v>
      </c>
      <c r="K43" s="59">
        <v>7</v>
      </c>
      <c r="L43" s="59">
        <v>1</v>
      </c>
      <c r="M43" s="59">
        <v>4</v>
      </c>
    </row>
    <row r="44" spans="1:13" s="8" customFormat="1" ht="11.25" customHeight="1">
      <c r="A44" s="10" t="s">
        <v>26</v>
      </c>
      <c r="B44" s="59">
        <f>COUNTIFS(Jan!$B:$B,2011,Jan!$J:$J,20)</f>
        <v>0</v>
      </c>
      <c r="C44" s="59">
        <f>COUNTIFS(Feb!$B:$B,2011,Feb!$J:$J,20)</f>
        <v>0</v>
      </c>
      <c r="D44" s="59">
        <v>2</v>
      </c>
      <c r="E44" s="59">
        <f>COUNTIFS(Apr!$B:$B,2011,Apr!$J:$J,20)</f>
        <v>0</v>
      </c>
      <c r="F44" s="59">
        <f>COUNTIFS(May!$B:$B,2011,May!$J:$J,20)</f>
        <v>0</v>
      </c>
      <c r="G44" s="59">
        <f>COUNTIFS(Jun!$B:$B,2011,Jun!$J:$J,20)</f>
        <v>0</v>
      </c>
      <c r="H44" s="59">
        <v>1</v>
      </c>
      <c r="I44" s="59">
        <f>COUNTIFS(Aug!$B:$B,2011,Aug!$J:$J,20)</f>
        <v>0</v>
      </c>
      <c r="J44" s="59">
        <f>COUNTIFS(Sep!$B:$B,2011,Sep!$J:$J,20)</f>
        <v>0</v>
      </c>
      <c r="K44" s="59">
        <f>COUNTIFS(Oct!$B:$B,2011,Oct!$J:$J,20)</f>
        <v>0</v>
      </c>
      <c r="L44" s="59">
        <v>1</v>
      </c>
      <c r="M44" s="59">
        <v>0</v>
      </c>
    </row>
    <row r="45" spans="1:13" s="8" customFormat="1" ht="11.25" customHeight="1">
      <c r="A45" s="10" t="s">
        <v>32</v>
      </c>
      <c r="B45" s="59">
        <f>COUNTIFS(Jan!$B:$B,2011,Jan!$J:$J,2)</f>
        <v>11</v>
      </c>
      <c r="C45" s="59">
        <v>8</v>
      </c>
      <c r="D45" s="59">
        <v>9</v>
      </c>
      <c r="E45" s="59">
        <v>10</v>
      </c>
      <c r="F45" s="59">
        <v>4</v>
      </c>
      <c r="G45" s="59">
        <v>10</v>
      </c>
      <c r="H45" s="59">
        <v>13</v>
      </c>
      <c r="I45" s="59">
        <v>18</v>
      </c>
      <c r="J45" s="59">
        <v>15</v>
      </c>
      <c r="K45" s="59">
        <v>5</v>
      </c>
      <c r="L45" s="59">
        <v>8</v>
      </c>
      <c r="M45" s="59">
        <v>18</v>
      </c>
    </row>
    <row r="46" spans="1:13" s="8" customFormat="1" ht="11.25" customHeight="1">
      <c r="A46" s="10" t="s">
        <v>28</v>
      </c>
      <c r="B46" s="59">
        <f>COUNTIFS(Jan!$B:$B,2011,Jan!$J:$J,1700)+COUNTIFS(Jan!$B:$B,2011,Jan!$F:$F,1700)+COUNTIFS(Jan!$B:$B,2011,Jan!$J:$J,19)</f>
        <v>0</v>
      </c>
      <c r="C46" s="59">
        <f>COUNTIFS(Feb!$B:$B,2011,Feb!$J:$J,1700)+COUNTIFS(Feb!$B:$B,2011,Feb!$F:$F,1700)+COUNTIFS(Feb!$B:$B,2011,Feb!$J:$J,19)</f>
        <v>0</v>
      </c>
      <c r="D46" s="59">
        <f>COUNTIFS(Mar!$B:$B,2011,Mar!$J:$J,1700)+COUNTIFS(Mar!$B:$B,2011,Mar!$F:$F,1700)+COUNTIFS(Mar!$B:$B,2011,Mar!$J:$J,19)</f>
        <v>0</v>
      </c>
      <c r="E46" s="59">
        <f>COUNTIFS(Apr!$B:$B,2011,Apr!$J:$J,1700)+COUNTIFS(Apr!$B:$B,2011,Apr!$F:$F,1700)+COUNTIFS(Apr!$B:$B,2011,Apr!$J:$J,19)</f>
        <v>0</v>
      </c>
      <c r="F46" s="59">
        <f>COUNTIFS(May!$B:$B,2011,May!$J:$J,1700)+COUNTIFS(May!$B:$B,2011,May!$F:$F,1700)+COUNTIFS(May!$B:$B,2011,May!$J:$J,19)</f>
        <v>0</v>
      </c>
      <c r="G46" s="59">
        <f>COUNTIFS(Jun!$B:$B,2011,Jun!$J:$J,1700)+COUNTIFS(Jun!$B:$B,2011,Jun!$F:$F,1700)+COUNTIFS(Jun!$B:$B,2011,Jun!$J:$J,19)</f>
        <v>0</v>
      </c>
      <c r="H46" s="59">
        <f>COUNTIFS(Jul!$B:$B,2011,Jul!$J:$J,1700)+COUNTIFS(Jul!$B:$B,2011,Jul!$F:$F,1700)+COUNTIFS(Jul!$B:$B,2011,Jul!$J:$J,19)</f>
        <v>0</v>
      </c>
      <c r="I46" s="59">
        <f>COUNTIFS(Aug!$B:$B,2011,Aug!$J:$J,1700)+COUNTIFS(Aug!$B:$B,2011,Aug!$F:$F,1700)+COUNTIFS(Aug!$B:$B,2011,Aug!$J:$J,19)</f>
        <v>0</v>
      </c>
      <c r="J46" s="59">
        <f>COUNTIFS(Sep!$B:$B,2011,Sep!$J:$J,1700)+COUNTIFS(Sep!$B:$B,2011,Sep!$F:$F,1700)+COUNTIFS(Sep!$B:$B,2011,Sep!$J:$J,19)</f>
        <v>0</v>
      </c>
      <c r="K46" s="59">
        <f>COUNTIFS(Oct!$B:$B,2011,Oct!$J:$J,1700)+COUNTIFS(Oct!$B:$B,2011,Oct!$F:$F,1700)+COUNTIFS(Oct!$B:$B,2011,Oct!$J:$J,19)</f>
        <v>0</v>
      </c>
      <c r="L46" s="59">
        <f>COUNTIFS(Nov!$B:$B,2011,Nov!$J:$J,1700)+COUNTIFS(Nov!$B:$B,2011,Nov!$F:$F,1700)+COUNTIFS(Nov!$B:$B,2011,Nov!$J:$J,19)</f>
        <v>0</v>
      </c>
      <c r="M46" s="59">
        <v>1</v>
      </c>
    </row>
    <row r="47" spans="1:13" s="8" customFormat="1" ht="11.25" customHeight="1">
      <c r="A47" s="10" t="s">
        <v>0</v>
      </c>
      <c r="B47" s="59">
        <f>COUNTIFS(Jan!$B:$B,2011,Jan!$J:$J,3)</f>
        <v>2</v>
      </c>
      <c r="C47" s="59">
        <v>4</v>
      </c>
      <c r="D47" s="59">
        <v>5</v>
      </c>
      <c r="E47" s="59">
        <v>1</v>
      </c>
      <c r="F47" s="59">
        <v>1</v>
      </c>
      <c r="G47" s="59">
        <f>COUNTIFS(Jun!$B:$B,2011,Jun!$J:$J,3)</f>
        <v>0</v>
      </c>
      <c r="H47" s="59">
        <v>3</v>
      </c>
      <c r="I47" s="59">
        <v>5</v>
      </c>
      <c r="J47" s="59">
        <v>5</v>
      </c>
      <c r="K47" s="59">
        <v>3</v>
      </c>
      <c r="L47" s="59">
        <v>3</v>
      </c>
      <c r="M47" s="59">
        <v>4</v>
      </c>
    </row>
    <row r="48" spans="1:13" s="8" customFormat="1" ht="11.25" customHeight="1">
      <c r="A48" s="10" t="s">
        <v>35</v>
      </c>
      <c r="B48" s="59">
        <f>COUNTIFS(Jan!$B:$B,2011,Jan!$J:$J,7400)</f>
        <v>0</v>
      </c>
      <c r="C48" s="59">
        <f>COUNTIFS(Feb!$B:$B,2011,Feb!$J:$J,7400)</f>
        <v>0</v>
      </c>
      <c r="D48" s="59">
        <f>COUNTIFS(Mar!$B:$B,2011,Mar!$J:$J,7400)</f>
        <v>0</v>
      </c>
      <c r="E48" s="59">
        <f>COUNTIFS(Apr!$B:$B,2011,Apr!$J:$J,7400)</f>
        <v>0</v>
      </c>
      <c r="F48" s="59">
        <f>COUNTIFS(May!$B:$B,2011,May!$J:$J,7400)</f>
        <v>0</v>
      </c>
      <c r="G48" s="59">
        <f>COUNTIFS(Jun!$B:$B,2011,Jun!$J:$J,7400)</f>
        <v>0</v>
      </c>
      <c r="H48" s="59">
        <f>COUNTIFS(Jul!$B:$B,2011,Jul!$J:$J,7400)</f>
        <v>0</v>
      </c>
      <c r="I48" s="59">
        <f>COUNTIFS(Aug!$B:$B,2011,Aug!$J:$J,7400)</f>
        <v>0</v>
      </c>
      <c r="J48" s="59">
        <v>1</v>
      </c>
      <c r="K48" s="59">
        <f>COUNTIFS(Oct!$B:$B,2011,Oct!$J:$J,7400)</f>
        <v>0</v>
      </c>
      <c r="L48" s="59">
        <f>COUNTIFS(Nov!$B:$B,2011,Nov!$J:$J,7400)</f>
        <v>0</v>
      </c>
      <c r="M48" s="59">
        <v>0</v>
      </c>
    </row>
    <row r="49" spans="1:13" s="8" customFormat="1" ht="11.25" customHeight="1">
      <c r="A49" s="10" t="s">
        <v>2</v>
      </c>
      <c r="B49" s="59">
        <f>COUNTIFS(Jan!$B:$B,2011,Jan!$J:$J,14)</f>
        <v>0</v>
      </c>
      <c r="C49" s="59">
        <v>1</v>
      </c>
      <c r="D49" s="59">
        <f>COUNTIFS(Mar!$B:$B,2011,Mar!$J:$J,14)</f>
        <v>0</v>
      </c>
      <c r="E49" s="59">
        <f>COUNTIFS(Apr!$B:$B,2011,Apr!$J:$J,14)</f>
        <v>0</v>
      </c>
      <c r="F49" s="59">
        <v>2</v>
      </c>
      <c r="G49" s="59">
        <v>2</v>
      </c>
      <c r="H49" s="59">
        <f>COUNTIFS(Jul!$B:$B,2011,Jul!$J:$J,14)</f>
        <v>0</v>
      </c>
      <c r="I49" s="59">
        <v>2</v>
      </c>
      <c r="J49" s="59">
        <v>6</v>
      </c>
      <c r="K49" s="59">
        <f>COUNTIFS(Oct!$B:$B,2011,Oct!$J:$J,14)</f>
        <v>0</v>
      </c>
      <c r="L49" s="59">
        <v>2</v>
      </c>
      <c r="M49" s="59">
        <v>1</v>
      </c>
    </row>
    <row r="50" spans="1:13" s="8" customFormat="1" ht="11.25" customHeight="1">
      <c r="A50" s="10" t="s">
        <v>142</v>
      </c>
      <c r="B50" s="59">
        <f>COUNTIFS(Jan!$B:$B,2011,Jan!$F:$F,466)</f>
        <v>1</v>
      </c>
      <c r="C50" s="59">
        <f>COUNTIFS(Feb!$B:$B,2011,Feb!$F:$F,466)</f>
        <v>0</v>
      </c>
      <c r="D50" s="59">
        <f>COUNTIFS(Mar!$B:$B,2011,Mar!$F:$F,466)</f>
        <v>0</v>
      </c>
      <c r="E50" s="59">
        <f>COUNTIFS(Apr!$B:$B,2011,Apr!$F:$F,466)</f>
        <v>0</v>
      </c>
      <c r="F50" s="59">
        <f>COUNTIFS(May!$B:$B,2011,May!$F:$F,466)</f>
        <v>0</v>
      </c>
      <c r="G50" s="59">
        <v>1</v>
      </c>
      <c r="H50" s="59">
        <f>COUNTIFS(Jul!$B:$B,2011,Jul!$F:$F,466)</f>
        <v>0</v>
      </c>
      <c r="I50" s="59">
        <v>1</v>
      </c>
      <c r="J50" s="59">
        <v>1</v>
      </c>
      <c r="K50" s="59">
        <f>COUNTIFS(Oct!$B:$B,2011,Oct!$F:$F,466)</f>
        <v>0</v>
      </c>
      <c r="L50" s="59">
        <f>COUNTIFS(Nov!$B:$B,2011,Nov!$F:$F,466)</f>
        <v>0</v>
      </c>
      <c r="M50" s="59">
        <v>0</v>
      </c>
    </row>
    <row r="51" spans="1:13" s="8" customFormat="1" ht="11.25" customHeight="1">
      <c r="A51" s="10" t="s">
        <v>27</v>
      </c>
      <c r="B51" s="59">
        <f>COUNTIFS(Jan!$B:$B,2011,Jan!$J:$J,25)</f>
        <v>0</v>
      </c>
      <c r="C51" s="59">
        <f>COUNTIFS(Feb!$B:$B,2011,Feb!$J:$J,25)</f>
        <v>0</v>
      </c>
      <c r="D51" s="59">
        <f>COUNTIFS(Mar!$B:$B,2011,Mar!$J:$J,25)</f>
        <v>0</v>
      </c>
      <c r="E51" s="59">
        <f>COUNTIFS(Apr!$B:$B,2011,Apr!$J:$J,25)</f>
        <v>0</v>
      </c>
      <c r="F51" s="59">
        <f>COUNTIFS(May!$B:$B,2011,May!$J:$J,25)</f>
        <v>0</v>
      </c>
      <c r="G51" s="59">
        <f>COUNTIFS(Jun!$B:$B,2011,Jun!$J:$J,25)</f>
        <v>0</v>
      </c>
      <c r="H51" s="59">
        <f>COUNTIFS(Jul!$B:$B,2011,Jul!$J:$J,25)</f>
        <v>0</v>
      </c>
      <c r="I51" s="59">
        <f>COUNTIFS(Aug!$B:$B,2011,Aug!$J:$J,25)</f>
        <v>0</v>
      </c>
      <c r="J51" s="59">
        <f>COUNTIFS(Sep!$B:$B,2011,Sep!$J:$J,25)</f>
        <v>0</v>
      </c>
      <c r="K51" s="59">
        <f>COUNTIFS(Oct!$B:$B,2011,Oct!$J:$J,25)</f>
        <v>0</v>
      </c>
      <c r="L51" s="59">
        <f>COUNTIFS(Nov!$B:$B,2011,Nov!$J:$J,25)</f>
        <v>0</v>
      </c>
      <c r="M51" s="59">
        <v>0</v>
      </c>
    </row>
    <row r="52" spans="1:13" s="8" customFormat="1" ht="11.25" customHeight="1" thickBot="1">
      <c r="A52" s="11" t="s">
        <v>16</v>
      </c>
      <c r="B52" s="60">
        <f t="shared" ref="B52:G52" si="11">SUM(B34:B51)</f>
        <v>35</v>
      </c>
      <c r="C52" s="60">
        <f t="shared" si="11"/>
        <v>34</v>
      </c>
      <c r="D52" s="60">
        <f t="shared" si="11"/>
        <v>40</v>
      </c>
      <c r="E52" s="60">
        <f t="shared" si="11"/>
        <v>28</v>
      </c>
      <c r="F52" s="60">
        <f t="shared" si="11"/>
        <v>31</v>
      </c>
      <c r="G52" s="60">
        <f t="shared" si="11"/>
        <v>38</v>
      </c>
      <c r="H52" s="60">
        <f t="shared" ref="H52:M52" si="12">SUM(H34:H51)</f>
        <v>50</v>
      </c>
      <c r="I52" s="60">
        <f t="shared" si="12"/>
        <v>73</v>
      </c>
      <c r="J52" s="60">
        <f t="shared" si="12"/>
        <v>80</v>
      </c>
      <c r="K52" s="60">
        <f t="shared" si="12"/>
        <v>47</v>
      </c>
      <c r="L52" s="159">
        <f t="shared" si="12"/>
        <v>36</v>
      </c>
      <c r="M52" s="170">
        <f t="shared" si="12"/>
        <v>55</v>
      </c>
    </row>
    <row r="53" spans="1:13" ht="12" customHeight="1" thickBot="1">
      <c r="A53" s="55" t="s">
        <v>137</v>
      </c>
      <c r="B53" s="50">
        <v>41275</v>
      </c>
      <c r="C53" s="47">
        <v>41306</v>
      </c>
      <c r="D53" s="47">
        <v>41334</v>
      </c>
      <c r="E53" s="47">
        <v>41365</v>
      </c>
      <c r="F53" s="47">
        <v>41395</v>
      </c>
      <c r="G53" s="47">
        <v>41426</v>
      </c>
      <c r="H53" s="47">
        <v>41456</v>
      </c>
      <c r="I53" s="47">
        <v>41487</v>
      </c>
      <c r="J53" s="47">
        <v>41518</v>
      </c>
      <c r="K53" s="47">
        <v>41548</v>
      </c>
      <c r="L53" s="47">
        <v>41579</v>
      </c>
      <c r="M53" s="51">
        <v>41609</v>
      </c>
    </row>
    <row r="54" spans="1:13" s="8" customFormat="1" ht="11.25" customHeight="1">
      <c r="A54" s="10" t="s">
        <v>30</v>
      </c>
      <c r="B54" s="57">
        <f>COUNTIFS(Jan!$B:$B,2011,Jan!$J:$J,7)</f>
        <v>0</v>
      </c>
      <c r="C54" s="57">
        <v>1</v>
      </c>
      <c r="D54" s="57">
        <v>1</v>
      </c>
      <c r="E54" s="57">
        <v>2</v>
      </c>
      <c r="F54" s="57">
        <v>2</v>
      </c>
      <c r="G54" s="57">
        <f>COUNTIFS(Jun!$B:$B,2011,Jun!$J:$J,7)</f>
        <v>0</v>
      </c>
      <c r="H54" s="57">
        <v>6</v>
      </c>
      <c r="I54" s="57">
        <v>2</v>
      </c>
      <c r="J54" s="57">
        <v>1</v>
      </c>
      <c r="K54" s="57">
        <v>2</v>
      </c>
      <c r="L54" s="57">
        <v>2</v>
      </c>
      <c r="M54" s="57">
        <v>0</v>
      </c>
    </row>
    <row r="55" spans="1:13" s="8" customFormat="1" ht="11.25" customHeight="1">
      <c r="A55" s="10" t="s">
        <v>29</v>
      </c>
      <c r="B55" s="59">
        <f>COUNTIFS(Jan!$B:$B,2011,Jan!$J:$J,8)</f>
        <v>0</v>
      </c>
      <c r="C55" s="59">
        <f>COUNTIFS(Feb!$B:$B,2011,Feb!$J:$J,8)</f>
        <v>0</v>
      </c>
      <c r="D55" s="59">
        <f>COUNTIFS(Mar!$B:$B,2011,Mar!$J:$J,8)</f>
        <v>0</v>
      </c>
      <c r="E55" s="59">
        <f>COUNTIFS(Apr!$B:$B,2011,Apr!$J:$J,8)</f>
        <v>0</v>
      </c>
      <c r="F55" s="59">
        <f>COUNTIFS(May!$B:$B,2011,May!$J:$J,8)</f>
        <v>0</v>
      </c>
      <c r="G55" s="59">
        <f>COUNTIFS(Jun!$B:$B,2011,Jun!$J:$J,8)</f>
        <v>0</v>
      </c>
      <c r="H55" s="59">
        <f>COUNTIFS(Jul!$B:$B,2011,Jul!$J:$J,8)</f>
        <v>0</v>
      </c>
      <c r="I55" s="59">
        <f>COUNTIFS(Aug!$B:$B,2011,Aug!$J:$J,8)</f>
        <v>0</v>
      </c>
      <c r="J55" s="59">
        <f>COUNTIFS(Sep!$B:$B,2011,Sep!$J:$J,8)</f>
        <v>0</v>
      </c>
      <c r="K55" s="59">
        <f>COUNTIFS(Oct!$B:$B,2011,Oct!$J:$J,8)</f>
        <v>0</v>
      </c>
      <c r="L55" s="59">
        <f>COUNTIFS(Nov!$B:$B,2011,Nov!$J:$J,8)</f>
        <v>0</v>
      </c>
      <c r="M55" s="59">
        <v>0</v>
      </c>
    </row>
    <row r="56" spans="1:13" s="8" customFormat="1" ht="11.25" customHeight="1">
      <c r="A56" s="10" t="s">
        <v>7</v>
      </c>
      <c r="B56" s="59">
        <f>COUNTIFS(Jan!$B:$B,2011,Jan!$J:$J,12)</f>
        <v>1</v>
      </c>
      <c r="C56" s="59">
        <f>COUNTIFS(Feb!$B:$B,2011,Feb!$J:$J,12)</f>
        <v>0</v>
      </c>
      <c r="D56" s="59">
        <v>1</v>
      </c>
      <c r="E56" s="59">
        <v>28</v>
      </c>
      <c r="F56" s="59">
        <v>10</v>
      </c>
      <c r="G56" s="59">
        <v>2</v>
      </c>
      <c r="H56" s="59">
        <f>COUNTIFS(Jul!$B:$B,2011,Jul!$J:$J,12)</f>
        <v>0</v>
      </c>
      <c r="I56" s="59">
        <v>2</v>
      </c>
      <c r="J56" s="59">
        <f>COUNTIFS(Sep!$B:$B,2011,Sep!$J:$J,12)</f>
        <v>0</v>
      </c>
      <c r="K56" s="59">
        <f>COUNTIFS(Oct!$B:$B,2011,Oct!$J:$J,12)</f>
        <v>0</v>
      </c>
      <c r="L56" s="59">
        <v>1</v>
      </c>
      <c r="M56" s="59">
        <v>1</v>
      </c>
    </row>
    <row r="57" spans="1:13" s="8" customFormat="1" ht="11.25" customHeight="1">
      <c r="A57" s="10" t="s">
        <v>10</v>
      </c>
      <c r="B57" s="59">
        <f>COUNTIFS(Jan!$B:$B,2011,Jan!$J:$J,5100)</f>
        <v>0</v>
      </c>
      <c r="C57" s="59">
        <f>COUNTIFS(Feb!$B:$B,2011,Feb!$J:$J,5100)</f>
        <v>0</v>
      </c>
      <c r="D57" s="59">
        <f>COUNTIFS(Mar!$B:$B,2011,Mar!$J:$J,5100)</f>
        <v>0</v>
      </c>
      <c r="E57" s="59">
        <f>COUNTIFS(Apr!$B:$B,2011,Apr!$J:$J,5100)</f>
        <v>0</v>
      </c>
      <c r="F57" s="59">
        <f>COUNTIFS(May!$B:$B,2011,May!$J:$J,5100)</f>
        <v>0</v>
      </c>
      <c r="G57" s="59">
        <f>COUNTIFS(Jun!$B:$B,2011,Jun!$J:$J,5100)</f>
        <v>0</v>
      </c>
      <c r="H57" s="59">
        <f>COUNTIFS(Jul!$B:$B,2011,Jul!$J:$J,5100)</f>
        <v>0</v>
      </c>
      <c r="I57" s="59">
        <f>COUNTIFS(Aug!$B:$B,2011,Aug!$J:$J,5100)</f>
        <v>0</v>
      </c>
      <c r="J57" s="59">
        <f>COUNTIFS(Sep!$B:$B,2011,Sep!$J:$J,5100)</f>
        <v>0</v>
      </c>
      <c r="K57" s="59">
        <f>COUNTIFS(Oct!$B:$B,2011,Oct!$J:$J,5100)</f>
        <v>0</v>
      </c>
      <c r="L57" s="59">
        <f>COUNTIFS(Nov!$B:$B,2011,Nov!$J:$J,5100)</f>
        <v>0</v>
      </c>
      <c r="M57" s="59">
        <v>0</v>
      </c>
    </row>
    <row r="58" spans="1:13" s="8" customFormat="1" ht="11.25" customHeight="1">
      <c r="A58" s="10" t="s">
        <v>36</v>
      </c>
      <c r="B58" s="59">
        <f>COUNTIFS(Jan!$B:$B,2011,Jan!$J:$J,6200)</f>
        <v>0</v>
      </c>
      <c r="C58" s="59">
        <f>COUNTIFS(Feb!$B:$B,2011,Feb!$J:$J,6200)</f>
        <v>0</v>
      </c>
      <c r="D58" s="59">
        <f>COUNTIFS(Mar!$B:$B,2011,Mar!$J:$J,6200)</f>
        <v>0</v>
      </c>
      <c r="E58" s="59">
        <f>COUNTIFS(Apr!$B:$B,2011,Apr!$J:$J,6200)</f>
        <v>0</v>
      </c>
      <c r="F58" s="59">
        <f>COUNTIFS(May!$B:$B,2011,May!$J:$J,6200)</f>
        <v>0</v>
      </c>
      <c r="G58" s="59">
        <f>COUNTIFS(Jun!$B:$B,2011,Jun!$J:$J,6200)</f>
        <v>0</v>
      </c>
      <c r="H58" s="59">
        <f>COUNTIFS(Jul!$B:$B,2011,Jul!$J:$J,6200)</f>
        <v>0</v>
      </c>
      <c r="I58" s="59">
        <v>1</v>
      </c>
      <c r="J58" s="59">
        <f>COUNTIFS(Sep!$B:$B,2011,Sep!$J:$J,6200)</f>
        <v>0</v>
      </c>
      <c r="K58" s="59">
        <f>COUNTIFS(Oct!$B:$B,2011,Oct!$J:$J,6200)</f>
        <v>0</v>
      </c>
      <c r="L58" s="59">
        <f>COUNTIFS(Nov!$B:$B,2011,Nov!$J:$J,6200)</f>
        <v>0</v>
      </c>
      <c r="M58" s="59">
        <v>0</v>
      </c>
    </row>
    <row r="59" spans="1:13" s="8" customFormat="1" ht="11.25" customHeight="1">
      <c r="A59" s="10" t="s">
        <v>145</v>
      </c>
      <c r="B59" s="59">
        <f>COUNTIFS(Jan!$B:$B,2011,Jan!$J:$J,28)</f>
        <v>0</v>
      </c>
      <c r="C59" s="59">
        <f>COUNTIFS(Feb!$B:$B,2011,Feb!$J:$J,28)</f>
        <v>0</v>
      </c>
      <c r="D59" s="59">
        <f>COUNTIFS(Mar!$B:$B,2011,Mar!$J:$J,28)</f>
        <v>0</v>
      </c>
      <c r="E59" s="59">
        <f>COUNTIFS(Apr!$B:$B,2011,Apr!$J:$J,28)</f>
        <v>0</v>
      </c>
      <c r="F59" s="59">
        <f>COUNTIFS(May!$B:$B,2011,May!$J:$J,28)</f>
        <v>0</v>
      </c>
      <c r="G59" s="59">
        <f>COUNTIFS(Jun!$B:$B,2011,Jun!$J:$J,28)</f>
        <v>0</v>
      </c>
      <c r="H59" s="59">
        <f>COUNTIFS(Jul!$B:$B,2011,Jul!$J:$J,28)</f>
        <v>0</v>
      </c>
      <c r="I59" s="59">
        <f>COUNTIFS(Aug!$B:$B,2011,Aug!$J:$J,28)</f>
        <v>0</v>
      </c>
      <c r="J59" s="59">
        <f>COUNTIFS(Sep!$B:$B,2011,Sep!$J:$J,28)</f>
        <v>0</v>
      </c>
      <c r="K59" s="59">
        <f>COUNTIFS(Oct!$B:$B,2011,Oct!$J:$J,28)</f>
        <v>0</v>
      </c>
      <c r="L59" s="59">
        <f>COUNTIFS(Nov!$B:$B,2011,Nov!$J:$J,28)</f>
        <v>0</v>
      </c>
      <c r="M59" s="59">
        <v>0</v>
      </c>
    </row>
    <row r="60" spans="1:13" s="8" customFormat="1" ht="11.25" customHeight="1">
      <c r="A60" s="10" t="s">
        <v>38</v>
      </c>
      <c r="B60" s="59">
        <f>COUNTIFS(Jan!$B:$B,2011,Jan!$J:$J,6100)</f>
        <v>0</v>
      </c>
      <c r="C60" s="59">
        <f>COUNTIFS(Feb!$B:$B,2011,Feb!$J:$J,6100)</f>
        <v>0</v>
      </c>
      <c r="D60" s="59">
        <f>COUNTIFS(Mar!$B:$B,2011,Mar!$J:$J,6100)</f>
        <v>0</v>
      </c>
      <c r="E60" s="59">
        <f>COUNTIFS(Apr!$B:$B,2011,Apr!$J:$J,6100)</f>
        <v>0</v>
      </c>
      <c r="F60" s="59">
        <v>2</v>
      </c>
      <c r="G60" s="59">
        <f>COUNTIFS(Jun!$B:$B,2011,Jun!$J:$J,6100)</f>
        <v>0</v>
      </c>
      <c r="H60" s="59">
        <v>10</v>
      </c>
      <c r="I60" s="59">
        <f>COUNTIFS(Aug!$B:$B,2011,Aug!$J:$J,6100)</f>
        <v>0</v>
      </c>
      <c r="J60" s="59">
        <v>1</v>
      </c>
      <c r="K60" s="59">
        <f>COUNTIFS(Oct!$B:$B,2011,Oct!$J:$J,6100)</f>
        <v>0</v>
      </c>
      <c r="L60" s="59">
        <v>1</v>
      </c>
      <c r="M60" s="59">
        <v>2</v>
      </c>
    </row>
    <row r="61" spans="1:13" s="8" customFormat="1" ht="11.25" customHeight="1">
      <c r="A61" s="10" t="s">
        <v>9</v>
      </c>
      <c r="B61" s="59">
        <f>COUNTIFS(Jan!$B:$B,2011,Jan!$J:$J,6)</f>
        <v>0</v>
      </c>
      <c r="C61" s="59">
        <f>COUNTIFS(Feb!$B:$B,2011,Feb!$J:$J,6)</f>
        <v>0</v>
      </c>
      <c r="D61" s="59">
        <f>COUNTIFS(Mar!$B:$B,2011,Mar!$J:$J,6)</f>
        <v>0</v>
      </c>
      <c r="E61" s="59">
        <f>COUNTIFS(Apr!$B:$B,2011,Apr!$J:$J,6)</f>
        <v>0</v>
      </c>
      <c r="F61" s="59">
        <f>COUNTIFS(May!$B:$B,2011,May!$J:$J,6)</f>
        <v>0</v>
      </c>
      <c r="G61" s="59">
        <f>COUNTIFS(Jun!$B:$B,2011,Jun!$J:$J,6)</f>
        <v>0</v>
      </c>
      <c r="H61" s="59">
        <f>COUNTIFS(Jul!$B:$B,2011,Jul!$J:$J,6)</f>
        <v>0</v>
      </c>
      <c r="I61" s="59">
        <f>COUNTIFS(Aug!$B:$B,2011,Aug!$J:$J,6)</f>
        <v>0</v>
      </c>
      <c r="J61" s="59">
        <f>COUNTIFS(Sep!$B:$B,2011,Sep!$J:$J,6)</f>
        <v>0</v>
      </c>
      <c r="K61" s="59">
        <f>COUNTIFS(Oct!$B:$B,2011,Oct!$J:$J,6)</f>
        <v>0</v>
      </c>
      <c r="L61" s="59">
        <f>COUNTIFS(Nov!$B:$B,2011,Nov!$J:$J,6)</f>
        <v>0</v>
      </c>
      <c r="M61" s="59">
        <v>0</v>
      </c>
    </row>
    <row r="62" spans="1:13" s="8" customFormat="1" ht="11.25" customHeight="1">
      <c r="A62" s="10" t="s">
        <v>8</v>
      </c>
      <c r="B62" s="59">
        <f>COUNTIFS(Jan!$B:$B,2011,Jan!$J:$J,4)</f>
        <v>0</v>
      </c>
      <c r="C62" s="59">
        <f>COUNTIFS(Feb!$B:$B,2011,Feb!$J:$J,4)</f>
        <v>0</v>
      </c>
      <c r="D62" s="59">
        <f>COUNTIFS(Mar!$B:$B,2011,Mar!$J:$J,4)</f>
        <v>0</v>
      </c>
      <c r="E62" s="59">
        <f>COUNTIFS(Apr!$B:$B,2011,Apr!$J:$J,4)</f>
        <v>0</v>
      </c>
      <c r="F62" s="59">
        <f>COUNTIFS(May!$B:$B,2011,May!$J:$J,4)</f>
        <v>0</v>
      </c>
      <c r="G62" s="59">
        <f>COUNTIFS(Jun!$B:$B,2011,Jun!$J:$J,4)</f>
        <v>0</v>
      </c>
      <c r="H62" s="59">
        <f>COUNTIFS(Jul!$B:$B,2011,Jul!$J:$J,4)</f>
        <v>0</v>
      </c>
      <c r="I62" s="59">
        <f>COUNTIFS(Aug!$B:$B,2011,Aug!$J:$J,4)</f>
        <v>0</v>
      </c>
      <c r="J62" s="59">
        <f>COUNTIFS(Sep!$B:$B,2011,Sep!$J:$J,4)</f>
        <v>0</v>
      </c>
      <c r="K62" s="59">
        <f>COUNTIFS(Oct!$B:$B,2011,Oct!$J:$J,4)</f>
        <v>0</v>
      </c>
      <c r="L62" s="59">
        <f>COUNTIFS(Nov!$B:$B,2011,Nov!$J:$J,4)</f>
        <v>0</v>
      </c>
      <c r="M62" s="59">
        <v>0</v>
      </c>
    </row>
    <row r="63" spans="1:13" s="8" customFormat="1" ht="11.25" customHeight="1">
      <c r="A63" s="10" t="s">
        <v>6</v>
      </c>
      <c r="B63" s="59">
        <f>COUNTIFS(Jan!$B:$B,2011,Jan!$J:$J,5)</f>
        <v>0</v>
      </c>
      <c r="C63" s="59">
        <f>COUNTIFS(Feb!$B:$B,2011,Feb!$J:$J,5)</f>
        <v>0</v>
      </c>
      <c r="D63" s="59">
        <f>COUNTIFS(Mar!$B:$B,2011,Mar!$J:$J,5)</f>
        <v>0</v>
      </c>
      <c r="E63" s="59">
        <f>COUNTIFS(Apr!$B:$B,2011,Apr!$J:$J,5)</f>
        <v>0</v>
      </c>
      <c r="F63" s="59">
        <f>COUNTIFS(May!$B:$B,2011,May!$J:$J,5)</f>
        <v>0</v>
      </c>
      <c r="G63" s="59">
        <f>COUNTIFS(Jun!$B:$B,2011,Jun!$J:$J,5)</f>
        <v>0</v>
      </c>
      <c r="H63" s="59">
        <f>COUNTIFS(Jul!$B:$B,2011,Jul!$J:$J,5)</f>
        <v>0</v>
      </c>
      <c r="I63" s="59">
        <f>COUNTIFS(Aug!$B:$B,2011,Aug!$J:$J,5)</f>
        <v>0</v>
      </c>
      <c r="J63" s="59">
        <f>COUNTIFS(Sep!$B:$B,2011,Sep!$J:$J,5)</f>
        <v>0</v>
      </c>
      <c r="K63" s="59">
        <f>COUNTIFS(Oct!$B:$B,2011,Oct!$J:$J,5)</f>
        <v>0</v>
      </c>
      <c r="L63" s="59">
        <f>COUNTIFS(Nov!$B:$B,2011,Nov!$J:$J,5)</f>
        <v>0</v>
      </c>
      <c r="M63" s="59">
        <v>0</v>
      </c>
    </row>
    <row r="64" spans="1:13" s="8" customFormat="1" ht="11.25" customHeight="1">
      <c r="A64" s="52" t="s">
        <v>141</v>
      </c>
      <c r="B64" s="69">
        <f>COUNTIFS(Jan!$B:$B,2011,Jan!$F:$F,456)</f>
        <v>9</v>
      </c>
      <c r="C64" s="69">
        <v>2</v>
      </c>
      <c r="D64" s="69">
        <v>9</v>
      </c>
      <c r="E64" s="69">
        <f>COUNTIFS(Apr!$B:$B,2011,Apr!$F:$F,456)</f>
        <v>0</v>
      </c>
      <c r="F64" s="69">
        <v>4</v>
      </c>
      <c r="G64" s="69">
        <f>COUNTIFS(Jun!$B:$B,2011,Jun!$F:$F,456)</f>
        <v>0</v>
      </c>
      <c r="H64" s="69">
        <f>COUNTIFS(Jul!$B:$B,2011,Jul!$F:$F,456)</f>
        <v>0</v>
      </c>
      <c r="I64" s="69">
        <f>COUNTIFS(Aug!$B:$B,2011,Aug!$F:$F,456)</f>
        <v>0</v>
      </c>
      <c r="J64" s="69">
        <f>COUNTIFS(Sep!$B:$B,2011,Sep!$F:$F,456)</f>
        <v>0</v>
      </c>
      <c r="K64" s="69">
        <f>COUNTIFS(Oct!$B:$B,2011,Oct!$F:$F,456)</f>
        <v>0</v>
      </c>
      <c r="L64" s="69">
        <v>2</v>
      </c>
      <c r="M64" s="69">
        <v>1</v>
      </c>
    </row>
    <row r="65" spans="1:13" s="8" customFormat="1" ht="11.25" customHeight="1" thickBot="1">
      <c r="A65" s="12" t="s">
        <v>16</v>
      </c>
      <c r="B65" s="70">
        <f>SUM(B54:B64)</f>
        <v>10</v>
      </c>
      <c r="C65" s="70">
        <f t="shared" ref="C65:M65" si="13">SUM(C54:C64)</f>
        <v>3</v>
      </c>
      <c r="D65" s="70">
        <f>SUM(D54:D64)</f>
        <v>11</v>
      </c>
      <c r="E65" s="70">
        <f>SUM(E54:E64)</f>
        <v>30</v>
      </c>
      <c r="F65" s="70">
        <f>SUM(F54:F64)</f>
        <v>18</v>
      </c>
      <c r="G65" s="70">
        <f>SUM(G54:G64)</f>
        <v>2</v>
      </c>
      <c r="H65" s="70">
        <f t="shared" si="13"/>
        <v>16</v>
      </c>
      <c r="I65" s="70">
        <f t="shared" si="13"/>
        <v>5</v>
      </c>
      <c r="J65" s="70">
        <f t="shared" si="13"/>
        <v>2</v>
      </c>
      <c r="K65" s="70">
        <f t="shared" si="13"/>
        <v>2</v>
      </c>
      <c r="L65" s="165">
        <f t="shared" si="13"/>
        <v>6</v>
      </c>
      <c r="M65" s="170">
        <f t="shared" si="13"/>
        <v>4</v>
      </c>
    </row>
    <row r="66" spans="1:13" s="8" customFormat="1" ht="15.75" customHeight="1">
      <c r="A66" s="6"/>
      <c r="B66" s="7"/>
      <c r="C66" s="7"/>
      <c r="D66" s="7"/>
      <c r="E66" s="7"/>
      <c r="F66" s="7"/>
      <c r="G66" s="7"/>
      <c r="H66" s="7"/>
      <c r="I66" s="7"/>
      <c r="J66" s="7"/>
      <c r="K66" s="7"/>
      <c r="L66" s="7"/>
      <c r="M66" s="7"/>
    </row>
    <row r="67" spans="1:13" ht="12" customHeight="1">
      <c r="A67" s="6"/>
      <c r="B67" s="7"/>
      <c r="C67" s="7"/>
      <c r="D67" s="7"/>
      <c r="E67" s="7"/>
      <c r="F67" s="7"/>
      <c r="G67" s="7"/>
      <c r="H67" s="7"/>
      <c r="I67" s="7"/>
      <c r="J67" s="7"/>
      <c r="K67" s="7"/>
      <c r="L67" s="7"/>
      <c r="M67" s="7"/>
    </row>
  </sheetData>
  <phoneticPr fontId="0" type="noConversion"/>
  <printOptions horizontalCentered="1" verticalCentered="1"/>
  <pageMargins left="0.14000000000000001" right="0.16" top="0.25" bottom="0.5" header="0.5" footer="0.25"/>
  <pageSetup scale="95" firstPageNumber="3" orientation="portrait" useFirstPageNumber="1" r:id="rId1"/>
  <headerFooter alignWithMargins="0">
    <oddFooter>&amp;R7 of 51</oddFooter>
  </headerFooter>
  <ignoredErrors>
    <ignoredError sqref="M32 M52 M65" formulaRange="1"/>
  </ignoredError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67"/>
  <sheetViews>
    <sheetView view="pageBreakPreview" zoomScale="90" zoomScaleNormal="100" zoomScaleSheetLayoutView="90" workbookViewId="0">
      <selection activeCell="M47" sqref="M47"/>
    </sheetView>
  </sheetViews>
  <sheetFormatPr defaultRowHeight="12.75"/>
  <cols>
    <col min="1" max="1" width="22.85546875" style="1" customWidth="1"/>
    <col min="2" max="13" width="7.140625" style="1" customWidth="1"/>
    <col min="14" max="14" width="4.42578125" style="1" customWidth="1"/>
    <col min="15" max="16384" width="9.140625" style="1"/>
  </cols>
  <sheetData>
    <row r="1" spans="1:21" ht="18" customHeight="1">
      <c r="A1" s="130"/>
      <c r="B1" s="131"/>
      <c r="C1" s="131"/>
      <c r="D1" s="131"/>
      <c r="E1" s="131"/>
      <c r="F1" s="131"/>
      <c r="G1" s="131"/>
      <c r="H1" s="130"/>
      <c r="I1" s="131"/>
      <c r="J1" s="131"/>
      <c r="K1" s="131"/>
      <c r="L1" s="130"/>
      <c r="M1" s="143" t="s">
        <v>22</v>
      </c>
    </row>
    <row r="2" spans="1:21" ht="18" customHeight="1">
      <c r="A2" s="130"/>
      <c r="B2" s="135"/>
      <c r="C2" s="135"/>
      <c r="D2" s="135"/>
      <c r="E2" s="135"/>
      <c r="F2" s="135"/>
      <c r="G2" s="135"/>
      <c r="H2" s="130"/>
      <c r="I2" s="135"/>
      <c r="J2" s="135"/>
      <c r="K2" s="135"/>
      <c r="L2" s="130"/>
      <c r="M2" s="155" t="s">
        <v>2181</v>
      </c>
    </row>
    <row r="3" spans="1:21" s="5" customFormat="1" ht="18" customHeight="1">
      <c r="A3" s="133"/>
      <c r="B3" s="133"/>
      <c r="C3" s="133"/>
      <c r="D3" s="133"/>
      <c r="E3" s="133"/>
      <c r="F3" s="133"/>
      <c r="G3" s="133"/>
      <c r="H3" s="133"/>
      <c r="I3" s="133"/>
      <c r="J3" s="136"/>
      <c r="K3" s="136"/>
      <c r="L3" s="133"/>
      <c r="M3" s="155" t="s">
        <v>2177</v>
      </c>
      <c r="N3" s="134"/>
      <c r="O3" s="134"/>
      <c r="P3" s="134"/>
      <c r="Q3" s="134"/>
      <c r="R3" s="134"/>
      <c r="S3" s="134"/>
      <c r="T3" s="134"/>
      <c r="U3" s="134"/>
    </row>
    <row r="4" spans="1:21" s="8" customFormat="1" ht="6.75" customHeight="1" thickBot="1">
      <c r="A4" s="38"/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</row>
    <row r="5" spans="1:21" s="8" customFormat="1" ht="11.25" customHeight="1" thickBot="1">
      <c r="A5" s="53" t="s">
        <v>19</v>
      </c>
      <c r="B5" s="50">
        <v>41275</v>
      </c>
      <c r="C5" s="47">
        <v>41306</v>
      </c>
      <c r="D5" s="47">
        <v>41334</v>
      </c>
      <c r="E5" s="47">
        <v>41365</v>
      </c>
      <c r="F5" s="47">
        <v>41395</v>
      </c>
      <c r="G5" s="47">
        <v>41426</v>
      </c>
      <c r="H5" s="47">
        <v>41456</v>
      </c>
      <c r="I5" s="47">
        <v>41487</v>
      </c>
      <c r="J5" s="47">
        <v>41518</v>
      </c>
      <c r="K5" s="47">
        <v>41548</v>
      </c>
      <c r="L5" s="47">
        <v>41579</v>
      </c>
      <c r="M5" s="51">
        <v>41609</v>
      </c>
    </row>
    <row r="6" spans="1:21" s="8" customFormat="1" ht="11.25" customHeight="1">
      <c r="A6" s="41" t="s">
        <v>129</v>
      </c>
      <c r="B6" s="57">
        <f t="shared" ref="B6:M6" si="0">B32</f>
        <v>27</v>
      </c>
      <c r="C6" s="57">
        <f t="shared" si="0"/>
        <v>12</v>
      </c>
      <c r="D6" s="57">
        <f t="shared" si="0"/>
        <v>16</v>
      </c>
      <c r="E6" s="57">
        <f t="shared" si="0"/>
        <v>18</v>
      </c>
      <c r="F6" s="57">
        <f t="shared" si="0"/>
        <v>18</v>
      </c>
      <c r="G6" s="57">
        <f t="shared" si="0"/>
        <v>10</v>
      </c>
      <c r="H6" s="57">
        <f t="shared" si="0"/>
        <v>20</v>
      </c>
      <c r="I6" s="57">
        <f t="shared" si="0"/>
        <v>35</v>
      </c>
      <c r="J6" s="57">
        <f t="shared" si="0"/>
        <v>22</v>
      </c>
      <c r="K6" s="57">
        <f t="shared" si="0"/>
        <v>12</v>
      </c>
      <c r="L6" s="156">
        <f t="shared" si="0"/>
        <v>14</v>
      </c>
      <c r="M6" s="168">
        <f t="shared" si="0"/>
        <v>33</v>
      </c>
    </row>
    <row r="7" spans="1:21" s="8" customFormat="1" ht="11.25" customHeight="1">
      <c r="A7" s="42" t="s">
        <v>18</v>
      </c>
      <c r="B7" s="57">
        <f t="shared" ref="B7:M7" si="1">SUM(B10:B12)</f>
        <v>123</v>
      </c>
      <c r="C7" s="57">
        <f t="shared" si="1"/>
        <v>96</v>
      </c>
      <c r="D7" s="57">
        <f t="shared" si="1"/>
        <v>111</v>
      </c>
      <c r="E7" s="57">
        <f t="shared" si="1"/>
        <v>108</v>
      </c>
      <c r="F7" s="57">
        <f t="shared" si="1"/>
        <v>109</v>
      </c>
      <c r="G7" s="57">
        <f t="shared" si="1"/>
        <v>86</v>
      </c>
      <c r="H7" s="57">
        <f t="shared" si="1"/>
        <v>124</v>
      </c>
      <c r="I7" s="57">
        <f t="shared" si="1"/>
        <v>155</v>
      </c>
      <c r="J7" s="57">
        <f t="shared" si="1"/>
        <v>154</v>
      </c>
      <c r="K7" s="57">
        <f t="shared" si="1"/>
        <v>71</v>
      </c>
      <c r="L7" s="156">
        <f t="shared" si="1"/>
        <v>131</v>
      </c>
      <c r="M7" s="171">
        <f t="shared" si="1"/>
        <v>165</v>
      </c>
    </row>
    <row r="8" spans="1:21" s="8" customFormat="1" ht="11.25" customHeight="1" thickBot="1">
      <c r="A8" s="43" t="s">
        <v>14</v>
      </c>
      <c r="B8" s="58">
        <f t="shared" ref="B8:M8" si="2">SUM(B6:B7)</f>
        <v>150</v>
      </c>
      <c r="C8" s="58">
        <f t="shared" si="2"/>
        <v>108</v>
      </c>
      <c r="D8" s="58">
        <f t="shared" si="2"/>
        <v>127</v>
      </c>
      <c r="E8" s="58">
        <f t="shared" si="2"/>
        <v>126</v>
      </c>
      <c r="F8" s="58">
        <f t="shared" si="2"/>
        <v>127</v>
      </c>
      <c r="G8" s="58">
        <f t="shared" si="2"/>
        <v>96</v>
      </c>
      <c r="H8" s="58">
        <f t="shared" si="2"/>
        <v>144</v>
      </c>
      <c r="I8" s="58">
        <f t="shared" si="2"/>
        <v>190</v>
      </c>
      <c r="J8" s="58">
        <f t="shared" si="2"/>
        <v>176</v>
      </c>
      <c r="K8" s="58">
        <f t="shared" si="2"/>
        <v>83</v>
      </c>
      <c r="L8" s="157">
        <f t="shared" si="2"/>
        <v>145</v>
      </c>
      <c r="M8" s="172">
        <f t="shared" si="2"/>
        <v>198</v>
      </c>
    </row>
    <row r="9" spans="1:21" s="8" customFormat="1" ht="11.25" customHeight="1" thickBot="1">
      <c r="A9" s="54" t="s">
        <v>18</v>
      </c>
      <c r="B9" s="50">
        <v>41275</v>
      </c>
      <c r="C9" s="47">
        <v>41306</v>
      </c>
      <c r="D9" s="47">
        <v>41334</v>
      </c>
      <c r="E9" s="47">
        <v>41365</v>
      </c>
      <c r="F9" s="47">
        <v>41395</v>
      </c>
      <c r="G9" s="47">
        <v>41426</v>
      </c>
      <c r="H9" s="47">
        <v>41456</v>
      </c>
      <c r="I9" s="47">
        <v>41487</v>
      </c>
      <c r="J9" s="47">
        <v>41518</v>
      </c>
      <c r="K9" s="47">
        <v>41548</v>
      </c>
      <c r="L9" s="47">
        <v>41579</v>
      </c>
      <c r="M9" s="51">
        <v>41609</v>
      </c>
    </row>
    <row r="10" spans="1:21" s="8" customFormat="1" ht="11.25" customHeight="1">
      <c r="A10" s="9" t="s">
        <v>128</v>
      </c>
      <c r="B10" s="57">
        <f t="shared" ref="B10:M10" si="3">B52</f>
        <v>105</v>
      </c>
      <c r="C10" s="57">
        <f t="shared" si="3"/>
        <v>85</v>
      </c>
      <c r="D10" s="57">
        <f t="shared" si="3"/>
        <v>93</v>
      </c>
      <c r="E10" s="57">
        <f t="shared" si="3"/>
        <v>84</v>
      </c>
      <c r="F10" s="57">
        <f t="shared" si="3"/>
        <v>88</v>
      </c>
      <c r="G10" s="59">
        <f t="shared" si="3"/>
        <v>78</v>
      </c>
      <c r="H10" s="59">
        <f t="shared" si="3"/>
        <v>106</v>
      </c>
      <c r="I10" s="59">
        <f t="shared" si="3"/>
        <v>129</v>
      </c>
      <c r="J10" s="59">
        <f t="shared" si="3"/>
        <v>130</v>
      </c>
      <c r="K10" s="59">
        <f t="shared" si="3"/>
        <v>55</v>
      </c>
      <c r="L10" s="158">
        <f t="shared" si="3"/>
        <v>99</v>
      </c>
      <c r="M10" s="168">
        <f t="shared" si="3"/>
        <v>128</v>
      </c>
    </row>
    <row r="11" spans="1:21" s="8" customFormat="1" ht="11.25" customHeight="1">
      <c r="A11" s="9" t="s">
        <v>127</v>
      </c>
      <c r="B11" s="59">
        <f t="shared" ref="B11:M11" si="4">B65</f>
        <v>6</v>
      </c>
      <c r="C11" s="59">
        <f t="shared" si="4"/>
        <v>2</v>
      </c>
      <c r="D11" s="59">
        <f t="shared" si="4"/>
        <v>1</v>
      </c>
      <c r="E11" s="59">
        <f t="shared" si="4"/>
        <v>2</v>
      </c>
      <c r="F11" s="59">
        <f t="shared" si="4"/>
        <v>0</v>
      </c>
      <c r="G11" s="59">
        <f t="shared" si="4"/>
        <v>2</v>
      </c>
      <c r="H11" s="59">
        <f t="shared" si="4"/>
        <v>5</v>
      </c>
      <c r="I11" s="59">
        <f t="shared" si="4"/>
        <v>5</v>
      </c>
      <c r="J11" s="59">
        <f t="shared" si="4"/>
        <v>5</v>
      </c>
      <c r="K11" s="59">
        <f t="shared" si="4"/>
        <v>0</v>
      </c>
      <c r="L11" s="158">
        <f t="shared" si="4"/>
        <v>2</v>
      </c>
      <c r="M11" s="169">
        <f t="shared" si="4"/>
        <v>6</v>
      </c>
    </row>
    <row r="12" spans="1:21" s="8" customFormat="1" ht="11.25" customHeight="1" thickBot="1">
      <c r="A12" s="2" t="s">
        <v>12</v>
      </c>
      <c r="B12" s="60">
        <f>COUNTIFS(Jan!$B:$B,2012,Jan!$F:$F,800)</f>
        <v>12</v>
      </c>
      <c r="C12" s="60">
        <v>9</v>
      </c>
      <c r="D12" s="60">
        <v>17</v>
      </c>
      <c r="E12" s="60">
        <v>22</v>
      </c>
      <c r="F12" s="60">
        <v>21</v>
      </c>
      <c r="G12" s="60">
        <v>6</v>
      </c>
      <c r="H12" s="60">
        <v>13</v>
      </c>
      <c r="I12" s="60">
        <v>21</v>
      </c>
      <c r="J12" s="60">
        <v>19</v>
      </c>
      <c r="K12" s="60">
        <v>16</v>
      </c>
      <c r="L12" s="60">
        <v>30</v>
      </c>
      <c r="M12" s="60">
        <v>31</v>
      </c>
    </row>
    <row r="13" spans="1:21" s="8" customFormat="1" ht="5.0999999999999996" customHeight="1" thickBot="1">
      <c r="A13" s="3"/>
      <c r="B13" s="17"/>
      <c r="C13" s="17"/>
      <c r="D13" s="17"/>
      <c r="E13" s="17"/>
      <c r="F13" s="17"/>
      <c r="G13" s="17"/>
      <c r="H13" s="17"/>
      <c r="I13" s="17"/>
      <c r="J13" s="17"/>
      <c r="K13" s="17"/>
      <c r="L13" s="17">
        <v>28220</v>
      </c>
      <c r="M13" s="147"/>
    </row>
    <row r="14" spans="1:21" s="16" customFormat="1" ht="11.25" customHeight="1">
      <c r="A14" s="44" t="s">
        <v>131</v>
      </c>
      <c r="B14" s="120">
        <v>29234</v>
      </c>
      <c r="C14" s="120">
        <v>30457</v>
      </c>
      <c r="D14" s="120">
        <v>32498</v>
      </c>
      <c r="E14" s="120">
        <v>29645</v>
      </c>
      <c r="F14" s="120">
        <v>32959</v>
      </c>
      <c r="G14" s="120">
        <v>33118</v>
      </c>
      <c r="H14" s="119">
        <v>30141</v>
      </c>
      <c r="I14" s="61">
        <v>30115</v>
      </c>
      <c r="J14" s="61">
        <v>33083</v>
      </c>
      <c r="K14" s="118">
        <v>29974</v>
      </c>
      <c r="L14" s="160">
        <v>28220</v>
      </c>
      <c r="M14" s="173">
        <v>31234</v>
      </c>
      <c r="O14" s="22"/>
      <c r="P14" s="22"/>
      <c r="Q14" s="22"/>
    </row>
    <row r="15" spans="1:21" s="8" customFormat="1" ht="11.25" customHeight="1">
      <c r="A15" s="45" t="s">
        <v>132</v>
      </c>
      <c r="B15" s="62">
        <f>IFERROR((SUMIFS(Jan!$N:$N,Jan!$J:$J,1,Jan!$B:$B,2012)+SUMIFS(Jan!$N:$N,Jan!$D:$D,"&gt;1",Jan!$B:$B,2012))/(COUNTIFS(Jan!$J:$J,1,Jan!$B:$B,2012)+COUNTIFS(Jan!$D:$D,"&gt;1",Jan!$B:$B,2012)),"")</f>
        <v>33.615384615384613</v>
      </c>
      <c r="C15" s="62">
        <v>21.89</v>
      </c>
      <c r="D15" s="62">
        <v>20.57</v>
      </c>
      <c r="E15" s="62">
        <v>22.73</v>
      </c>
      <c r="F15" s="62">
        <v>21.63</v>
      </c>
      <c r="G15" s="62">
        <v>22.88</v>
      </c>
      <c r="H15" s="62">
        <v>21.57</v>
      </c>
      <c r="I15" s="62">
        <v>21.78</v>
      </c>
      <c r="J15" s="62">
        <v>21.88</v>
      </c>
      <c r="K15" s="62">
        <v>20.95</v>
      </c>
      <c r="L15" s="62">
        <v>21.3</v>
      </c>
      <c r="M15" s="62">
        <v>22.62</v>
      </c>
      <c r="N15" s="15"/>
      <c r="O15" s="1"/>
      <c r="P15" s="1"/>
      <c r="Q15" s="1"/>
    </row>
    <row r="16" spans="1:21" s="8" customFormat="1" ht="11.25" customHeight="1">
      <c r="A16" s="45" t="s">
        <v>133</v>
      </c>
      <c r="B16" s="62">
        <f>IFERROR(AVERAGEIFS(Jan!$N:$N,Jan!$F:$F,800,Jan!$B:$B,2012),"")</f>
        <v>33.666666666666664</v>
      </c>
      <c r="C16" s="62">
        <v>38.67</v>
      </c>
      <c r="D16" s="62">
        <v>33.18</v>
      </c>
      <c r="E16" s="62">
        <v>34.74</v>
      </c>
      <c r="F16" s="62">
        <v>34.520000000000003</v>
      </c>
      <c r="G16" s="62">
        <v>39.17</v>
      </c>
      <c r="H16" s="62">
        <v>32.229999999999997</v>
      </c>
      <c r="I16" s="62">
        <v>36.14</v>
      </c>
      <c r="J16" s="62">
        <v>31.68</v>
      </c>
      <c r="K16" s="62">
        <v>29.19</v>
      </c>
      <c r="L16" s="62">
        <v>30.48</v>
      </c>
      <c r="M16" s="62">
        <v>33.61</v>
      </c>
      <c r="O16" s="1"/>
      <c r="P16" s="1"/>
      <c r="Q16" s="1"/>
    </row>
    <row r="17" spans="1:17" s="8" customFormat="1" ht="11.25" customHeight="1">
      <c r="A17" s="45" t="s">
        <v>134</v>
      </c>
      <c r="B17" s="63">
        <f>IFERROR((SUMIFS(Jan!$M:$M,Jan!$J:$J,1,Jan!$B:$B,2012)+SUMIFS(Jan!$M:$M,Jan!$D:$D,"&gt;1",Jan!$B:$B,2012))/(COUNTIFS(Jan!$J:$J,1,Jan!$B:$B,2012)+COUNTIFS(Jan!$D:$D,"&gt;1",Jan!$B:$B,2012)),"")</f>
        <v>0.76153846153846161</v>
      </c>
      <c r="C17" s="63">
        <v>2.86</v>
      </c>
      <c r="D17" s="63">
        <v>2.57</v>
      </c>
      <c r="E17" s="63">
        <v>2.2200000000000002</v>
      </c>
      <c r="F17" s="63">
        <v>2.7</v>
      </c>
      <c r="G17" s="63">
        <v>2.31</v>
      </c>
      <c r="H17" s="63">
        <v>2.12</v>
      </c>
      <c r="I17" s="63">
        <v>2.74</v>
      </c>
      <c r="J17" s="63">
        <v>2.37</v>
      </c>
      <c r="K17" s="63">
        <v>2.0099999999999998</v>
      </c>
      <c r="L17" s="63">
        <v>2.16</v>
      </c>
      <c r="M17" s="63">
        <v>2.66</v>
      </c>
      <c r="O17" s="1"/>
      <c r="P17" s="1"/>
      <c r="Q17" s="1"/>
    </row>
    <row r="18" spans="1:17" s="8" customFormat="1" ht="11.25" customHeight="1" thickBot="1">
      <c r="A18" s="43" t="s">
        <v>135</v>
      </c>
      <c r="B18" s="64">
        <f>IFERROR(AVERAGEIFS(Jan!$M:$M,Jan!$F:$F,800,Jan!$B:$B,2012),"")</f>
        <v>0.80000000000000016</v>
      </c>
      <c r="C18" s="64">
        <v>2.63</v>
      </c>
      <c r="D18" s="64">
        <v>0.51</v>
      </c>
      <c r="E18" s="64">
        <v>0.6</v>
      </c>
      <c r="F18" s="64">
        <v>0.7</v>
      </c>
      <c r="G18" s="64">
        <v>0.47</v>
      </c>
      <c r="H18" s="64">
        <v>0.55000000000000004</v>
      </c>
      <c r="I18" s="64">
        <v>0.74</v>
      </c>
      <c r="J18" s="64">
        <v>0.56999999999999995</v>
      </c>
      <c r="K18" s="64">
        <v>0.76</v>
      </c>
      <c r="L18" s="64">
        <v>0.55000000000000004</v>
      </c>
      <c r="M18" s="64">
        <v>1.21</v>
      </c>
    </row>
    <row r="19" spans="1:17" s="8" customFormat="1" ht="5.0999999999999996" customHeight="1" thickBot="1">
      <c r="A19" s="3"/>
      <c r="B19" s="17"/>
      <c r="C19" s="17"/>
      <c r="D19" s="17"/>
      <c r="E19" s="17"/>
      <c r="F19" s="17"/>
      <c r="G19" s="17"/>
      <c r="H19" s="17"/>
      <c r="I19" s="17"/>
      <c r="J19" s="17"/>
      <c r="K19" s="17"/>
      <c r="L19" s="17"/>
      <c r="M19" s="147"/>
    </row>
    <row r="20" spans="1:17" s="8" customFormat="1" ht="11.25" customHeight="1">
      <c r="A20" s="42" t="s">
        <v>52</v>
      </c>
      <c r="B20" s="65">
        <v>31</v>
      </c>
      <c r="C20" s="65">
        <v>28</v>
      </c>
      <c r="D20" s="65">
        <v>31</v>
      </c>
      <c r="E20" s="65">
        <v>30</v>
      </c>
      <c r="F20" s="65">
        <v>31</v>
      </c>
      <c r="G20" s="65">
        <v>30</v>
      </c>
      <c r="H20" s="65">
        <v>31</v>
      </c>
      <c r="I20" s="65">
        <v>31</v>
      </c>
      <c r="J20" s="65">
        <v>30</v>
      </c>
      <c r="K20" s="65">
        <v>31</v>
      </c>
      <c r="L20" s="161">
        <v>30</v>
      </c>
      <c r="M20" s="174">
        <v>31</v>
      </c>
    </row>
    <row r="21" spans="1:17" s="8" customFormat="1" ht="11.25" customHeight="1">
      <c r="A21" s="9" t="s">
        <v>15</v>
      </c>
      <c r="B21" s="66">
        <f>B12/B20</f>
        <v>0.38709677419354838</v>
      </c>
      <c r="C21" s="66">
        <f t="shared" ref="C21:M21" si="5">C12/C20</f>
        <v>0.32142857142857145</v>
      </c>
      <c r="D21" s="66">
        <f>D12/D20</f>
        <v>0.54838709677419351</v>
      </c>
      <c r="E21" s="66">
        <f>E12/E20</f>
        <v>0.73333333333333328</v>
      </c>
      <c r="F21" s="66">
        <f>F12/F20</f>
        <v>0.67741935483870963</v>
      </c>
      <c r="G21" s="66">
        <f>G12/G20</f>
        <v>0.2</v>
      </c>
      <c r="H21" s="66">
        <f t="shared" si="5"/>
        <v>0.41935483870967744</v>
      </c>
      <c r="I21" s="66">
        <f t="shared" si="5"/>
        <v>0.67741935483870963</v>
      </c>
      <c r="J21" s="66">
        <f t="shared" si="5"/>
        <v>0.6333333333333333</v>
      </c>
      <c r="K21" s="66">
        <f t="shared" si="5"/>
        <v>0.5161290322580645</v>
      </c>
      <c r="L21" s="162">
        <f t="shared" si="5"/>
        <v>1</v>
      </c>
      <c r="M21" s="175">
        <f t="shared" si="5"/>
        <v>1</v>
      </c>
    </row>
    <row r="22" spans="1:17" s="8" customFormat="1" ht="11.25" customHeight="1">
      <c r="A22" s="9" t="s">
        <v>130</v>
      </c>
      <c r="B22" s="67">
        <f t="shared" ref="B22:G22" si="6">IFERROR(B12/B7,0)</f>
        <v>9.7560975609756101E-2</v>
      </c>
      <c r="C22" s="67">
        <f t="shared" si="6"/>
        <v>9.375E-2</v>
      </c>
      <c r="D22" s="67">
        <f t="shared" si="6"/>
        <v>0.15315315315315314</v>
      </c>
      <c r="E22" s="67">
        <f t="shared" si="6"/>
        <v>0.20370370370370369</v>
      </c>
      <c r="F22" s="67">
        <f t="shared" si="6"/>
        <v>0.19266055045871561</v>
      </c>
      <c r="G22" s="67">
        <f t="shared" si="6"/>
        <v>6.9767441860465115E-2</v>
      </c>
      <c r="H22" s="67">
        <f t="shared" ref="H22:M22" si="7">IFERROR(H12/H7,0)</f>
        <v>0.10483870967741936</v>
      </c>
      <c r="I22" s="67">
        <f t="shared" si="7"/>
        <v>0.13548387096774195</v>
      </c>
      <c r="J22" s="67">
        <f t="shared" si="7"/>
        <v>0.12337662337662338</v>
      </c>
      <c r="K22" s="116">
        <f t="shared" si="7"/>
        <v>0.22535211267605634</v>
      </c>
      <c r="L22" s="67">
        <f t="shared" si="7"/>
        <v>0.22900763358778625</v>
      </c>
      <c r="M22" s="176">
        <f t="shared" si="7"/>
        <v>0.18787878787878787</v>
      </c>
      <c r="N22" s="1"/>
    </row>
    <row r="23" spans="1:17" s="8" customFormat="1" ht="11.25" customHeight="1" thickBot="1">
      <c r="A23" s="9" t="s">
        <v>53</v>
      </c>
      <c r="B23" s="67">
        <f t="shared" ref="B23:G23" si="8">IFERROR(B12/(B11+B12),0)</f>
        <v>0.66666666666666663</v>
      </c>
      <c r="C23" s="67">
        <f t="shared" si="8"/>
        <v>0.81818181818181823</v>
      </c>
      <c r="D23" s="67">
        <f t="shared" si="8"/>
        <v>0.94444444444444442</v>
      </c>
      <c r="E23" s="67">
        <f t="shared" si="8"/>
        <v>0.91666666666666663</v>
      </c>
      <c r="F23" s="67">
        <f t="shared" si="8"/>
        <v>1</v>
      </c>
      <c r="G23" s="67">
        <f t="shared" si="8"/>
        <v>0.75</v>
      </c>
      <c r="H23" s="67">
        <f t="shared" ref="H23:M23" si="9">IFERROR(H12/(H11+H12),0)</f>
        <v>0.72222222222222221</v>
      </c>
      <c r="I23" s="67">
        <f t="shared" si="9"/>
        <v>0.80769230769230771</v>
      </c>
      <c r="J23" s="67">
        <f t="shared" si="9"/>
        <v>0.79166666666666663</v>
      </c>
      <c r="K23" s="117">
        <f t="shared" si="9"/>
        <v>1</v>
      </c>
      <c r="L23" s="163">
        <f t="shared" si="9"/>
        <v>0.9375</v>
      </c>
      <c r="M23" s="177">
        <f t="shared" si="9"/>
        <v>0.83783783783783783</v>
      </c>
      <c r="N23" s="4"/>
    </row>
    <row r="24" spans="1:17" s="8" customFormat="1" ht="11.25" customHeight="1" thickBot="1">
      <c r="A24" s="53" t="s">
        <v>21</v>
      </c>
      <c r="B24" s="50">
        <v>41275</v>
      </c>
      <c r="C24" s="47">
        <v>41306</v>
      </c>
      <c r="D24" s="47">
        <v>41334</v>
      </c>
      <c r="E24" s="47">
        <v>41365</v>
      </c>
      <c r="F24" s="47">
        <v>41395</v>
      </c>
      <c r="G24" s="47">
        <v>41426</v>
      </c>
      <c r="H24" s="47">
        <v>41456</v>
      </c>
      <c r="I24" s="47">
        <v>41487</v>
      </c>
      <c r="J24" s="47">
        <v>41518</v>
      </c>
      <c r="K24" s="47">
        <v>41548</v>
      </c>
      <c r="L24" s="47">
        <v>41579</v>
      </c>
      <c r="M24" s="51">
        <v>41609</v>
      </c>
    </row>
    <row r="25" spans="1:17" s="8" customFormat="1" ht="11.25" customHeight="1">
      <c r="A25" s="18" t="s">
        <v>5</v>
      </c>
      <c r="B25" s="68">
        <f>COUNTIFS(Jan!$B:$B,2012,Jan!$J:$J,18)</f>
        <v>12</v>
      </c>
      <c r="C25" s="68">
        <v>3</v>
      </c>
      <c r="D25" s="68">
        <v>8</v>
      </c>
      <c r="E25" s="68">
        <v>5</v>
      </c>
      <c r="F25" s="68">
        <v>7</v>
      </c>
      <c r="G25" s="68">
        <v>4</v>
      </c>
      <c r="H25" s="68">
        <v>8</v>
      </c>
      <c r="I25" s="68">
        <v>14</v>
      </c>
      <c r="J25" s="68">
        <v>10</v>
      </c>
      <c r="K25" s="68">
        <v>5</v>
      </c>
      <c r="L25" s="68">
        <v>8</v>
      </c>
      <c r="M25" s="68">
        <v>9</v>
      </c>
    </row>
    <row r="26" spans="1:17" s="8" customFormat="1" ht="11.25" customHeight="1">
      <c r="A26" s="46" t="s">
        <v>40</v>
      </c>
      <c r="B26" s="57">
        <f>COUNTIFS(Jan!$B:$B,2012,Jan!$J:$J,41)</f>
        <v>0</v>
      </c>
      <c r="C26" s="57">
        <f>COUNTIFS(Feb!$B:$B,2012,Feb!$J:$J,41)</f>
        <v>0</v>
      </c>
      <c r="D26" s="57">
        <f>COUNTIFS(Mar!$B:$B,2012,Mar!$J:$J,41)</f>
        <v>0</v>
      </c>
      <c r="E26" s="57">
        <f>COUNTIFS(Apr!$B:$B,2012,Apr!$J:$J,41)</f>
        <v>0</v>
      </c>
      <c r="F26" s="57">
        <f>COUNTIFS(May!$B:$B,2012,May!$J:$J,41)</f>
        <v>0</v>
      </c>
      <c r="G26" s="57">
        <f>COUNTIFS(Jun!$B:$B,2012,Jun!$J:$J,41)</f>
        <v>0</v>
      </c>
      <c r="H26" s="57">
        <f>COUNTIFS(Jul!$B:$B,2012,Jul!$J:$J,41)</f>
        <v>0</v>
      </c>
      <c r="I26" s="57">
        <f>COUNTIFS(Aug!$B:$B,2012,Aug!$J:$J,41)</f>
        <v>0</v>
      </c>
      <c r="J26" s="57">
        <f>COUNTIFS(Sep!$B:$B,2012,Sep!$J:$J,41)</f>
        <v>0</v>
      </c>
      <c r="K26" s="57">
        <v>1</v>
      </c>
      <c r="L26" s="57">
        <f>COUNTIFS(Nov!$B:$B,2012,Nov!$J:$J,41)</f>
        <v>0</v>
      </c>
      <c r="M26" s="57">
        <v>0</v>
      </c>
    </row>
    <row r="27" spans="1:17" s="8" customFormat="1" ht="11.25" customHeight="1">
      <c r="A27" s="9" t="s">
        <v>11</v>
      </c>
      <c r="B27" s="179">
        <f>COUNTIFS(Jan!$B:$B,2012,Jan!$J:$J,17)</f>
        <v>14</v>
      </c>
      <c r="C27" s="206">
        <v>9</v>
      </c>
      <c r="D27" s="206">
        <v>7</v>
      </c>
      <c r="E27" s="206">
        <v>13</v>
      </c>
      <c r="F27" s="206">
        <v>9</v>
      </c>
      <c r="G27" s="206">
        <v>5</v>
      </c>
      <c r="H27" s="206">
        <v>11</v>
      </c>
      <c r="I27" s="206">
        <v>17</v>
      </c>
      <c r="J27" s="206">
        <v>10</v>
      </c>
      <c r="K27" s="206">
        <v>6</v>
      </c>
      <c r="L27" s="206">
        <v>5</v>
      </c>
      <c r="M27" s="206">
        <v>20</v>
      </c>
    </row>
    <row r="28" spans="1:17" s="8" customFormat="1" ht="11.25" customHeight="1">
      <c r="A28" s="9" t="s">
        <v>143</v>
      </c>
      <c r="B28" s="59">
        <f>COUNTIFS(Jan!$B:$B,2012,Jan!$F:$F,455)</f>
        <v>0</v>
      </c>
      <c r="C28" s="59">
        <f>COUNTIFS(Feb!$B:$B,2012,Feb!$F:$F,455)</f>
        <v>0</v>
      </c>
      <c r="D28" s="59">
        <f>COUNTIFS(Mar!$B:$B,2012,Mar!$F:$F,455)</f>
        <v>0</v>
      </c>
      <c r="E28" s="59">
        <f>COUNTIFS(Apr!$B:$B,2012,Apr!$F:$F,455)</f>
        <v>0</v>
      </c>
      <c r="F28" s="59">
        <f>COUNTIFS(May!$B:$B,2012,May!$F:$F,455)</f>
        <v>0</v>
      </c>
      <c r="G28" s="59">
        <f>COUNTIFS(Jun!$B:$B,2012,Jun!$F:$F,455)</f>
        <v>0</v>
      </c>
      <c r="H28" s="59">
        <f>COUNTIFS(Jul!$B:$B,2012,Jul!$F:$F,455)</f>
        <v>0</v>
      </c>
      <c r="I28" s="59">
        <f>COUNTIFS(Aug!$B:$B,2012,Aug!$F:$F,455)</f>
        <v>0</v>
      </c>
      <c r="J28" s="59">
        <f>COUNTIFS(Sep!$B:$B,2012,Sep!$F:$F,455)</f>
        <v>0</v>
      </c>
      <c r="K28" s="59">
        <f>COUNTIFS(Oct!$B:$B,2012,Oct!$F:$F,455)</f>
        <v>0</v>
      </c>
      <c r="L28" s="59">
        <f>COUNTIFS(Nov!$B:$B,2012,Nov!$F:$F,455)</f>
        <v>0</v>
      </c>
      <c r="M28" s="59">
        <v>0</v>
      </c>
    </row>
    <row r="29" spans="1:17" s="8" customFormat="1" ht="11.25" customHeight="1">
      <c r="A29" s="9" t="s">
        <v>23</v>
      </c>
      <c r="B29" s="59">
        <f>COUNTIFS(Jan!$B:$B,2012,Jan!$J:$J,31)</f>
        <v>0</v>
      </c>
      <c r="C29" s="59">
        <f>COUNTIFS(Feb!$B:$B,2012,Feb!$J:$J,31)</f>
        <v>0</v>
      </c>
      <c r="D29" s="59">
        <f>COUNTIFS(Mar!$B:$B,2012,Mar!$J:$J,31)</f>
        <v>0</v>
      </c>
      <c r="E29" s="59">
        <f>COUNTIFS(Apr!$B:$B,2012,Apr!$J:$J,31)</f>
        <v>0</v>
      </c>
      <c r="F29" s="59">
        <f>COUNTIFS(May!$B:$B,2012,May!$J:$J,31)</f>
        <v>0</v>
      </c>
      <c r="G29" s="59">
        <f>COUNTIFS(Jun!$B:$B,2012,Jun!$J:$J,31)</f>
        <v>0</v>
      </c>
      <c r="H29" s="59">
        <f>COUNTIFS(Jul!$B:$B,2012,Jul!$J:$J,31)</f>
        <v>0</v>
      </c>
      <c r="I29" s="59">
        <f>COUNTIFS(Aug!$B:$B,2012,Aug!$J:$J,31)</f>
        <v>0</v>
      </c>
      <c r="J29" s="59">
        <f>COUNTIFS(Sep!$B:$B,2012,Sep!$J:$J,31)</f>
        <v>0</v>
      </c>
      <c r="K29" s="59">
        <f>COUNTIFS(Oct!$B:$B,2012,Oct!$J:$J,31)</f>
        <v>0</v>
      </c>
      <c r="L29" s="59">
        <f>COUNTIFS(Nov!$B:$B,2012,Nov!$J:$J,31)</f>
        <v>0</v>
      </c>
      <c r="M29" s="59">
        <v>0</v>
      </c>
    </row>
    <row r="30" spans="1:17" s="8" customFormat="1" ht="11.25" customHeight="1">
      <c r="A30" s="9" t="s">
        <v>37</v>
      </c>
      <c r="B30" s="59">
        <f>COUNTIFS(Jan!$B:$B,2012,Jan!$J:$J,4400)</f>
        <v>1</v>
      </c>
      <c r="C30" s="59">
        <f>COUNTIFS(Feb!$B:$B,2012,Feb!$J:$J,4400)</f>
        <v>0</v>
      </c>
      <c r="D30" s="59">
        <v>1</v>
      </c>
      <c r="E30" s="59">
        <f>COUNTIFS(Apr!$B:$B,2012,Apr!$J:$J,4400)</f>
        <v>0</v>
      </c>
      <c r="F30" s="59">
        <v>2</v>
      </c>
      <c r="G30" s="59">
        <v>1</v>
      </c>
      <c r="H30" s="59">
        <v>1</v>
      </c>
      <c r="I30" s="59">
        <v>4</v>
      </c>
      <c r="J30" s="59">
        <v>2</v>
      </c>
      <c r="K30" s="59">
        <f>COUNTIFS(Oct!$B:$B,2012,Oct!$J:$J,4400)</f>
        <v>0</v>
      </c>
      <c r="L30" s="59">
        <v>1</v>
      </c>
      <c r="M30" s="59">
        <v>4</v>
      </c>
    </row>
    <row r="31" spans="1:17" s="8" customFormat="1" ht="11.25" customHeight="1">
      <c r="A31" s="10" t="s">
        <v>24</v>
      </c>
      <c r="B31" s="59">
        <f>COUNTIFS(Jan!$B:$B,2012,Jan!$J:$J,30)</f>
        <v>0</v>
      </c>
      <c r="C31" s="59">
        <f>COUNTIFS(Feb!$B:$B,2012,Feb!$J:$J,30)</f>
        <v>0</v>
      </c>
      <c r="D31" s="59">
        <f>COUNTIFS(Mar!$B:$B,2012,Mar!$J:$J,30)</f>
        <v>0</v>
      </c>
      <c r="E31" s="59">
        <f>COUNTIFS(Apr!$B:$B,2012,Apr!$J:$J,30)</f>
        <v>0</v>
      </c>
      <c r="F31" s="59">
        <f>COUNTIFS(May!$B:$B,2012,May!$J:$J,30)</f>
        <v>0</v>
      </c>
      <c r="G31" s="59">
        <f>COUNTIFS(Jun!$B:$B,2012,Jun!$J:$J,30)</f>
        <v>0</v>
      </c>
      <c r="H31" s="59">
        <f>COUNTIFS(Jul!$B:$B,2012,Jul!$J:$J,30)</f>
        <v>0</v>
      </c>
      <c r="I31" s="59">
        <f>COUNTIFS(Aug!$B:$B,2012,Aug!$J:$J,30)</f>
        <v>0</v>
      </c>
      <c r="J31" s="59">
        <f>COUNTIFS(Sep!$B:$B,2012,Sep!$J:$J,30)</f>
        <v>0</v>
      </c>
      <c r="K31" s="59">
        <f>COUNTIFS(Oct!$B:$B,2012,Oct!$J:$J,30)</f>
        <v>0</v>
      </c>
      <c r="L31" s="59">
        <f>COUNTIFS(Nov!$B:$B,2012,Nov!$J:$J,30)</f>
        <v>0</v>
      </c>
      <c r="M31" s="59">
        <v>0</v>
      </c>
    </row>
    <row r="32" spans="1:17" s="14" customFormat="1" ht="11.25" customHeight="1" thickBot="1">
      <c r="A32" s="2" t="s">
        <v>140</v>
      </c>
      <c r="B32" s="60">
        <f t="shared" ref="B32:G32" si="10">SUM(B25:B31)</f>
        <v>27</v>
      </c>
      <c r="C32" s="60">
        <f t="shared" si="10"/>
        <v>12</v>
      </c>
      <c r="D32" s="60">
        <f t="shared" si="10"/>
        <v>16</v>
      </c>
      <c r="E32" s="60">
        <f t="shared" si="10"/>
        <v>18</v>
      </c>
      <c r="F32" s="60">
        <f t="shared" si="10"/>
        <v>18</v>
      </c>
      <c r="G32" s="60">
        <f t="shared" si="10"/>
        <v>10</v>
      </c>
      <c r="H32" s="60">
        <f t="shared" ref="H32:M32" si="11">SUM(H25:H31)</f>
        <v>20</v>
      </c>
      <c r="I32" s="60">
        <f t="shared" si="11"/>
        <v>35</v>
      </c>
      <c r="J32" s="60">
        <f>SUM(J25:J31)</f>
        <v>22</v>
      </c>
      <c r="K32" s="60">
        <f t="shared" si="11"/>
        <v>12</v>
      </c>
      <c r="L32" s="159">
        <f t="shared" si="11"/>
        <v>14</v>
      </c>
      <c r="M32" s="170">
        <f t="shared" si="11"/>
        <v>33</v>
      </c>
    </row>
    <row r="33" spans="1:13" ht="12" customHeight="1" thickBot="1">
      <c r="A33" s="55" t="s">
        <v>136</v>
      </c>
      <c r="B33" s="50">
        <v>41275</v>
      </c>
      <c r="C33" s="47">
        <v>41306</v>
      </c>
      <c r="D33" s="47">
        <v>41334</v>
      </c>
      <c r="E33" s="47">
        <v>41365</v>
      </c>
      <c r="F33" s="47">
        <v>41395</v>
      </c>
      <c r="G33" s="47">
        <v>41426</v>
      </c>
      <c r="H33" s="47">
        <v>41456</v>
      </c>
      <c r="I33" s="47">
        <v>41487</v>
      </c>
      <c r="J33" s="47">
        <v>41518</v>
      </c>
      <c r="K33" s="47">
        <v>41548</v>
      </c>
      <c r="L33" s="47">
        <v>41579</v>
      </c>
      <c r="M33" s="51">
        <v>41609</v>
      </c>
    </row>
    <row r="34" spans="1:13" s="8" customFormat="1" ht="11.25" customHeight="1">
      <c r="A34" s="46" t="s">
        <v>33</v>
      </c>
      <c r="B34" s="57">
        <f>COUNTIFS(Jan!$B:$B,2012,Jan!$J:$J,40)</f>
        <v>0</v>
      </c>
      <c r="C34" s="57">
        <f>COUNTIFS(Feb!$B:$B,2012,Feb!$J:$J,40)</f>
        <v>0</v>
      </c>
      <c r="D34" s="57">
        <v>2</v>
      </c>
      <c r="E34" s="57">
        <f>COUNTIFS(Apr!$B:$B,2012,Apr!$J:$J,40)</f>
        <v>0</v>
      </c>
      <c r="F34" s="57">
        <f>COUNTIFS(May!$B:$B,2012,May!$J:$J,40)</f>
        <v>0</v>
      </c>
      <c r="G34" s="57">
        <f>COUNTIFS(Jun!$B:$B,2012,Jun!$J:$J,40)</f>
        <v>0</v>
      </c>
      <c r="H34" s="57">
        <f>COUNTIFS(Jul!$B:$B,2012,Jul!$J:$J,40)</f>
        <v>0</v>
      </c>
      <c r="I34" s="57">
        <f>COUNTIFS(Aug!$B:$B,2012,Aug!$J:$J,40)</f>
        <v>0</v>
      </c>
      <c r="J34" s="57">
        <f>COUNTIFS(Sep!$B:$B,2012,Sep!$J:$J,40)</f>
        <v>0</v>
      </c>
      <c r="K34" s="57">
        <f>COUNTIFS(Oct!$B:$B,2012,Oct!$J:$J,40)</f>
        <v>0</v>
      </c>
      <c r="L34" s="57">
        <f>COUNTIFS(Nov!$B:$B,2012,Nov!$J:$J,40)</f>
        <v>0</v>
      </c>
      <c r="M34" s="57">
        <v>0</v>
      </c>
    </row>
    <row r="35" spans="1:13" s="8" customFormat="1" ht="11.25" customHeight="1">
      <c r="A35" s="10" t="s">
        <v>4</v>
      </c>
      <c r="B35" s="59">
        <f>COUNTIFS(Jan!$B:$B,2012,Jan!$J:$J,15)</f>
        <v>1</v>
      </c>
      <c r="C35" s="59">
        <v>1</v>
      </c>
      <c r="D35" s="59">
        <v>2</v>
      </c>
      <c r="E35" s="59">
        <v>4</v>
      </c>
      <c r="F35" s="59">
        <f>COUNTIFS(May!$B:$B,2012,May!$J:$J,15)</f>
        <v>0</v>
      </c>
      <c r="G35" s="59">
        <v>6</v>
      </c>
      <c r="H35" s="59">
        <v>1</v>
      </c>
      <c r="I35" s="59">
        <v>2</v>
      </c>
      <c r="J35" s="59">
        <v>7</v>
      </c>
      <c r="K35" s="59">
        <v>1</v>
      </c>
      <c r="L35" s="59">
        <v>1</v>
      </c>
      <c r="M35" s="59">
        <v>1</v>
      </c>
    </row>
    <row r="36" spans="1:13" s="8" customFormat="1" ht="11.25" customHeight="1">
      <c r="A36" s="10" t="s">
        <v>39</v>
      </c>
      <c r="B36" s="59">
        <f>COUNTIFS(Jan!$B:$B,2012,Jan!$J:$J,29)</f>
        <v>2</v>
      </c>
      <c r="C36" s="59">
        <v>1</v>
      </c>
      <c r="D36" s="59">
        <v>2</v>
      </c>
      <c r="E36" s="59">
        <v>4</v>
      </c>
      <c r="F36" s="59">
        <v>1</v>
      </c>
      <c r="G36" s="59">
        <v>1</v>
      </c>
      <c r="H36" s="59">
        <v>2</v>
      </c>
      <c r="I36" s="59">
        <v>3</v>
      </c>
      <c r="J36" s="59">
        <v>2</v>
      </c>
      <c r="K36" s="59">
        <v>2</v>
      </c>
      <c r="L36" s="59">
        <v>1</v>
      </c>
      <c r="M36" s="59">
        <v>2</v>
      </c>
    </row>
    <row r="37" spans="1:13" s="8" customFormat="1" ht="11.25" customHeight="1">
      <c r="A37" s="10" t="s">
        <v>3</v>
      </c>
      <c r="B37" s="59">
        <f>COUNTIFS(Jan!$B:$B,2012,Jan!$J:$J,13)</f>
        <v>0</v>
      </c>
      <c r="C37" s="59">
        <f>COUNTIFS(Feb!$B:$B,2012,Feb!$J:$J,13)</f>
        <v>0</v>
      </c>
      <c r="D37" s="59">
        <f>COUNTIFS(Mar!$B:$B,2012,Mar!$J:$J,13)</f>
        <v>0</v>
      </c>
      <c r="E37" s="59">
        <f>COUNTIFS(Apr!$B:$B,2012,Apr!$J:$J,13)</f>
        <v>0</v>
      </c>
      <c r="F37" s="59">
        <f>COUNTIFS(May!$B:$B,2012,May!$J:$J,13)</f>
        <v>0</v>
      </c>
      <c r="G37" s="59">
        <f>COUNTIFS(Jun!$B:$B,2012,Jun!$J:$J,13)</f>
        <v>0</v>
      </c>
      <c r="H37" s="59">
        <f>COUNTIFS(Jul!$B:$B,2012,Jul!$J:$J,13)</f>
        <v>0</v>
      </c>
      <c r="I37" s="59">
        <f>COUNTIFS(Aug!$B:$B,2012,Aug!$J:$J,13)</f>
        <v>0</v>
      </c>
      <c r="J37" s="59">
        <f>COUNTIFS(Sep!$B:$B,2012,Sep!$J:$J,13)</f>
        <v>0</v>
      </c>
      <c r="K37" s="59">
        <f>COUNTIFS(Oct!$B:$B,2012,Oct!$J:$J,13)</f>
        <v>0</v>
      </c>
      <c r="L37" s="59">
        <f>COUNTIFS(Nov!$B:$B,2012,Nov!$J:$J,13)</f>
        <v>0</v>
      </c>
      <c r="M37" s="59">
        <v>0</v>
      </c>
    </row>
    <row r="38" spans="1:13" s="8" customFormat="1" ht="11.25" customHeight="1">
      <c r="A38" s="9" t="s">
        <v>218</v>
      </c>
      <c r="B38" s="59">
        <f>COUNTIFS(Jan!$B:$B,2012,Jan!$J:$J,43)</f>
        <v>86</v>
      </c>
      <c r="C38" s="59">
        <v>68</v>
      </c>
      <c r="D38" s="59">
        <v>78</v>
      </c>
      <c r="E38" s="59">
        <v>62</v>
      </c>
      <c r="F38" s="59">
        <v>77</v>
      </c>
      <c r="G38" s="59">
        <v>55</v>
      </c>
      <c r="H38" s="59">
        <v>83</v>
      </c>
      <c r="I38" s="59">
        <v>104</v>
      </c>
      <c r="J38" s="59">
        <v>106</v>
      </c>
      <c r="K38" s="59">
        <v>45</v>
      </c>
      <c r="L38" s="59">
        <v>81</v>
      </c>
      <c r="M38" s="59">
        <v>100</v>
      </c>
    </row>
    <row r="39" spans="1:13" s="8" customFormat="1" ht="11.25" customHeight="1">
      <c r="A39" s="10" t="s">
        <v>25</v>
      </c>
      <c r="B39" s="59">
        <f>COUNTIFS(Jan!$B:$B,2012,Jan!$J:$J,24)</f>
        <v>4</v>
      </c>
      <c r="C39" s="59">
        <v>6</v>
      </c>
      <c r="D39" s="59">
        <v>4</v>
      </c>
      <c r="E39" s="59">
        <v>2</v>
      </c>
      <c r="F39" s="59">
        <v>3</v>
      </c>
      <c r="G39" s="59">
        <v>4</v>
      </c>
      <c r="H39" s="59">
        <v>8</v>
      </c>
      <c r="I39" s="59">
        <v>5</v>
      </c>
      <c r="J39" s="59">
        <v>2</v>
      </c>
      <c r="K39" s="59">
        <f>COUNTIFS(Oct!$B:$B,2012,Oct!$J:$J,24)</f>
        <v>0</v>
      </c>
      <c r="L39" s="59">
        <v>5</v>
      </c>
      <c r="M39" s="59">
        <v>3</v>
      </c>
    </row>
    <row r="40" spans="1:13" s="8" customFormat="1" ht="11.25" customHeight="1">
      <c r="A40" s="10" t="s">
        <v>34</v>
      </c>
      <c r="B40" s="59">
        <f>COUNTIFS(Jan!$B:$B,2012,Jan!$J:$J,9)</f>
        <v>0</v>
      </c>
      <c r="C40" s="59">
        <f>COUNTIFS(Feb!$B:$B,2012,Feb!$J:$J,9)</f>
        <v>0</v>
      </c>
      <c r="D40" s="59">
        <f>COUNTIFS(Mar!$B:$B,2012,Mar!$J:$J,9)</f>
        <v>0</v>
      </c>
      <c r="E40" s="59">
        <f>COUNTIFS(Apr!$B:$B,2012,Apr!$J:$J,9)</f>
        <v>0</v>
      </c>
      <c r="F40" s="59">
        <f>COUNTIFS(May!$B:$B,2012,May!$J:$J,9)</f>
        <v>0</v>
      </c>
      <c r="G40" s="59">
        <f>COUNTIFS(Jun!$B:$B,2012,Jun!$J:$J,9)</f>
        <v>0</v>
      </c>
      <c r="H40" s="59">
        <f>COUNTIFS(Jul!$B:$B,2012,Jul!$J:$J,9)</f>
        <v>0</v>
      </c>
      <c r="I40" s="59">
        <f>COUNTIFS(Aug!$B:$B,2012,Aug!$J:$J,9)</f>
        <v>0</v>
      </c>
      <c r="J40" s="59">
        <f>COUNTIFS(Sep!$B:$B,2012,Sep!$J:$J,9)</f>
        <v>0</v>
      </c>
      <c r="K40" s="59">
        <f>COUNTIFS(Oct!$B:$B,2012,Oct!$J:$J,9)</f>
        <v>0</v>
      </c>
      <c r="L40" s="59">
        <f>COUNTIFS(Nov!$B:$B,2012,Nov!$J:$J,9)</f>
        <v>0</v>
      </c>
      <c r="M40" s="59">
        <v>0</v>
      </c>
    </row>
    <row r="41" spans="1:13" s="8" customFormat="1" ht="11.25" customHeight="1">
      <c r="A41" s="10" t="s">
        <v>31</v>
      </c>
      <c r="B41" s="59">
        <f>COUNTIFS(Jan!$B:$B,2012,Jan!$J:$J,10)</f>
        <v>0</v>
      </c>
      <c r="C41" s="59">
        <f>COUNTIFS(Feb!$B:$B,2012,Feb!$J:$J,10)</f>
        <v>0</v>
      </c>
      <c r="D41" s="59">
        <f>COUNTIFS(Mar!$B:$B,2012,Mar!$J:$J,10)</f>
        <v>0</v>
      </c>
      <c r="E41" s="59">
        <f>COUNTIFS(Apr!$B:$B,2012,Apr!$J:$J,10)</f>
        <v>0</v>
      </c>
      <c r="F41" s="59">
        <f>COUNTIFS(May!$B:$B,2012,May!$J:$J,10)</f>
        <v>0</v>
      </c>
      <c r="G41" s="59">
        <v>1</v>
      </c>
      <c r="H41" s="59">
        <v>1</v>
      </c>
      <c r="I41" s="59">
        <v>3</v>
      </c>
      <c r="J41" s="59">
        <f>COUNTIFS(Sep!$B:$B,2012,Sep!$J:$J,10)</f>
        <v>0</v>
      </c>
      <c r="K41" s="59">
        <f>COUNTIFS(Oct!$B:$B,2012,Oct!$J:$J,10)</f>
        <v>0</v>
      </c>
      <c r="L41" s="59">
        <f>COUNTIFS(Nov!$B:$B,2012,Nov!$J:$J,10)</f>
        <v>0</v>
      </c>
      <c r="M41" s="59">
        <v>1</v>
      </c>
    </row>
    <row r="42" spans="1:13" s="8" customFormat="1" ht="11.25" customHeight="1">
      <c r="A42" s="10" t="s">
        <v>144</v>
      </c>
      <c r="B42" s="59">
        <f>COUNTIFS(Jan!$B:$B,2012,Jan!$F:$F,462)</f>
        <v>0</v>
      </c>
      <c r="C42" s="59">
        <f>COUNTIFS(Feb!$B:$B,2012,Feb!$F:$F,462)</f>
        <v>0</v>
      </c>
      <c r="D42" s="59">
        <f>COUNTIFS(Mar!$B:$B,2012,Mar!$F:$F,462)</f>
        <v>0</v>
      </c>
      <c r="E42" s="59">
        <f>COUNTIFS(Apr!$B:$B,2012,Apr!$F:$F,462)</f>
        <v>0</v>
      </c>
      <c r="F42" s="59">
        <f>COUNTIFS(May!$B:$B,2012,May!$F:$F,462)</f>
        <v>0</v>
      </c>
      <c r="G42" s="59">
        <f>COUNTIFS(Jun!$B:$B,2012,Jun!$F:$F,462)</f>
        <v>0</v>
      </c>
      <c r="H42" s="59">
        <f>COUNTIFS(Jul!$B:$B,2012,Jul!$F:$F,462)</f>
        <v>0</v>
      </c>
      <c r="I42" s="59">
        <f>COUNTIFS(Aug!$B:$B,2012,Aug!$F:$F,462)</f>
        <v>0</v>
      </c>
      <c r="J42" s="59">
        <f>COUNTIFS(Sep!$B:$B,2012,Sep!$F:$F,462)</f>
        <v>0</v>
      </c>
      <c r="K42" s="59">
        <f>COUNTIFS(Oct!$B:$B,2012,Oct!$F:$F,462)</f>
        <v>0</v>
      </c>
      <c r="L42" s="59">
        <f>COUNTIFS(Nov!$B:$B,2012,Nov!$F:$F,462)</f>
        <v>0</v>
      </c>
      <c r="M42" s="59">
        <v>0</v>
      </c>
    </row>
    <row r="43" spans="1:13" s="8" customFormat="1" ht="11.25" customHeight="1">
      <c r="A43" s="10" t="s">
        <v>1</v>
      </c>
      <c r="B43" s="59">
        <f>COUNTIFS(Jan!$B:$B,2012,Jan!$J:$J,11)</f>
        <v>4</v>
      </c>
      <c r="C43" s="59">
        <v>6</v>
      </c>
      <c r="D43" s="59">
        <v>2</v>
      </c>
      <c r="E43" s="59">
        <v>6</v>
      </c>
      <c r="F43" s="59">
        <v>3</v>
      </c>
      <c r="G43" s="59">
        <v>5</v>
      </c>
      <c r="H43" s="59">
        <v>9</v>
      </c>
      <c r="I43" s="59">
        <v>7</v>
      </c>
      <c r="J43" s="59">
        <v>7</v>
      </c>
      <c r="K43" s="59">
        <v>5</v>
      </c>
      <c r="L43" s="59">
        <v>6</v>
      </c>
      <c r="M43" s="59">
        <v>8</v>
      </c>
    </row>
    <row r="44" spans="1:13" s="8" customFormat="1" ht="11.25" customHeight="1">
      <c r="A44" s="10" t="s">
        <v>26</v>
      </c>
      <c r="B44" s="59">
        <f>COUNTIFS(Jan!$B:$B,2012,Jan!$J:$J,20)</f>
        <v>0</v>
      </c>
      <c r="C44" s="59">
        <f>COUNTIFS(Feb!$B:$B,2012,Feb!$J:$J,20)</f>
        <v>0</v>
      </c>
      <c r="D44" s="59">
        <f>COUNTIFS(Mar!$B:$B,2012,Mar!$J:$J,20)</f>
        <v>0</v>
      </c>
      <c r="E44" s="59">
        <f>COUNTIFS(Apr!$B:$B,2012,Apr!$J:$J,20)</f>
        <v>0</v>
      </c>
      <c r="F44" s="59">
        <f>COUNTIFS(May!$B:$B,2012,May!$J:$J,20)</f>
        <v>0</v>
      </c>
      <c r="G44" s="59">
        <f>COUNTIFS(Jun!$B:$B,2012,Jun!$J:$J,20)</f>
        <v>0</v>
      </c>
      <c r="H44" s="59">
        <f>COUNTIFS(Jul!$B:$B,2012,Jul!$J:$J,20)</f>
        <v>0</v>
      </c>
      <c r="I44" s="59">
        <f>COUNTIFS(Aug!$B:$B,2012,Aug!$J:$J,20)</f>
        <v>0</v>
      </c>
      <c r="J44" s="59">
        <f>COUNTIFS(Sep!$B:$B,2012,Sep!$J:$J,20)</f>
        <v>0</v>
      </c>
      <c r="K44" s="59">
        <f>COUNTIFS(Oct!$B:$B,2012,Oct!$J:$J,20)</f>
        <v>0</v>
      </c>
      <c r="L44" s="59">
        <f>COUNTIFS(Nov!$B:$B,2012,Nov!$J:$J,20)</f>
        <v>0</v>
      </c>
      <c r="M44" s="59">
        <v>0</v>
      </c>
    </row>
    <row r="45" spans="1:13" s="8" customFormat="1" ht="11.25" customHeight="1">
      <c r="A45" s="10" t="s">
        <v>32</v>
      </c>
      <c r="B45" s="59">
        <f>COUNTIFS(Jan!$B:$B,2012,Jan!$J:$J,2)</f>
        <v>5</v>
      </c>
      <c r="C45" s="59">
        <v>3</v>
      </c>
      <c r="D45" s="59">
        <v>2</v>
      </c>
      <c r="E45" s="59">
        <v>3</v>
      </c>
      <c r="F45" s="59">
        <v>4</v>
      </c>
      <c r="G45" s="59">
        <v>4</v>
      </c>
      <c r="H45" s="59">
        <v>1</v>
      </c>
      <c r="I45" s="59">
        <v>3</v>
      </c>
      <c r="J45" s="59">
        <v>5</v>
      </c>
      <c r="K45" s="59">
        <v>2</v>
      </c>
      <c r="L45" s="59">
        <v>3</v>
      </c>
      <c r="M45" s="59">
        <v>11</v>
      </c>
    </row>
    <row r="46" spans="1:13" s="8" customFormat="1" ht="11.25" customHeight="1">
      <c r="A46" s="10" t="s">
        <v>28</v>
      </c>
      <c r="B46" s="59">
        <f>COUNTIFS(Jan!$B:$B,2012,Jan!$J:$J,1700)+COUNTIFS(Jan!$B:$B,2012,Jan!$F:$F,1700)+COUNTIFS(Jan!$B:$B,2012,Jan!$J:$J,19)</f>
        <v>0</v>
      </c>
      <c r="C46" s="59">
        <f>COUNTIFS(Feb!$B:$B,2012,Feb!$J:$J,1700)+COUNTIFS(Feb!$B:$B,2012,Feb!$F:$F,1700)+COUNTIFS(Feb!$B:$B,2012,Feb!$J:$J,19)</f>
        <v>0</v>
      </c>
      <c r="D46" s="59">
        <f>COUNTIFS(Mar!$B:$B,2012,Mar!$J:$J,1700)+COUNTIFS(Mar!$B:$B,2012,Mar!$F:$F,1700)+COUNTIFS(Mar!$B:$B,2012,Mar!$J:$J,19)</f>
        <v>0</v>
      </c>
      <c r="E46" s="59">
        <f>COUNTIFS(Apr!$B:$B,2012,Apr!$J:$J,1700)+COUNTIFS(Apr!$B:$B,2012,Apr!$F:$F,1700)+COUNTIFS(Apr!$B:$B,2012,Apr!$J:$J,19)</f>
        <v>0</v>
      </c>
      <c r="F46" s="59">
        <f>COUNTIFS(May!$B:$B,2012,May!$J:$J,1700)+COUNTIFS(May!$B:$B,2012,May!$F:$F,1700)+COUNTIFS(May!$B:$B,2012,May!$J:$J,19)</f>
        <v>0</v>
      </c>
      <c r="G46" s="59">
        <f>COUNTIFS(Jun!$B:$B,2012,Jun!$J:$J,1700)+COUNTIFS(Jun!$B:$B,2012,Jun!$F:$F,1700)+COUNTIFS(Jun!$B:$B,2012,Jun!$J:$J,19)</f>
        <v>0</v>
      </c>
      <c r="H46" s="59">
        <f>COUNTIFS(Jul!$B:$B,2012,Jul!$J:$J,1700)+COUNTIFS(Jul!$B:$B,2012,Jul!$F:$F,1700)+COUNTIFS(Jul!$B:$B,2012,Jul!$J:$J,19)</f>
        <v>0</v>
      </c>
      <c r="I46" s="59">
        <f>COUNTIFS(Aug!$B:$B,2012,Aug!$J:$J,1700)+COUNTIFS(Aug!$B:$B,2012,Aug!$F:$F,1700)+COUNTIFS(Aug!$B:$B,2012,Aug!$J:$J,19)</f>
        <v>0</v>
      </c>
      <c r="J46" s="59">
        <f>COUNTIFS(Sep!$B:$B,2012,Sep!$J:$J,1700)+COUNTIFS(Sep!$B:$B,2012,Sep!$F:$F,1700)+COUNTIFS(Sep!$B:$B,2012,Sep!$J:$J,19)</f>
        <v>0</v>
      </c>
      <c r="K46" s="59">
        <f>COUNTIFS(Oct!$B:$B,2012,Oct!$J:$J,1700)+COUNTIFS(Oct!$B:$B,2012,Oct!$F:$F,1700)+COUNTIFS(Oct!$B:$B,2012,Oct!$J:$J,19)</f>
        <v>0</v>
      </c>
      <c r="L46" s="59">
        <f>COUNTIFS(Nov!$B:$B,2012,Nov!$J:$J,1700)+COUNTIFS(Nov!$B:$B,2012,Nov!$F:$F,1700)+COUNTIFS(Nov!$B:$B,2012,Nov!$J:$J,19)</f>
        <v>0</v>
      </c>
      <c r="M46" s="59">
        <v>1</v>
      </c>
    </row>
    <row r="47" spans="1:13" s="8" customFormat="1" ht="11.25" customHeight="1">
      <c r="A47" s="10" t="s">
        <v>0</v>
      </c>
      <c r="B47" s="59">
        <f>COUNTIFS(Jan!$B:$B,2012,Jan!$J:$J,3)</f>
        <v>0</v>
      </c>
      <c r="C47" s="59">
        <f>COUNTIFS(Feb!$B:$B,2012,Feb!$J:$J,3)</f>
        <v>0</v>
      </c>
      <c r="D47" s="59">
        <f>COUNTIFS(Mar!$B:$B,2012,Mar!$J:$J,3)</f>
        <v>0</v>
      </c>
      <c r="E47" s="59">
        <v>1</v>
      </c>
      <c r="F47" s="59">
        <f>COUNTIFS(May!$B:$B,2012,May!$J:$J,3)</f>
        <v>0</v>
      </c>
      <c r="G47" s="59">
        <v>2</v>
      </c>
      <c r="H47" s="59">
        <v>1</v>
      </c>
      <c r="I47" s="59">
        <v>2</v>
      </c>
      <c r="J47" s="59">
        <v>1</v>
      </c>
      <c r="K47" s="59">
        <f>COUNTIFS(Oct!$B:$B,2012,Oct!$J:$J,3)</f>
        <v>0</v>
      </c>
      <c r="L47" s="59">
        <v>1</v>
      </c>
      <c r="M47" s="59">
        <v>0</v>
      </c>
    </row>
    <row r="48" spans="1:13" s="8" customFormat="1" ht="11.25" customHeight="1">
      <c r="A48" s="10" t="s">
        <v>35</v>
      </c>
      <c r="B48" s="59">
        <f>COUNTIFS(Jan!$B:$B,2012,Jan!$J:$J,7400)</f>
        <v>1</v>
      </c>
      <c r="C48" s="59">
        <f>COUNTIFS(Feb!$B:$B,2012,Feb!$J:$J,7400)</f>
        <v>0</v>
      </c>
      <c r="D48" s="59">
        <f>COUNTIFS(Mar!$B:$B,2012,Mar!$J:$J,7400)</f>
        <v>0</v>
      </c>
      <c r="E48" s="59">
        <f>COUNTIFS(Apr!$B:$B,2012,Apr!$J:$J,7400)</f>
        <v>0</v>
      </c>
      <c r="F48" s="59">
        <f>COUNTIFS(May!$B:$B,2012,May!$J:$J,7400)</f>
        <v>0</v>
      </c>
      <c r="G48" s="59">
        <f>COUNTIFS(Jun!$B:$B,2012,Jun!$J:$J,7400)</f>
        <v>0</v>
      </c>
      <c r="H48" s="59">
        <f>COUNTIFS(Jul!$B:$B,2012,Jul!$J:$J,7400)</f>
        <v>0</v>
      </c>
      <c r="I48" s="59">
        <f>COUNTIFS(Aug!$B:$B,2012,Aug!$J:$J,7400)</f>
        <v>0</v>
      </c>
      <c r="J48" s="59">
        <f>COUNTIFS(Sep!$B:$B,2012,Sep!$J:$J,7400)</f>
        <v>0</v>
      </c>
      <c r="K48" s="59">
        <f>COUNTIFS(Oct!$B:$B,2012,Oct!$J:$J,7400)</f>
        <v>0</v>
      </c>
      <c r="L48" s="59">
        <f>COUNTIFS(Nov!$B:$B,2012,Nov!$J:$J,7400)</f>
        <v>0</v>
      </c>
      <c r="M48" s="59">
        <v>0</v>
      </c>
    </row>
    <row r="49" spans="1:13" s="8" customFormat="1" ht="11.25" customHeight="1">
      <c r="A49" s="10" t="s">
        <v>2</v>
      </c>
      <c r="B49" s="59">
        <f>COUNTIFS(Jan!$B:$B,2012,Jan!$J:$J,14)</f>
        <v>2</v>
      </c>
      <c r="C49" s="59">
        <f>COUNTIFS(Feb!$B:$B,2012,Feb!$J:$J,14)</f>
        <v>0</v>
      </c>
      <c r="D49" s="59">
        <v>1</v>
      </c>
      <c r="E49" s="59">
        <v>1</v>
      </c>
      <c r="F49" s="59">
        <f>COUNTIFS(May!$B:$B,2012,May!$J:$J,14)</f>
        <v>0</v>
      </c>
      <c r="G49" s="59">
        <f>COUNTIFS(Jun!$B:$B,2012,Jun!$J:$J,14)</f>
        <v>0</v>
      </c>
      <c r="H49" s="59">
        <f>COUNTIFS(Jul!$B:$B,2012,Jul!$J:$J,14)</f>
        <v>0</v>
      </c>
      <c r="I49" s="59">
        <f>COUNTIFS(Aug!$B:$B,2012,Aug!$J:$J,14)</f>
        <v>0</v>
      </c>
      <c r="J49" s="59">
        <f>COUNTIFS(Sep!$B:$B,2012,Sep!$J:$J,14)</f>
        <v>0</v>
      </c>
      <c r="K49" s="59">
        <f>COUNTIFS(Oct!$B:$B,2012,Oct!$J:$J,14)</f>
        <v>0</v>
      </c>
      <c r="L49" s="59">
        <v>1</v>
      </c>
      <c r="M49" s="59">
        <v>0</v>
      </c>
    </row>
    <row r="50" spans="1:13" s="8" customFormat="1" ht="11.25" customHeight="1">
      <c r="A50" s="10" t="s">
        <v>142</v>
      </c>
      <c r="B50" s="59">
        <f>COUNTIFS(Jan!$B:$B,2012,Jan!$F:$F,466)</f>
        <v>0</v>
      </c>
      <c r="C50" s="59">
        <f>COUNTIFS(Feb!$B:$B,2012,Feb!$F:$F,466)</f>
        <v>0</v>
      </c>
      <c r="D50" s="59">
        <f>COUNTIFS(Mar!$B:$B,2012,Mar!$F:$F,466)</f>
        <v>0</v>
      </c>
      <c r="E50" s="59">
        <v>1</v>
      </c>
      <c r="F50" s="59">
        <f>COUNTIFS(May!$B:$B,2012,May!$F:$F,466)</f>
        <v>0</v>
      </c>
      <c r="G50" s="59">
        <f>COUNTIFS(Jun!$B:$B,2012,Jun!$F:$F,466)</f>
        <v>0</v>
      </c>
      <c r="H50" s="59">
        <f>COUNTIFS(Jul!$B:$B,2012,Jul!$F:$F,466)</f>
        <v>0</v>
      </c>
      <c r="I50" s="59">
        <f>COUNTIFS(Aug!$B:$B,2012,Aug!$F:$F,466)</f>
        <v>0</v>
      </c>
      <c r="J50" s="59">
        <f>COUNTIFS(Sep!$B:$B,2012,Sep!$F:$F,466)</f>
        <v>0</v>
      </c>
      <c r="K50" s="59">
        <f>COUNTIFS(Oct!$B:$B,2012,Oct!$F:$F,466)</f>
        <v>0</v>
      </c>
      <c r="L50" s="59">
        <f>COUNTIFS(Nov!$B:$B,2012,Nov!$F:$F,466)</f>
        <v>0</v>
      </c>
      <c r="M50" s="59">
        <v>1</v>
      </c>
    </row>
    <row r="51" spans="1:13" s="8" customFormat="1" ht="11.25" customHeight="1">
      <c r="A51" s="10" t="s">
        <v>27</v>
      </c>
      <c r="B51" s="59">
        <f>COUNTIFS(Jan!$B:$B,2012,Jan!$J:$J,25)</f>
        <v>0</v>
      </c>
      <c r="C51" s="59">
        <f>COUNTIFS(Feb!$B:$B,2012,Feb!$J:$J,25)</f>
        <v>0</v>
      </c>
      <c r="D51" s="59">
        <f>COUNTIFS(Mar!$B:$B,2012,Mar!$J:$J,25)</f>
        <v>0</v>
      </c>
      <c r="E51" s="59">
        <f>COUNTIFS(Apr!$B:$B,2012,Apr!$J:$J,25)</f>
        <v>0</v>
      </c>
      <c r="F51" s="59">
        <f>COUNTIFS(May!$B:$B,2012,May!$J:$J,25)</f>
        <v>0</v>
      </c>
      <c r="G51" s="59">
        <f>COUNTIFS(Jun!$B:$B,2012,Jun!$J:$J,25)</f>
        <v>0</v>
      </c>
      <c r="H51" s="59">
        <f>COUNTIFS(Jul!$B:$B,2012,Jul!$J:$J,25)</f>
        <v>0</v>
      </c>
      <c r="I51" s="59">
        <f>COUNTIFS(Aug!$B:$B,2012,Aug!$J:$J,25)</f>
        <v>0</v>
      </c>
      <c r="J51" s="59">
        <f>COUNTIFS(Sep!$B:$B,2012,Sep!$J:$J,25)</f>
        <v>0</v>
      </c>
      <c r="K51" s="59">
        <f>COUNTIFS(Oct!$B:$B,2012,Oct!$J:$J,25)</f>
        <v>0</v>
      </c>
      <c r="L51" s="59">
        <f>COUNTIFS(Nov!$B:$B,2012,Nov!$J:$J,25)</f>
        <v>0</v>
      </c>
      <c r="M51" s="59">
        <v>0</v>
      </c>
    </row>
    <row r="52" spans="1:13" s="8" customFormat="1" ht="11.25" customHeight="1" thickBot="1">
      <c r="A52" s="11" t="s">
        <v>16</v>
      </c>
      <c r="B52" s="60">
        <f t="shared" ref="B52:G52" si="12">SUM(B34:B51)</f>
        <v>105</v>
      </c>
      <c r="C52" s="60">
        <f t="shared" si="12"/>
        <v>85</v>
      </c>
      <c r="D52" s="60">
        <f t="shared" si="12"/>
        <v>93</v>
      </c>
      <c r="E52" s="60">
        <f t="shared" si="12"/>
        <v>84</v>
      </c>
      <c r="F52" s="60">
        <f t="shared" si="12"/>
        <v>88</v>
      </c>
      <c r="G52" s="60">
        <f t="shared" si="12"/>
        <v>78</v>
      </c>
      <c r="H52" s="60">
        <f t="shared" ref="H52:M52" si="13">SUM(H34:H51)</f>
        <v>106</v>
      </c>
      <c r="I52" s="60">
        <f t="shared" si="13"/>
        <v>129</v>
      </c>
      <c r="J52" s="60">
        <f t="shared" si="13"/>
        <v>130</v>
      </c>
      <c r="K52" s="60">
        <f t="shared" si="13"/>
        <v>55</v>
      </c>
      <c r="L52" s="159">
        <f t="shared" si="13"/>
        <v>99</v>
      </c>
      <c r="M52" s="170">
        <f t="shared" si="13"/>
        <v>128</v>
      </c>
    </row>
    <row r="53" spans="1:13" ht="12" customHeight="1" thickBot="1">
      <c r="A53" s="55" t="s">
        <v>137</v>
      </c>
      <c r="B53" s="50">
        <v>41275</v>
      </c>
      <c r="C53" s="47">
        <v>41306</v>
      </c>
      <c r="D53" s="47">
        <v>41334</v>
      </c>
      <c r="E53" s="47">
        <v>41365</v>
      </c>
      <c r="F53" s="47">
        <v>41395</v>
      </c>
      <c r="G53" s="47">
        <v>41426</v>
      </c>
      <c r="H53" s="47">
        <v>41456</v>
      </c>
      <c r="I53" s="47">
        <v>41487</v>
      </c>
      <c r="J53" s="47">
        <v>41518</v>
      </c>
      <c r="K53" s="47">
        <v>41548</v>
      </c>
      <c r="L53" s="47">
        <v>41579</v>
      </c>
      <c r="M53" s="51">
        <v>41609</v>
      </c>
    </row>
    <row r="54" spans="1:13" s="8" customFormat="1" ht="11.25" customHeight="1">
      <c r="A54" s="10" t="s">
        <v>30</v>
      </c>
      <c r="B54" s="57">
        <f>COUNTIFS(Jan!$B:$B,2012,Jan!$J:$J,7)</f>
        <v>1</v>
      </c>
      <c r="C54" s="57">
        <f>COUNTIFS(Feb!$B:$B,2012,Feb!$J:$J,7)</f>
        <v>0</v>
      </c>
      <c r="D54" s="57">
        <f>COUNTIFS(Mar!$B:$B,2012,Mar!$J:$J,7)</f>
        <v>0</v>
      </c>
      <c r="E54" s="57">
        <f>COUNTIFS(Apr!$B:$B,2012,Apr!$J:$J,7)</f>
        <v>0</v>
      </c>
      <c r="F54" s="57">
        <f>COUNTIFS(May!$B:$B,2012,May!$J:$J,7)</f>
        <v>0</v>
      </c>
      <c r="G54" s="57">
        <f>COUNTIFS(Jun!$B:$B,2012,Jun!$J:$J,7)</f>
        <v>0</v>
      </c>
      <c r="H54" s="57">
        <v>1</v>
      </c>
      <c r="I54" s="57">
        <f>COUNTIFS(Aug!$B:$B,2012,Aug!$J:$J,7)</f>
        <v>0</v>
      </c>
      <c r="J54" s="57">
        <v>1</v>
      </c>
      <c r="K54" s="57">
        <f>COUNTIFS(Oct!$B:$B,2012,Oct!$J:$J,7)</f>
        <v>0</v>
      </c>
      <c r="L54" s="57">
        <f>COUNTIFS(Nov!$B:$B,2012,Nov!$J:$J,7)</f>
        <v>0</v>
      </c>
      <c r="M54" s="57">
        <v>1</v>
      </c>
    </row>
    <row r="55" spans="1:13" s="8" customFormat="1" ht="11.25" customHeight="1">
      <c r="A55" s="10" t="s">
        <v>29</v>
      </c>
      <c r="B55" s="59">
        <f>COUNTIFS(Jan!$B:$B,2012,Jan!$J:$J,8)</f>
        <v>0</v>
      </c>
      <c r="C55" s="59">
        <f>COUNTIFS(Feb!$B:$B,2012,Feb!$J:$J,8)</f>
        <v>0</v>
      </c>
      <c r="D55" s="59">
        <f>COUNTIFS(Mar!$B:$B,2012,Mar!$J:$J,8)</f>
        <v>0</v>
      </c>
      <c r="E55" s="59">
        <f>COUNTIFS(Apr!$B:$B,2012,Apr!$J:$J,8)</f>
        <v>0</v>
      </c>
      <c r="F55" s="59">
        <f>COUNTIFS(May!$B:$B,2012,May!$J:$J,8)</f>
        <v>0</v>
      </c>
      <c r="G55" s="59">
        <f>COUNTIFS(Jun!$B:$B,2012,Jun!$J:$J,8)</f>
        <v>0</v>
      </c>
      <c r="H55" s="59">
        <f>COUNTIFS(Jul!$B:$B,2012,Jul!$J:$J,8)</f>
        <v>0</v>
      </c>
      <c r="I55" s="59">
        <f>COUNTIFS(Aug!$B:$B,2012,Aug!$J:$J,8)</f>
        <v>0</v>
      </c>
      <c r="J55" s="59">
        <f>COUNTIFS(Sep!$B:$B,2012,Sep!$J:$J,8)</f>
        <v>0</v>
      </c>
      <c r="K55" s="59">
        <f>COUNTIFS(Oct!$B:$B,2012,Oct!$J:$J,8)</f>
        <v>0</v>
      </c>
      <c r="L55" s="59">
        <f>COUNTIFS(Nov!$B:$B,2012,Nov!$J:$J,8)</f>
        <v>0</v>
      </c>
      <c r="M55" s="59">
        <v>0</v>
      </c>
    </row>
    <row r="56" spans="1:13" s="8" customFormat="1" ht="11.25" customHeight="1">
      <c r="A56" s="10" t="s">
        <v>7</v>
      </c>
      <c r="B56" s="59">
        <f>COUNTIFS(Jan!$B:$B,2012,Jan!$J:$J,12)</f>
        <v>3</v>
      </c>
      <c r="C56" s="59">
        <f>COUNTIFS(Feb!$B:$B,2012,Feb!$J:$J,12)</f>
        <v>0</v>
      </c>
      <c r="D56" s="59">
        <v>1</v>
      </c>
      <c r="E56" s="59">
        <f>COUNTIFS(Apr!$B:$B,2012,Apr!$J:$J,12)</f>
        <v>0</v>
      </c>
      <c r="F56" s="59">
        <f>COUNTIFS(May!$B:$B,2012,May!$J:$J,12)</f>
        <v>0</v>
      </c>
      <c r="G56" s="59">
        <v>2</v>
      </c>
      <c r="H56" s="59">
        <v>1</v>
      </c>
      <c r="I56" s="59">
        <v>1</v>
      </c>
      <c r="J56" s="59">
        <v>1</v>
      </c>
      <c r="K56" s="59">
        <f>COUNTIFS(Oct!$B:$B,2012,Oct!$J:$J,12)</f>
        <v>0</v>
      </c>
      <c r="L56" s="59">
        <f>COUNTIFS(Nov!$B:$B,2012,Nov!$J:$J,12)</f>
        <v>0</v>
      </c>
      <c r="M56" s="59">
        <v>2</v>
      </c>
    </row>
    <row r="57" spans="1:13" s="8" customFormat="1" ht="11.25" customHeight="1">
      <c r="A57" s="10" t="s">
        <v>10</v>
      </c>
      <c r="B57" s="59">
        <f>COUNTIFS(Jan!$B:$B,2012,Jan!$J:$J,5100)</f>
        <v>0</v>
      </c>
      <c r="C57" s="59">
        <f>COUNTIFS(Feb!$B:$B,2012,Feb!$J:$J,5100)</f>
        <v>0</v>
      </c>
      <c r="D57" s="59">
        <f>COUNTIFS(Mar!$B:$B,2012,Mar!$J:$J,5100)</f>
        <v>0</v>
      </c>
      <c r="E57" s="59">
        <v>1</v>
      </c>
      <c r="F57" s="59">
        <f>COUNTIFS(May!$B:$B,2012,May!$J:$J,5100)</f>
        <v>0</v>
      </c>
      <c r="G57" s="59">
        <f>COUNTIFS(Jun!$B:$B,2012,Jun!$J:$J,5100)</f>
        <v>0</v>
      </c>
      <c r="H57" s="59">
        <f>COUNTIFS(Jul!$B:$B,2012,Jul!$J:$J,5100)</f>
        <v>0</v>
      </c>
      <c r="I57" s="59">
        <f>COUNTIFS(Aug!$B:$B,2012,Aug!$J:$J,5100)</f>
        <v>0</v>
      </c>
      <c r="J57" s="59">
        <f>COUNTIFS(Sep!$B:$B,2012,Sep!$J:$J,5100)</f>
        <v>0</v>
      </c>
      <c r="K57" s="59">
        <f>COUNTIFS(Oct!$B:$B,2012,Oct!$J:$J,5100)</f>
        <v>0</v>
      </c>
      <c r="L57" s="59">
        <f>COUNTIFS(Nov!$B:$B,2012,Nov!$J:$J,5100)</f>
        <v>0</v>
      </c>
      <c r="M57" s="59">
        <v>0</v>
      </c>
    </row>
    <row r="58" spans="1:13" s="8" customFormat="1" ht="11.25" customHeight="1">
      <c r="A58" s="10" t="s">
        <v>36</v>
      </c>
      <c r="B58" s="59">
        <f>COUNTIFS(Jan!$B:$B,2012,Jan!$J:$J,6200)</f>
        <v>0</v>
      </c>
      <c r="C58" s="59">
        <f>COUNTIFS(Feb!$B:$B,2012,Feb!$J:$J,6200)</f>
        <v>0</v>
      </c>
      <c r="D58" s="59">
        <f>COUNTIFS(Mar!$B:$B,2012,Mar!$J:$J,6200)</f>
        <v>0</v>
      </c>
      <c r="E58" s="59">
        <f>COUNTIFS(Apr!$B:$B,2012,Apr!$J:$J,6200)</f>
        <v>0</v>
      </c>
      <c r="F58" s="59">
        <f>COUNTIFS(May!$B:$B,2012,May!$J:$J,6200)</f>
        <v>0</v>
      </c>
      <c r="G58" s="59">
        <f>COUNTIFS(Jun!$B:$B,2012,Jun!$J:$J,6200)</f>
        <v>0</v>
      </c>
      <c r="H58" s="59">
        <f>COUNTIFS(Jul!$B:$B,2012,Jul!$J:$J,6200)</f>
        <v>0</v>
      </c>
      <c r="I58" s="59">
        <v>1</v>
      </c>
      <c r="J58" s="59">
        <f>COUNTIFS(Sep!$B:$B,2012,Sep!$J:$J,6200)</f>
        <v>0</v>
      </c>
      <c r="K58" s="59">
        <f>COUNTIFS(Oct!$B:$B,2012,Oct!$J:$J,6200)</f>
        <v>0</v>
      </c>
      <c r="L58" s="59">
        <f>COUNTIFS(Nov!$B:$B,2012,Nov!$J:$J,6200)</f>
        <v>0</v>
      </c>
      <c r="M58" s="59">
        <v>0</v>
      </c>
    </row>
    <row r="59" spans="1:13" s="8" customFormat="1" ht="11.25" customHeight="1">
      <c r="A59" s="10" t="s">
        <v>145</v>
      </c>
      <c r="B59" s="59">
        <f>COUNTIFS(Jan!$B:$B,2012,Jan!$J:$J,28)</f>
        <v>0</v>
      </c>
      <c r="C59" s="59">
        <f>COUNTIFS(Feb!$B:$B,2012,Feb!$J:$J,28)</f>
        <v>0</v>
      </c>
      <c r="D59" s="59">
        <f>COUNTIFS(Mar!$B:$B,2012,Mar!$J:$J,28)</f>
        <v>0</v>
      </c>
      <c r="E59" s="59">
        <f>COUNTIFS(Apr!$B:$B,2012,Apr!$J:$J,28)</f>
        <v>0</v>
      </c>
      <c r="F59" s="59">
        <f>COUNTIFS(May!$B:$B,2012,May!$J:$J,28)</f>
        <v>0</v>
      </c>
      <c r="G59" s="59">
        <f>COUNTIFS(Jun!$B:$B,2012,Jun!$J:$J,28)</f>
        <v>0</v>
      </c>
      <c r="H59" s="59">
        <f>COUNTIFS(Jul!$B:$B,2012,Jul!$J:$J,28)</f>
        <v>0</v>
      </c>
      <c r="I59" s="59">
        <f>COUNTIFS(Aug!$B:$B,2012,Aug!$J:$J,28)</f>
        <v>0</v>
      </c>
      <c r="J59" s="59">
        <f>COUNTIFS(Sep!$B:$B,2012,Sep!$J:$J,28)</f>
        <v>0</v>
      </c>
      <c r="K59" s="59">
        <f>COUNTIFS(Oct!$B:$B,2012,Oct!$J:$J,28)</f>
        <v>0</v>
      </c>
      <c r="L59" s="59">
        <f>COUNTIFS(Nov!$B:$B,2012,Nov!$J:$J,28)</f>
        <v>0</v>
      </c>
      <c r="M59" s="59">
        <v>0</v>
      </c>
    </row>
    <row r="60" spans="1:13" s="8" customFormat="1" ht="11.25" customHeight="1">
      <c r="A60" s="10" t="s">
        <v>38</v>
      </c>
      <c r="B60" s="59">
        <f>COUNTIFS(Jan!$B:$B,2012,Jan!$J:$J,6100)</f>
        <v>0</v>
      </c>
      <c r="C60" s="59">
        <f>COUNTIFS(Feb!$B:$B,2012,Feb!$J:$J,6100)</f>
        <v>0</v>
      </c>
      <c r="D60" s="59">
        <f>COUNTIFS(Mar!$B:$B,2012,Mar!$J:$J,6100)</f>
        <v>0</v>
      </c>
      <c r="E60" s="59">
        <f>COUNTIFS(Apr!$B:$B,2012,Apr!$J:$J,6100)</f>
        <v>0</v>
      </c>
      <c r="F60" s="59">
        <f>COUNTIFS(May!$B:$B,2012,May!$J:$J,6100)</f>
        <v>0</v>
      </c>
      <c r="G60" s="59">
        <f>COUNTIFS(Jun!$B:$B,2012,Jun!$J:$J,6100)</f>
        <v>0</v>
      </c>
      <c r="H60" s="59">
        <v>2</v>
      </c>
      <c r="I60" s="59">
        <f>COUNTIFS(Aug!$B:$B,2012,Aug!$J:$J,6100)</f>
        <v>0</v>
      </c>
      <c r="J60" s="59">
        <f>COUNTIFS(Sep!$B:$B,2012,Sep!$J:$J,6100)</f>
        <v>0</v>
      </c>
      <c r="K60" s="59">
        <f>COUNTIFS(Oct!$B:$B,2012,Oct!$J:$J,6100)</f>
        <v>0</v>
      </c>
      <c r="L60" s="59">
        <f>COUNTIFS(Nov!$B:$B,2012,Nov!$J:$J,6100)</f>
        <v>0</v>
      </c>
      <c r="M60" s="59">
        <v>2</v>
      </c>
    </row>
    <row r="61" spans="1:13" s="8" customFormat="1" ht="11.25" customHeight="1">
      <c r="A61" s="10" t="s">
        <v>9</v>
      </c>
      <c r="B61" s="59">
        <f>COUNTIFS(Jan!$B:$B,2012,Jan!$J:$J,6)</f>
        <v>1</v>
      </c>
      <c r="C61" s="59">
        <v>2</v>
      </c>
      <c r="D61" s="59">
        <f>COUNTIFS(Mar!$B:$B,2012,Mar!$J:$J,6)</f>
        <v>0</v>
      </c>
      <c r="E61" s="59">
        <v>1</v>
      </c>
      <c r="F61" s="59">
        <f>COUNTIFS(May!$B:$B,2012,May!$J:$J,6)</f>
        <v>0</v>
      </c>
      <c r="G61" s="59">
        <f>COUNTIFS(Jun!$B:$B,2012,Jun!$J:$J,6)</f>
        <v>0</v>
      </c>
      <c r="H61" s="59">
        <v>1</v>
      </c>
      <c r="I61" s="59">
        <v>2</v>
      </c>
      <c r="J61" s="59">
        <v>3</v>
      </c>
      <c r="K61" s="59">
        <f>COUNTIFS(Oct!$B:$B,2012,Oct!$J:$J,6)</f>
        <v>0</v>
      </c>
      <c r="L61" s="59">
        <v>1</v>
      </c>
      <c r="M61" s="59">
        <v>0</v>
      </c>
    </row>
    <row r="62" spans="1:13" s="8" customFormat="1" ht="11.25" customHeight="1">
      <c r="A62" s="10" t="s">
        <v>8</v>
      </c>
      <c r="B62" s="59">
        <f>COUNTIFS(Jan!$B:$B,2012,Jan!$J:$J,4)</f>
        <v>0</v>
      </c>
      <c r="C62" s="59">
        <f>COUNTIFS(Feb!$B:$B,2012,Feb!$J:$J,4)</f>
        <v>0</v>
      </c>
      <c r="D62" s="59">
        <f>COUNTIFS(Mar!$B:$B,2012,Mar!$J:$J,4)</f>
        <v>0</v>
      </c>
      <c r="E62" s="59">
        <f>COUNTIFS(Apr!$B:$B,2012,Apr!$J:$J,4)</f>
        <v>0</v>
      </c>
      <c r="F62" s="59">
        <f>COUNTIFS(May!$B:$B,2012,May!$J:$J,4)</f>
        <v>0</v>
      </c>
      <c r="G62" s="59">
        <f>COUNTIFS(Jun!$B:$B,2012,Jun!$J:$J,4)</f>
        <v>0</v>
      </c>
      <c r="H62" s="59">
        <f>COUNTIFS(Jul!$B:$B,2012,Jul!$J:$J,4)</f>
        <v>0</v>
      </c>
      <c r="I62" s="59">
        <f>COUNTIFS(Aug!$B:$B,2012,Aug!$J:$J,4)</f>
        <v>0</v>
      </c>
      <c r="J62" s="59">
        <f>COUNTIFS(Sep!$B:$B,2012,Sep!$J:$J,4)</f>
        <v>0</v>
      </c>
      <c r="K62" s="59">
        <f>COUNTIFS(Oct!$B:$B,2012,Oct!$J:$J,4)</f>
        <v>0</v>
      </c>
      <c r="L62" s="59">
        <f>COUNTIFS(Nov!$B:$B,2012,Nov!$J:$J,4)</f>
        <v>0</v>
      </c>
      <c r="M62" s="59">
        <v>0</v>
      </c>
    </row>
    <row r="63" spans="1:13" s="8" customFormat="1" ht="11.25" customHeight="1">
      <c r="A63" s="10" t="s">
        <v>6</v>
      </c>
      <c r="B63" s="59">
        <f>COUNTIFS(Jan!$B:$B,2012,Jan!$J:$J,5)</f>
        <v>0</v>
      </c>
      <c r="C63" s="59">
        <f>COUNTIFS(Feb!$B:$B,2012,Feb!$J:$J,5)</f>
        <v>0</v>
      </c>
      <c r="D63" s="59">
        <f>COUNTIFS(Mar!$B:$B,2012,Mar!$J:$J,5)</f>
        <v>0</v>
      </c>
      <c r="E63" s="59">
        <f>COUNTIFS(Apr!$B:$B,2012,Apr!$J:$J,5)</f>
        <v>0</v>
      </c>
      <c r="F63" s="59">
        <f>COUNTIFS(May!$B:$B,2012,May!$J:$J,5)</f>
        <v>0</v>
      </c>
      <c r="G63" s="59">
        <f>COUNTIFS(Jun!$B:$B,2012,Jun!$J:$J,5)</f>
        <v>0</v>
      </c>
      <c r="H63" s="59">
        <f>COUNTIFS(Jul!$B:$B,2012,Jul!$J:$J,5)</f>
        <v>0</v>
      </c>
      <c r="I63" s="59">
        <f>COUNTIFS(Aug!$B:$B,2012,Aug!$J:$J,5)</f>
        <v>0</v>
      </c>
      <c r="J63" s="59">
        <f>COUNTIFS(Sep!$B:$B,2012,Sep!$J:$J,5)</f>
        <v>0</v>
      </c>
      <c r="K63" s="59">
        <f>COUNTIFS(Oct!$B:$B,2012,Oct!$J:$J,5)</f>
        <v>0</v>
      </c>
      <c r="L63" s="59">
        <f>COUNTIFS(Nov!$B:$B,2012,Nov!$J:$J,5)</f>
        <v>0</v>
      </c>
      <c r="M63" s="59">
        <v>0</v>
      </c>
    </row>
    <row r="64" spans="1:13" s="8" customFormat="1" ht="11.25" customHeight="1">
      <c r="A64" s="52" t="s">
        <v>141</v>
      </c>
      <c r="B64" s="69">
        <f>COUNTIFS(Jan!$B:$B,2012,Jan!$F:$F,456)</f>
        <v>1</v>
      </c>
      <c r="C64" s="69">
        <f>COUNTIFS(Feb!$B:$B,2012,Feb!$F:$F,456)</f>
        <v>0</v>
      </c>
      <c r="D64" s="69">
        <f>COUNTIFS(Mar!$B:$B,2012,Mar!$F:$F,456)</f>
        <v>0</v>
      </c>
      <c r="E64" s="69">
        <f>COUNTIFS(Apr!$B:$B,2012,Apr!$F:$F,456)</f>
        <v>0</v>
      </c>
      <c r="F64" s="69">
        <f>COUNTIFS(May!$B:$B,2012,May!$F:$F,456)</f>
        <v>0</v>
      </c>
      <c r="G64" s="69">
        <f>COUNTIFS(Jun!$B:$B,2012,Jun!$F:$F,456)</f>
        <v>0</v>
      </c>
      <c r="H64" s="69">
        <f>COUNTIFS(Jul!$B:$B,2012,Jul!$F:$F,456)</f>
        <v>0</v>
      </c>
      <c r="I64" s="69">
        <v>1</v>
      </c>
      <c r="J64" s="69">
        <f>COUNTIFS(Sep!$B:$B,2012,Sep!$F:$F,456)</f>
        <v>0</v>
      </c>
      <c r="K64" s="69">
        <f>COUNTIFS(Oct!$B:$B,2012,Oct!$F:$F,456)</f>
        <v>0</v>
      </c>
      <c r="L64" s="69">
        <v>1</v>
      </c>
      <c r="M64" s="69">
        <v>1</v>
      </c>
    </row>
    <row r="65" spans="1:13" s="8" customFormat="1" ht="11.25" customHeight="1" thickBot="1">
      <c r="A65" s="12" t="s">
        <v>16</v>
      </c>
      <c r="B65" s="70">
        <f>SUM(B54:B64)</f>
        <v>6</v>
      </c>
      <c r="C65" s="70">
        <f t="shared" ref="C65:M65" si="14">SUM(C54:C64)</f>
        <v>2</v>
      </c>
      <c r="D65" s="70">
        <f>SUM(D54:D64)</f>
        <v>1</v>
      </c>
      <c r="E65" s="70">
        <f>SUM(E54:E64)</f>
        <v>2</v>
      </c>
      <c r="F65" s="70">
        <f>SUM(F54:F64)</f>
        <v>0</v>
      </c>
      <c r="G65" s="70">
        <f>SUM(G54:G64)</f>
        <v>2</v>
      </c>
      <c r="H65" s="70">
        <f t="shared" si="14"/>
        <v>5</v>
      </c>
      <c r="I65" s="70">
        <f t="shared" si="14"/>
        <v>5</v>
      </c>
      <c r="J65" s="70">
        <f t="shared" si="14"/>
        <v>5</v>
      </c>
      <c r="K65" s="70">
        <f t="shared" si="14"/>
        <v>0</v>
      </c>
      <c r="L65" s="165">
        <f t="shared" si="14"/>
        <v>2</v>
      </c>
      <c r="M65" s="170">
        <f t="shared" si="14"/>
        <v>6</v>
      </c>
    </row>
    <row r="66" spans="1:13" s="8" customFormat="1" ht="15.75" customHeight="1">
      <c r="A66" s="6"/>
      <c r="B66" s="7"/>
      <c r="C66" s="7"/>
      <c r="D66" s="7"/>
      <c r="E66" s="7"/>
      <c r="F66" s="7"/>
      <c r="G66" s="7"/>
      <c r="H66" s="7"/>
      <c r="I66" s="7"/>
      <c r="J66" s="7"/>
      <c r="K66" s="7"/>
      <c r="L66" s="7"/>
      <c r="M66" s="7"/>
    </row>
    <row r="67" spans="1:13" ht="12" customHeight="1">
      <c r="A67" s="6"/>
      <c r="B67" s="7"/>
      <c r="C67" s="7"/>
      <c r="D67" s="7"/>
      <c r="E67" s="7"/>
      <c r="F67" s="7"/>
      <c r="G67" s="7"/>
      <c r="H67" s="7"/>
      <c r="I67" s="7"/>
      <c r="J67" s="7"/>
      <c r="K67" s="7"/>
      <c r="L67" s="7"/>
      <c r="M67" s="7"/>
    </row>
  </sheetData>
  <phoneticPr fontId="0" type="noConversion"/>
  <printOptions horizontalCentered="1" verticalCentered="1"/>
  <pageMargins left="0.14000000000000001" right="0.16" top="0.25" bottom="0.5" header="0.5" footer="0.25"/>
  <pageSetup scale="95" firstPageNumber="3" orientation="portrait" useFirstPageNumber="1" r:id="rId1"/>
  <headerFooter alignWithMargins="0">
    <oddFooter>&amp;R8 of 51</oddFooter>
  </headerFooter>
  <ignoredErrors>
    <ignoredError sqref="M32 M52 M65" formulaRange="1"/>
  </ignoredError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67"/>
  <sheetViews>
    <sheetView view="pageBreakPreview" topLeftCell="A19" zoomScale="90" zoomScaleNormal="100" zoomScaleSheetLayoutView="90" workbookViewId="0">
      <selection activeCell="M47" sqref="M47"/>
    </sheetView>
  </sheetViews>
  <sheetFormatPr defaultRowHeight="12.75"/>
  <cols>
    <col min="1" max="1" width="22.85546875" style="1" customWidth="1"/>
    <col min="2" max="13" width="7.140625" style="1" customWidth="1"/>
    <col min="14" max="14" width="4.42578125" style="1" customWidth="1"/>
    <col min="15" max="16384" width="9.140625" style="1"/>
  </cols>
  <sheetData>
    <row r="1" spans="1:21" ht="18" customHeight="1">
      <c r="A1" s="130"/>
      <c r="B1" s="131"/>
      <c r="C1" s="131"/>
      <c r="D1" s="131"/>
      <c r="E1" s="131"/>
      <c r="F1" s="131"/>
      <c r="G1" s="131"/>
      <c r="H1" s="130"/>
      <c r="I1" s="131"/>
      <c r="J1" s="131"/>
      <c r="K1" s="131"/>
      <c r="L1" s="130"/>
      <c r="M1" s="143" t="s">
        <v>203</v>
      </c>
    </row>
    <row r="2" spans="1:21" ht="18" customHeight="1">
      <c r="A2" s="130"/>
      <c r="B2" s="135"/>
      <c r="C2" s="135"/>
      <c r="D2" s="135"/>
      <c r="E2" s="135"/>
      <c r="F2" s="135"/>
      <c r="G2" s="135"/>
      <c r="H2" s="130"/>
      <c r="I2" s="135"/>
      <c r="J2" s="135"/>
      <c r="K2" s="135"/>
      <c r="L2" s="130"/>
      <c r="M2" s="155" t="s">
        <v>2181</v>
      </c>
    </row>
    <row r="3" spans="1:21" s="5" customFormat="1" ht="18" customHeight="1">
      <c r="A3" s="133"/>
      <c r="B3" s="133"/>
      <c r="C3" s="133"/>
      <c r="D3" s="133"/>
      <c r="E3" s="133"/>
      <c r="F3" s="133"/>
      <c r="G3" s="133"/>
      <c r="H3" s="133"/>
      <c r="I3" s="133"/>
      <c r="J3" s="136"/>
      <c r="K3" s="136"/>
      <c r="L3" s="133"/>
      <c r="M3" s="155" t="s">
        <v>204</v>
      </c>
      <c r="N3" s="134"/>
      <c r="O3" s="134"/>
      <c r="P3" s="134"/>
      <c r="Q3" s="134"/>
      <c r="R3" s="134"/>
      <c r="S3" s="134"/>
      <c r="T3" s="134"/>
      <c r="U3" s="134"/>
    </row>
    <row r="4" spans="1:21" s="8" customFormat="1" ht="6.75" customHeight="1" thickBot="1">
      <c r="A4" s="38"/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</row>
    <row r="5" spans="1:21" s="8" customFormat="1" ht="11.25" customHeight="1" thickBot="1">
      <c r="A5" s="53" t="s">
        <v>19</v>
      </c>
      <c r="B5" s="50">
        <v>41275</v>
      </c>
      <c r="C5" s="47">
        <v>41306</v>
      </c>
      <c r="D5" s="47">
        <v>41334</v>
      </c>
      <c r="E5" s="47">
        <v>41365</v>
      </c>
      <c r="F5" s="47">
        <v>41395</v>
      </c>
      <c r="G5" s="47">
        <v>41426</v>
      </c>
      <c r="H5" s="47">
        <v>41456</v>
      </c>
      <c r="I5" s="47">
        <v>41487</v>
      </c>
      <c r="J5" s="47">
        <v>41518</v>
      </c>
      <c r="K5" s="47">
        <v>41548</v>
      </c>
      <c r="L5" s="47">
        <v>41579</v>
      </c>
      <c r="M5" s="51">
        <v>41609</v>
      </c>
    </row>
    <row r="6" spans="1:21" s="8" customFormat="1" ht="11.25" customHeight="1">
      <c r="A6" s="41" t="s">
        <v>129</v>
      </c>
      <c r="B6" s="57">
        <f t="shared" ref="B6:M6" si="0">B32</f>
        <v>92</v>
      </c>
      <c r="C6" s="57">
        <f t="shared" si="0"/>
        <v>26</v>
      </c>
      <c r="D6" s="57">
        <f t="shared" si="0"/>
        <v>28</v>
      </c>
      <c r="E6" s="57">
        <f t="shared" si="0"/>
        <v>33</v>
      </c>
      <c r="F6" s="57">
        <f t="shared" si="0"/>
        <v>36</v>
      </c>
      <c r="G6" s="57">
        <f t="shared" si="0"/>
        <v>28</v>
      </c>
      <c r="H6" s="57">
        <f t="shared" si="0"/>
        <v>44</v>
      </c>
      <c r="I6" s="57">
        <f t="shared" si="0"/>
        <v>44</v>
      </c>
      <c r="J6" s="57">
        <f t="shared" si="0"/>
        <v>31</v>
      </c>
      <c r="K6" s="57">
        <f t="shared" si="0"/>
        <v>19</v>
      </c>
      <c r="L6" s="156">
        <f t="shared" si="0"/>
        <v>13</v>
      </c>
      <c r="M6" s="168">
        <f t="shared" si="0"/>
        <v>31</v>
      </c>
    </row>
    <row r="7" spans="1:21" s="8" customFormat="1" ht="11.25" customHeight="1">
      <c r="A7" s="42" t="s">
        <v>18</v>
      </c>
      <c r="B7" s="57">
        <f t="shared" ref="B7:M7" si="1">SUM(B10:B12)</f>
        <v>62</v>
      </c>
      <c r="C7" s="57">
        <f t="shared" si="1"/>
        <v>41</v>
      </c>
      <c r="D7" s="57">
        <f t="shared" si="1"/>
        <v>51</v>
      </c>
      <c r="E7" s="57">
        <f t="shared" si="1"/>
        <v>91</v>
      </c>
      <c r="F7" s="57">
        <f t="shared" si="1"/>
        <v>86</v>
      </c>
      <c r="G7" s="57">
        <f t="shared" si="1"/>
        <v>92</v>
      </c>
      <c r="H7" s="57">
        <f t="shared" si="1"/>
        <v>150</v>
      </c>
      <c r="I7" s="57">
        <f t="shared" si="1"/>
        <v>127</v>
      </c>
      <c r="J7" s="57">
        <f t="shared" si="1"/>
        <v>80</v>
      </c>
      <c r="K7" s="57">
        <f t="shared" si="1"/>
        <v>63</v>
      </c>
      <c r="L7" s="156">
        <f t="shared" si="1"/>
        <v>42</v>
      </c>
      <c r="M7" s="171">
        <f t="shared" si="1"/>
        <v>84</v>
      </c>
    </row>
    <row r="8" spans="1:21" s="8" customFormat="1" ht="11.25" customHeight="1" thickBot="1">
      <c r="A8" s="43" t="s">
        <v>14</v>
      </c>
      <c r="B8" s="58">
        <f t="shared" ref="B8:M8" si="2">SUM(B6:B7)</f>
        <v>154</v>
      </c>
      <c r="C8" s="58">
        <f t="shared" si="2"/>
        <v>67</v>
      </c>
      <c r="D8" s="58">
        <f t="shared" si="2"/>
        <v>79</v>
      </c>
      <c r="E8" s="58">
        <f t="shared" si="2"/>
        <v>124</v>
      </c>
      <c r="F8" s="58">
        <f t="shared" si="2"/>
        <v>122</v>
      </c>
      <c r="G8" s="58">
        <f t="shared" si="2"/>
        <v>120</v>
      </c>
      <c r="H8" s="58">
        <f t="shared" si="2"/>
        <v>194</v>
      </c>
      <c r="I8" s="58">
        <f t="shared" si="2"/>
        <v>171</v>
      </c>
      <c r="J8" s="58">
        <f t="shared" si="2"/>
        <v>111</v>
      </c>
      <c r="K8" s="58">
        <f t="shared" si="2"/>
        <v>82</v>
      </c>
      <c r="L8" s="157">
        <f t="shared" si="2"/>
        <v>55</v>
      </c>
      <c r="M8" s="172">
        <f t="shared" si="2"/>
        <v>115</v>
      </c>
    </row>
    <row r="9" spans="1:21" s="8" customFormat="1" ht="11.25" customHeight="1" thickBot="1">
      <c r="A9" s="54" t="s">
        <v>18</v>
      </c>
      <c r="B9" s="50">
        <v>41275</v>
      </c>
      <c r="C9" s="47">
        <v>41306</v>
      </c>
      <c r="D9" s="47">
        <v>41334</v>
      </c>
      <c r="E9" s="47">
        <v>41365</v>
      </c>
      <c r="F9" s="47">
        <v>41395</v>
      </c>
      <c r="G9" s="47">
        <v>41426</v>
      </c>
      <c r="H9" s="47">
        <v>41456</v>
      </c>
      <c r="I9" s="47">
        <v>41487</v>
      </c>
      <c r="J9" s="47">
        <v>41518</v>
      </c>
      <c r="K9" s="47">
        <v>41548</v>
      </c>
      <c r="L9" s="47">
        <v>41579</v>
      </c>
      <c r="M9" s="51">
        <v>41609</v>
      </c>
    </row>
    <row r="10" spans="1:21" s="8" customFormat="1" ht="11.25" customHeight="1">
      <c r="A10" s="9" t="s">
        <v>128</v>
      </c>
      <c r="B10" s="57">
        <f t="shared" ref="B10:M10" si="3">B52</f>
        <v>26</v>
      </c>
      <c r="C10" s="57">
        <f t="shared" si="3"/>
        <v>17</v>
      </c>
      <c r="D10" s="57">
        <f t="shared" si="3"/>
        <v>22</v>
      </c>
      <c r="E10" s="57">
        <f t="shared" si="3"/>
        <v>52</v>
      </c>
      <c r="F10" s="57">
        <f t="shared" si="3"/>
        <v>41</v>
      </c>
      <c r="G10" s="59">
        <f t="shared" si="3"/>
        <v>46</v>
      </c>
      <c r="H10" s="59">
        <f t="shared" si="3"/>
        <v>98</v>
      </c>
      <c r="I10" s="59">
        <f t="shared" si="3"/>
        <v>78</v>
      </c>
      <c r="J10" s="59">
        <f t="shared" si="3"/>
        <v>50</v>
      </c>
      <c r="K10" s="59">
        <f t="shared" si="3"/>
        <v>34</v>
      </c>
      <c r="L10" s="158">
        <f t="shared" si="3"/>
        <v>23</v>
      </c>
      <c r="M10" s="168">
        <f t="shared" si="3"/>
        <v>41</v>
      </c>
    </row>
    <row r="11" spans="1:21" s="8" customFormat="1" ht="11.25" customHeight="1">
      <c r="A11" s="9" t="s">
        <v>127</v>
      </c>
      <c r="B11" s="59">
        <f t="shared" ref="B11:M11" si="4">B65</f>
        <v>12</v>
      </c>
      <c r="C11" s="59">
        <f t="shared" si="4"/>
        <v>4</v>
      </c>
      <c r="D11" s="59">
        <f t="shared" si="4"/>
        <v>6</v>
      </c>
      <c r="E11" s="59">
        <f t="shared" si="4"/>
        <v>1</v>
      </c>
      <c r="F11" s="59">
        <f t="shared" si="4"/>
        <v>7</v>
      </c>
      <c r="G11" s="59">
        <f t="shared" si="4"/>
        <v>5</v>
      </c>
      <c r="H11" s="59">
        <f t="shared" si="4"/>
        <v>14</v>
      </c>
      <c r="I11" s="59">
        <f t="shared" si="4"/>
        <v>4</v>
      </c>
      <c r="J11" s="59">
        <f t="shared" si="4"/>
        <v>4</v>
      </c>
      <c r="K11" s="59">
        <f t="shared" si="4"/>
        <v>0</v>
      </c>
      <c r="L11" s="158">
        <f t="shared" si="4"/>
        <v>5</v>
      </c>
      <c r="M11" s="169">
        <f t="shared" si="4"/>
        <v>12</v>
      </c>
    </row>
    <row r="12" spans="1:21" s="8" customFormat="1" ht="11.25" customHeight="1" thickBot="1">
      <c r="A12" s="2" t="s">
        <v>12</v>
      </c>
      <c r="B12" s="60">
        <f>COUNTIFS(Jan!$B:$B,2021,Jan!$F:$F,800)</f>
        <v>24</v>
      </c>
      <c r="C12" s="60">
        <v>20</v>
      </c>
      <c r="D12" s="60">
        <v>23</v>
      </c>
      <c r="E12" s="60">
        <v>38</v>
      </c>
      <c r="F12" s="60">
        <v>38</v>
      </c>
      <c r="G12" s="60">
        <v>41</v>
      </c>
      <c r="H12" s="60">
        <v>38</v>
      </c>
      <c r="I12" s="60">
        <v>45</v>
      </c>
      <c r="J12" s="60">
        <v>26</v>
      </c>
      <c r="K12" s="60">
        <v>29</v>
      </c>
      <c r="L12" s="60">
        <v>14</v>
      </c>
      <c r="M12" s="60">
        <v>31</v>
      </c>
    </row>
    <row r="13" spans="1:21" s="8" customFormat="1" ht="5.0999999999999996" customHeight="1" thickBot="1">
      <c r="A13" s="3"/>
      <c r="B13" s="17"/>
      <c r="C13" s="17"/>
      <c r="D13" s="17"/>
      <c r="E13" s="17"/>
      <c r="F13" s="17"/>
      <c r="G13" s="17"/>
      <c r="H13" s="17"/>
      <c r="I13" s="17"/>
      <c r="J13" s="17"/>
      <c r="K13" s="17"/>
      <c r="L13" s="17"/>
      <c r="M13" s="147"/>
    </row>
    <row r="14" spans="1:21" s="16" customFormat="1" ht="11.25" customHeight="1">
      <c r="A14" s="44" t="s">
        <v>131</v>
      </c>
      <c r="B14" s="120">
        <v>11688</v>
      </c>
      <c r="C14" s="120">
        <v>10248</v>
      </c>
      <c r="D14" s="120">
        <v>10068</v>
      </c>
      <c r="E14" s="120">
        <v>12679</v>
      </c>
      <c r="F14" s="120">
        <v>14774</v>
      </c>
      <c r="G14" s="120">
        <v>13540</v>
      </c>
      <c r="H14" s="119">
        <v>11076</v>
      </c>
      <c r="I14" s="61">
        <v>11924</v>
      </c>
      <c r="J14" s="61">
        <v>14071</v>
      </c>
      <c r="K14" s="118">
        <v>14086</v>
      </c>
      <c r="L14" s="160">
        <v>11505</v>
      </c>
      <c r="M14" s="173">
        <v>14527</v>
      </c>
      <c r="O14" s="22"/>
      <c r="P14" s="22"/>
      <c r="Q14" s="22"/>
    </row>
    <row r="15" spans="1:21" s="8" customFormat="1" ht="11.25" customHeight="1">
      <c r="A15" s="45" t="s">
        <v>132</v>
      </c>
      <c r="B15" s="62">
        <f>IFERROR((SUMIFS(Jan!$N:$N,Jan!$J:$J,1,Jan!$B:$B,2021)+SUMIFS(Jan!$N:$N,Jan!$D:$D,"&gt;1",Jan!$B:$B,2021))/(COUNTIFS(Jan!$J:$J,1,Jan!$B:$B,2021)+COUNTIFS(Jan!$D:$D,"&gt;1",Jan!$B:$B,2021)),"")</f>
        <v>25.375</v>
      </c>
      <c r="C15" s="62">
        <v>24</v>
      </c>
      <c r="D15" s="62">
        <v>24.35</v>
      </c>
      <c r="E15" s="62">
        <v>25.47</v>
      </c>
      <c r="F15" s="62">
        <v>26.29</v>
      </c>
      <c r="G15" s="62">
        <v>26.36</v>
      </c>
      <c r="H15" s="62">
        <v>26.26</v>
      </c>
      <c r="I15" s="62">
        <v>26.96</v>
      </c>
      <c r="J15" s="62">
        <v>24.92</v>
      </c>
      <c r="K15" s="62">
        <v>26.83</v>
      </c>
      <c r="L15" s="62">
        <v>23.92</v>
      </c>
      <c r="M15" s="62">
        <v>24.79</v>
      </c>
      <c r="N15" s="15"/>
      <c r="O15" s="1"/>
      <c r="P15" s="1"/>
      <c r="Q15" s="1"/>
    </row>
    <row r="16" spans="1:21" s="8" customFormat="1" ht="11.25" customHeight="1">
      <c r="A16" s="45" t="s">
        <v>133</v>
      </c>
      <c r="B16" s="62">
        <f>IFERROR(AVERAGEIFS(Jan!$N:$N,Jan!$F:$F,800,Jan!$B:$B,2021),"")</f>
        <v>25.458333333333332</v>
      </c>
      <c r="C16" s="62">
        <v>26.3</v>
      </c>
      <c r="D16" s="62">
        <v>26.2</v>
      </c>
      <c r="E16" s="62">
        <v>25.24</v>
      </c>
      <c r="F16" s="62">
        <v>27.54</v>
      </c>
      <c r="G16" s="62">
        <v>26.55</v>
      </c>
      <c r="H16" s="62">
        <v>27.73</v>
      </c>
      <c r="I16" s="62">
        <v>27.87</v>
      </c>
      <c r="J16" s="62">
        <v>27.24</v>
      </c>
      <c r="K16" s="62">
        <v>27.69</v>
      </c>
      <c r="L16" s="62">
        <v>23.5</v>
      </c>
      <c r="M16" s="62">
        <v>28.03</v>
      </c>
      <c r="O16" s="1"/>
      <c r="P16" s="1"/>
      <c r="Q16" s="1"/>
    </row>
    <row r="17" spans="1:17" s="8" customFormat="1" ht="11.25" customHeight="1">
      <c r="A17" s="45" t="s">
        <v>134</v>
      </c>
      <c r="B17" s="63">
        <f>IFERROR((SUMIFS(Jan!$M:$M,Jan!$J:$J,1,Jan!$B:$B,2021)+SUMIFS(Jan!$M:$M,Jan!$D:$D,"&gt;1",Jan!$B:$B,2021))/(COUNTIFS(Jan!$J:$J,1,Jan!$B:$B,2021)+COUNTIFS(Jan!$D:$D,"&gt;1",Jan!$B:$B,2021)),"")</f>
        <v>13.087500000000002</v>
      </c>
      <c r="C17" s="63">
        <v>4.72</v>
      </c>
      <c r="D17" s="63">
        <v>8.43</v>
      </c>
      <c r="E17" s="63">
        <v>3.74</v>
      </c>
      <c r="F17" s="63">
        <v>4.28</v>
      </c>
      <c r="G17" s="63">
        <v>2.84</v>
      </c>
      <c r="H17" s="63">
        <v>2</v>
      </c>
      <c r="I17" s="63">
        <v>2.75</v>
      </c>
      <c r="J17" s="63">
        <v>2.12</v>
      </c>
      <c r="K17" s="63">
        <v>5.05</v>
      </c>
      <c r="L17" s="63">
        <v>2.1</v>
      </c>
      <c r="M17" s="63">
        <v>3.61</v>
      </c>
      <c r="O17" s="1"/>
      <c r="P17" s="1"/>
      <c r="Q17" s="1"/>
    </row>
    <row r="18" spans="1:17" s="8" customFormat="1" ht="11.25" customHeight="1" thickBot="1">
      <c r="A18" s="43" t="s">
        <v>135</v>
      </c>
      <c r="B18" s="64">
        <f>IFERROR(AVERAGEIFS(Jan!$M:$M,Jan!$F:$F,800,Jan!$B:$B,2021),"")</f>
        <v>13.091666666666669</v>
      </c>
      <c r="C18" s="64">
        <v>2.04</v>
      </c>
      <c r="D18" s="64">
        <v>6.92</v>
      </c>
      <c r="E18" s="64">
        <v>3.14</v>
      </c>
      <c r="F18" s="64">
        <v>2.23</v>
      </c>
      <c r="G18" s="64">
        <v>1.31</v>
      </c>
      <c r="H18" s="64">
        <v>1.54</v>
      </c>
      <c r="I18" s="64">
        <v>1.07</v>
      </c>
      <c r="J18" s="64">
        <v>0.54</v>
      </c>
      <c r="K18" s="64">
        <v>2.91</v>
      </c>
      <c r="L18" s="64">
        <v>3.05</v>
      </c>
      <c r="M18" s="64">
        <v>2.83</v>
      </c>
    </row>
    <row r="19" spans="1:17" s="8" customFormat="1" ht="5.0999999999999996" customHeight="1" thickBot="1">
      <c r="A19" s="3"/>
      <c r="B19" s="17"/>
      <c r="C19" s="17"/>
      <c r="D19" s="17"/>
      <c r="E19" s="17"/>
      <c r="F19" s="17"/>
      <c r="G19" s="17"/>
      <c r="H19" s="17"/>
      <c r="I19" s="17"/>
      <c r="J19" s="17"/>
      <c r="K19" s="17"/>
      <c r="L19" s="17"/>
      <c r="M19" s="147"/>
    </row>
    <row r="20" spans="1:17" s="8" customFormat="1" ht="11.25" customHeight="1">
      <c r="A20" s="42" t="s">
        <v>52</v>
      </c>
      <c r="B20" s="65">
        <v>31</v>
      </c>
      <c r="C20" s="65">
        <v>28</v>
      </c>
      <c r="D20" s="65">
        <v>31</v>
      </c>
      <c r="E20" s="65">
        <v>30</v>
      </c>
      <c r="F20" s="65">
        <v>31</v>
      </c>
      <c r="G20" s="65">
        <v>30</v>
      </c>
      <c r="H20" s="65">
        <v>31</v>
      </c>
      <c r="I20" s="65">
        <v>31</v>
      </c>
      <c r="J20" s="65">
        <v>30</v>
      </c>
      <c r="K20" s="65">
        <v>31</v>
      </c>
      <c r="L20" s="161">
        <v>30</v>
      </c>
      <c r="M20" s="174">
        <v>31</v>
      </c>
    </row>
    <row r="21" spans="1:17" s="8" customFormat="1" ht="11.25" customHeight="1">
      <c r="A21" s="9" t="s">
        <v>15</v>
      </c>
      <c r="B21" s="66">
        <f>B12/B20</f>
        <v>0.77419354838709675</v>
      </c>
      <c r="C21" s="66">
        <f t="shared" ref="C21:M21" si="5">C12/C20</f>
        <v>0.7142857142857143</v>
      </c>
      <c r="D21" s="66">
        <f>D12/D20</f>
        <v>0.74193548387096775</v>
      </c>
      <c r="E21" s="66">
        <f>E12/E20</f>
        <v>1.2666666666666666</v>
      </c>
      <c r="F21" s="66">
        <f>F12/F20</f>
        <v>1.2258064516129032</v>
      </c>
      <c r="G21" s="66">
        <f>G12/G20</f>
        <v>1.3666666666666667</v>
      </c>
      <c r="H21" s="66">
        <f t="shared" si="5"/>
        <v>1.2258064516129032</v>
      </c>
      <c r="I21" s="66">
        <f t="shared" si="5"/>
        <v>1.4516129032258065</v>
      </c>
      <c r="J21" s="66">
        <f t="shared" si="5"/>
        <v>0.8666666666666667</v>
      </c>
      <c r="K21" s="66">
        <f t="shared" si="5"/>
        <v>0.93548387096774188</v>
      </c>
      <c r="L21" s="162">
        <f t="shared" si="5"/>
        <v>0.46666666666666667</v>
      </c>
      <c r="M21" s="175">
        <f t="shared" si="5"/>
        <v>1</v>
      </c>
    </row>
    <row r="22" spans="1:17" s="8" customFormat="1" ht="11.25" customHeight="1">
      <c r="A22" s="9" t="s">
        <v>130</v>
      </c>
      <c r="B22" s="67">
        <f t="shared" ref="B22:G22" si="6">IFERROR(B12/B7,0)</f>
        <v>0.38709677419354838</v>
      </c>
      <c r="C22" s="67">
        <f t="shared" si="6"/>
        <v>0.48780487804878048</v>
      </c>
      <c r="D22" s="67">
        <f t="shared" si="6"/>
        <v>0.45098039215686275</v>
      </c>
      <c r="E22" s="67">
        <f t="shared" si="6"/>
        <v>0.4175824175824176</v>
      </c>
      <c r="F22" s="67">
        <f t="shared" si="6"/>
        <v>0.44186046511627908</v>
      </c>
      <c r="G22" s="67">
        <f t="shared" si="6"/>
        <v>0.44565217391304346</v>
      </c>
      <c r="H22" s="67">
        <f t="shared" ref="H22:M22" si="7">IFERROR(H12/H7,0)</f>
        <v>0.25333333333333335</v>
      </c>
      <c r="I22" s="67">
        <f t="shared" si="7"/>
        <v>0.3543307086614173</v>
      </c>
      <c r="J22" s="67">
        <f t="shared" si="7"/>
        <v>0.32500000000000001</v>
      </c>
      <c r="K22" s="116">
        <f t="shared" si="7"/>
        <v>0.46031746031746029</v>
      </c>
      <c r="L22" s="67">
        <f t="shared" si="7"/>
        <v>0.33333333333333331</v>
      </c>
      <c r="M22" s="176">
        <f t="shared" si="7"/>
        <v>0.36904761904761907</v>
      </c>
      <c r="N22" s="1"/>
    </row>
    <row r="23" spans="1:17" s="8" customFormat="1" ht="11.25" customHeight="1" thickBot="1">
      <c r="A23" s="9" t="s">
        <v>53</v>
      </c>
      <c r="B23" s="67">
        <f t="shared" ref="B23:G23" si="8">IFERROR(B12/(B11+B12),0)</f>
        <v>0.66666666666666663</v>
      </c>
      <c r="C23" s="67">
        <f t="shared" si="8"/>
        <v>0.83333333333333337</v>
      </c>
      <c r="D23" s="67">
        <f t="shared" si="8"/>
        <v>0.7931034482758621</v>
      </c>
      <c r="E23" s="67">
        <f t="shared" si="8"/>
        <v>0.97435897435897434</v>
      </c>
      <c r="F23" s="67">
        <f t="shared" si="8"/>
        <v>0.84444444444444444</v>
      </c>
      <c r="G23" s="67">
        <f t="shared" si="8"/>
        <v>0.89130434782608692</v>
      </c>
      <c r="H23" s="67">
        <f t="shared" ref="H23:M23" si="9">IFERROR(H12/(H11+H12),0)</f>
        <v>0.73076923076923073</v>
      </c>
      <c r="I23" s="67">
        <f t="shared" si="9"/>
        <v>0.91836734693877553</v>
      </c>
      <c r="J23" s="67">
        <f t="shared" si="9"/>
        <v>0.8666666666666667</v>
      </c>
      <c r="K23" s="117">
        <f t="shared" si="9"/>
        <v>1</v>
      </c>
      <c r="L23" s="163">
        <f t="shared" si="9"/>
        <v>0.73684210526315785</v>
      </c>
      <c r="M23" s="177">
        <f t="shared" si="9"/>
        <v>0.72093023255813948</v>
      </c>
      <c r="N23" s="4"/>
    </row>
    <row r="24" spans="1:17" s="8" customFormat="1" ht="11.25" customHeight="1" thickBot="1">
      <c r="A24" s="53" t="s">
        <v>21</v>
      </c>
      <c r="B24" s="50">
        <v>41275</v>
      </c>
      <c r="C24" s="47">
        <v>41306</v>
      </c>
      <c r="D24" s="47">
        <v>41334</v>
      </c>
      <c r="E24" s="47">
        <v>41365</v>
      </c>
      <c r="F24" s="47">
        <v>41395</v>
      </c>
      <c r="G24" s="47">
        <v>41426</v>
      </c>
      <c r="H24" s="47">
        <v>41456</v>
      </c>
      <c r="I24" s="47">
        <v>41487</v>
      </c>
      <c r="J24" s="47">
        <v>41518</v>
      </c>
      <c r="K24" s="47">
        <v>41548</v>
      </c>
      <c r="L24" s="47">
        <v>41579</v>
      </c>
      <c r="M24" s="51">
        <v>41609</v>
      </c>
    </row>
    <row r="25" spans="1:17" s="8" customFormat="1" ht="11.25" customHeight="1">
      <c r="A25" s="18" t="s">
        <v>5</v>
      </c>
      <c r="B25" s="68">
        <f>COUNTIFS(Jan!$B:$B,2021,Jan!$J:$J,18)</f>
        <v>18</v>
      </c>
      <c r="C25" s="68">
        <v>9</v>
      </c>
      <c r="D25" s="68">
        <v>6</v>
      </c>
      <c r="E25" s="68">
        <v>10</v>
      </c>
      <c r="F25" s="68">
        <v>10</v>
      </c>
      <c r="G25" s="68">
        <v>7</v>
      </c>
      <c r="H25" s="68">
        <v>12</v>
      </c>
      <c r="I25" s="68">
        <v>21</v>
      </c>
      <c r="J25" s="68">
        <v>12</v>
      </c>
      <c r="K25" s="68">
        <v>6</v>
      </c>
      <c r="L25" s="68">
        <v>7</v>
      </c>
      <c r="M25" s="68">
        <v>11</v>
      </c>
    </row>
    <row r="26" spans="1:17" s="8" customFormat="1" ht="11.25" customHeight="1">
      <c r="A26" s="46" t="s">
        <v>40</v>
      </c>
      <c r="B26" s="57">
        <f>COUNTIFS(Jan!$B:$B,2021,Jan!$J:$J,41)</f>
        <v>0</v>
      </c>
      <c r="C26" s="57">
        <f>COUNTIFS(Feb!$B:$B,2021,Feb!$J:$J,41)</f>
        <v>0</v>
      </c>
      <c r="D26" s="57">
        <f>COUNTIFS(Mar!$B:$B,2021,Mar!$J:$J,41)</f>
        <v>0</v>
      </c>
      <c r="E26" s="57">
        <f>COUNTIFS(Apr!$B:$B,2021,Apr!$J:$J,41)</f>
        <v>0</v>
      </c>
      <c r="F26" s="57">
        <f>COUNTIFS(May!$B:$B,2021,May!$J:$J,41)</f>
        <v>0</v>
      </c>
      <c r="G26" s="57">
        <f>COUNTIFS(Jun!$B:$B,2021,Jun!$J:$J,41)</f>
        <v>0</v>
      </c>
      <c r="H26" s="57">
        <f>COUNTIFS(Jul!$B:$B,2021,Jul!$J:$J,41)</f>
        <v>0</v>
      </c>
      <c r="I26" s="57">
        <f>COUNTIFS(Aug!$B:$B,2021,Aug!$J:$J,41)</f>
        <v>0</v>
      </c>
      <c r="J26" s="57">
        <f>COUNTIFS(Sep!$B:$B,2021,Sep!$J:$J,41)</f>
        <v>0</v>
      </c>
      <c r="K26" s="57">
        <f>COUNTIFS(Oct!$B:$B,2021,Oct!$J:$J,41)</f>
        <v>0</v>
      </c>
      <c r="L26" s="57">
        <f>COUNTIFS(Nov!$B:$B,2021,Nov!$J:$J,41)</f>
        <v>0</v>
      </c>
      <c r="M26" s="57">
        <v>0</v>
      </c>
    </row>
    <row r="27" spans="1:17" s="8" customFormat="1" ht="11.25" customHeight="1">
      <c r="A27" s="9" t="s">
        <v>11</v>
      </c>
      <c r="B27" s="179">
        <f>COUNTIFS(Jan!$B:$B,2021,Jan!$J:$J,17)</f>
        <v>72</v>
      </c>
      <c r="C27" s="206">
        <v>16</v>
      </c>
      <c r="D27" s="206">
        <v>22</v>
      </c>
      <c r="E27" s="206">
        <v>22</v>
      </c>
      <c r="F27" s="206">
        <v>25</v>
      </c>
      <c r="G27" s="206">
        <v>21</v>
      </c>
      <c r="H27" s="206">
        <v>30</v>
      </c>
      <c r="I27" s="206">
        <v>21</v>
      </c>
      <c r="J27" s="206">
        <v>18</v>
      </c>
      <c r="K27" s="206">
        <v>10</v>
      </c>
      <c r="L27" s="206">
        <v>6</v>
      </c>
      <c r="M27" s="206">
        <v>18</v>
      </c>
    </row>
    <row r="28" spans="1:17" s="8" customFormat="1" ht="11.25" customHeight="1">
      <c r="A28" s="9" t="s">
        <v>143</v>
      </c>
      <c r="B28" s="59">
        <f>COUNTIFS(Jan!$B:$B,2021,Jan!$F:$F,455)</f>
        <v>0</v>
      </c>
      <c r="C28" s="59">
        <f>COUNTIFS(Feb!$B:$B,2021,Feb!$F:$F,455)</f>
        <v>0</v>
      </c>
      <c r="D28" s="59">
        <f>COUNTIFS(Mar!$B:$B,2021,Mar!$F:$F,455)</f>
        <v>0</v>
      </c>
      <c r="E28" s="59">
        <f>COUNTIFS(Apr!$B:$B,2021,Apr!$F:$F,455)</f>
        <v>0</v>
      </c>
      <c r="F28" s="59">
        <f>COUNTIFS(May!$B:$B,2021,May!$F:$F,455)</f>
        <v>0</v>
      </c>
      <c r="G28" s="59">
        <f>COUNTIFS(Jun!$B:$B,2021,Jun!$F:$F,455)</f>
        <v>0</v>
      </c>
      <c r="H28" s="59">
        <f>COUNTIFS(Jul!$B:$B,2021,Jul!$F:$F,455)</f>
        <v>0</v>
      </c>
      <c r="I28" s="59">
        <f>COUNTIFS(Aug!$B:$B,2021,Aug!$F:$F,455)</f>
        <v>0</v>
      </c>
      <c r="J28" s="59">
        <f>COUNTIFS(Sep!$B:$B,2021,Sep!$F:$F,455)</f>
        <v>0</v>
      </c>
      <c r="K28" s="59">
        <f>COUNTIFS(Oct!$B:$B,2021,Oct!$F:$F,455)</f>
        <v>0</v>
      </c>
      <c r="L28" s="59">
        <f>COUNTIFS(Nov!$B:$B,2021,Nov!$F:$F,455)</f>
        <v>0</v>
      </c>
      <c r="M28" s="59">
        <v>0</v>
      </c>
    </row>
    <row r="29" spans="1:17" s="8" customFormat="1" ht="11.25" customHeight="1">
      <c r="A29" s="9" t="s">
        <v>23</v>
      </c>
      <c r="B29" s="59">
        <f>COUNTIFS(Jan!$B:$B,2021,Jan!$J:$J,31)</f>
        <v>0</v>
      </c>
      <c r="C29" s="59">
        <f>COUNTIFS(Feb!$B:$B,2021,Feb!$J:$J,31)</f>
        <v>0</v>
      </c>
      <c r="D29" s="59">
        <f>COUNTIFS(Mar!$B:$B,2021,Mar!$J:$J,31)</f>
        <v>0</v>
      </c>
      <c r="E29" s="59">
        <f>COUNTIFS(Apr!$B:$B,2021,Apr!$J:$J,31)</f>
        <v>0</v>
      </c>
      <c r="F29" s="59">
        <f>COUNTIFS(May!$B:$B,2021,May!$J:$J,31)</f>
        <v>0</v>
      </c>
      <c r="G29" s="59">
        <f>COUNTIFS(Jun!$B:$B,2021,Jun!$J:$J,31)</f>
        <v>0</v>
      </c>
      <c r="H29" s="59">
        <f>COUNTIFS(Jul!$B:$B,2021,Jul!$J:$J,31)</f>
        <v>0</v>
      </c>
      <c r="I29" s="59">
        <f>COUNTIFS(Aug!$B:$B,2021,Aug!$J:$J,31)</f>
        <v>0</v>
      </c>
      <c r="J29" s="59">
        <f>COUNTIFS(Sep!$B:$B,2021,Sep!$J:$J,31)</f>
        <v>0</v>
      </c>
      <c r="K29" s="59">
        <f>COUNTIFS(Oct!$B:$B,2021,Oct!$J:$J,31)</f>
        <v>0</v>
      </c>
      <c r="L29" s="59">
        <f>COUNTIFS(Nov!$B:$B,2021,Nov!$J:$J,31)</f>
        <v>0</v>
      </c>
      <c r="M29" s="59">
        <v>0</v>
      </c>
    </row>
    <row r="30" spans="1:17" s="8" customFormat="1" ht="11.25" customHeight="1">
      <c r="A30" s="9" t="s">
        <v>37</v>
      </c>
      <c r="B30" s="59">
        <f>COUNTIFS(Jan!$B:$B,2021,Jan!$J:$J,4400)</f>
        <v>2</v>
      </c>
      <c r="C30" s="59">
        <v>1</v>
      </c>
      <c r="D30" s="59">
        <f>COUNTIFS(Mar!$B:$B,2021,Mar!$J:$J,4400)</f>
        <v>0</v>
      </c>
      <c r="E30" s="59">
        <v>1</v>
      </c>
      <c r="F30" s="59">
        <v>1</v>
      </c>
      <c r="G30" s="59">
        <f>COUNTIFS(Jun!$B:$B,2021,Jun!$J:$J,4400)</f>
        <v>0</v>
      </c>
      <c r="H30" s="59">
        <v>2</v>
      </c>
      <c r="I30" s="59">
        <v>2</v>
      </c>
      <c r="J30" s="59">
        <v>1</v>
      </c>
      <c r="K30" s="59">
        <v>3</v>
      </c>
      <c r="L30" s="59">
        <f>COUNTIFS(Nov!$B:$B,2021,Nov!$J:$J,4400)</f>
        <v>0</v>
      </c>
      <c r="M30" s="59">
        <v>2</v>
      </c>
    </row>
    <row r="31" spans="1:17" s="8" customFormat="1" ht="11.25" customHeight="1">
      <c r="A31" s="10" t="s">
        <v>24</v>
      </c>
      <c r="B31" s="59">
        <f>COUNTIFS(Jan!$B:$B,2021,Jan!$J:$J,30)</f>
        <v>0</v>
      </c>
      <c r="C31" s="59">
        <f>COUNTIFS(Feb!$B:$B,2021,Feb!$J:$J,30)</f>
        <v>0</v>
      </c>
      <c r="D31" s="59">
        <f>COUNTIFS(Mar!$B:$B,2021,Mar!$J:$J,30)</f>
        <v>0</v>
      </c>
      <c r="E31" s="59">
        <f>COUNTIFS(Apr!$B:$B,2021,Apr!$J:$J,30)</f>
        <v>0</v>
      </c>
      <c r="F31" s="59">
        <f>COUNTIFS(May!$B:$B,2021,May!$J:$J,30)</f>
        <v>0</v>
      </c>
      <c r="G31" s="59">
        <f>COUNTIFS(Jun!$B:$B,2021,Jun!$J:$J,30)</f>
        <v>0</v>
      </c>
      <c r="H31" s="59">
        <f>COUNTIFS(Jul!$B:$B,2021,Jul!$J:$J,30)</f>
        <v>0</v>
      </c>
      <c r="I31" s="59">
        <f>COUNTIFS(Aug!$B:$B,2021,Aug!$J:$J,30)</f>
        <v>0</v>
      </c>
      <c r="J31" s="59">
        <f>COUNTIFS(Sep!$B:$B,2021,Sep!$J:$J,30)</f>
        <v>0</v>
      </c>
      <c r="K31" s="59">
        <f>COUNTIFS(Oct!$B:$B,2021,Oct!$J:$J,30)</f>
        <v>0</v>
      </c>
      <c r="L31" s="59">
        <f>COUNTIFS(Nov!$B:$B,2021,Nov!$J:$J,30)</f>
        <v>0</v>
      </c>
      <c r="M31" s="59">
        <v>0</v>
      </c>
    </row>
    <row r="32" spans="1:17" s="14" customFormat="1" ht="11.25" customHeight="1" thickBot="1">
      <c r="A32" s="2" t="s">
        <v>140</v>
      </c>
      <c r="B32" s="60">
        <f>SUM(B25:B31)</f>
        <v>92</v>
      </c>
      <c r="C32" s="60">
        <f t="shared" ref="C32:M32" si="10">SUM(C25:C31)</f>
        <v>26</v>
      </c>
      <c r="D32" s="60">
        <f>SUM(D25:D31)</f>
        <v>28</v>
      </c>
      <c r="E32" s="60">
        <f>SUM(E25:E31)</f>
        <v>33</v>
      </c>
      <c r="F32" s="60">
        <f>SUM(F25:F31)</f>
        <v>36</v>
      </c>
      <c r="G32" s="60">
        <f>SUM(G25:G31)</f>
        <v>28</v>
      </c>
      <c r="H32" s="60">
        <f t="shared" si="10"/>
        <v>44</v>
      </c>
      <c r="I32" s="60">
        <f t="shared" si="10"/>
        <v>44</v>
      </c>
      <c r="J32" s="60">
        <f>SUM(J25:J31)</f>
        <v>31</v>
      </c>
      <c r="K32" s="60">
        <f t="shared" si="10"/>
        <v>19</v>
      </c>
      <c r="L32" s="159">
        <f t="shared" si="10"/>
        <v>13</v>
      </c>
      <c r="M32" s="170">
        <f t="shared" si="10"/>
        <v>31</v>
      </c>
    </row>
    <row r="33" spans="1:13" ht="12" customHeight="1" thickBot="1">
      <c r="A33" s="55" t="s">
        <v>136</v>
      </c>
      <c r="B33" s="50">
        <v>41275</v>
      </c>
      <c r="C33" s="47">
        <v>41306</v>
      </c>
      <c r="D33" s="47">
        <v>41334</v>
      </c>
      <c r="E33" s="47">
        <v>41365</v>
      </c>
      <c r="F33" s="47">
        <v>41395</v>
      </c>
      <c r="G33" s="47">
        <v>41426</v>
      </c>
      <c r="H33" s="47">
        <v>41456</v>
      </c>
      <c r="I33" s="47">
        <v>41487</v>
      </c>
      <c r="J33" s="47">
        <v>41518</v>
      </c>
      <c r="K33" s="47">
        <v>41548</v>
      </c>
      <c r="L33" s="47">
        <v>41579</v>
      </c>
      <c r="M33" s="51">
        <v>41609</v>
      </c>
    </row>
    <row r="34" spans="1:13" s="8" customFormat="1" ht="11.25" customHeight="1">
      <c r="A34" s="46" t="s">
        <v>33</v>
      </c>
      <c r="B34" s="57">
        <f>COUNTIFS(Jan!$B:$B,2021,Jan!$J:$J,40)</f>
        <v>0</v>
      </c>
      <c r="C34" s="57">
        <f>COUNTIFS(Feb!$B:$B,2021,Feb!$J:$J,40)</f>
        <v>0</v>
      </c>
      <c r="D34" s="57">
        <f>COUNTIFS(Mar!$B:$B,2021,Mar!$J:$J,40)</f>
        <v>0</v>
      </c>
      <c r="E34" s="57">
        <f>COUNTIFS(Apr!$B:$B,2021,Apr!$J:$J,40)</f>
        <v>0</v>
      </c>
      <c r="F34" s="57">
        <f>COUNTIFS(May!$B:$B,2021,May!$J:$J,40)</f>
        <v>0</v>
      </c>
      <c r="G34" s="57">
        <v>1</v>
      </c>
      <c r="H34" s="57">
        <f>COUNTIFS(Jul!$B:$B,2021,Jul!$J:$J,40)</f>
        <v>0</v>
      </c>
      <c r="I34" s="57">
        <f>COUNTIFS(Aug!$B:$B,2021,Aug!$J:$J,40)</f>
        <v>0</v>
      </c>
      <c r="J34" s="57">
        <v>1</v>
      </c>
      <c r="K34" s="57">
        <f>COUNTIFS(Oct!$B:$B,2021,Oct!$J:$J,40)</f>
        <v>0</v>
      </c>
      <c r="L34" s="57">
        <v>1</v>
      </c>
      <c r="M34" s="57">
        <v>0</v>
      </c>
    </row>
    <row r="35" spans="1:13" s="8" customFormat="1" ht="11.25" customHeight="1">
      <c r="A35" s="10" t="s">
        <v>4</v>
      </c>
      <c r="B35" s="59">
        <f>COUNTIFS(Jan!$B:$B,2021,Jan!$J:$J,15)</f>
        <v>1</v>
      </c>
      <c r="C35" s="59">
        <f>COUNTIFS(Feb!$B:$B,2021,Feb!$J:$J,15)</f>
        <v>0</v>
      </c>
      <c r="D35" s="59">
        <v>1</v>
      </c>
      <c r="E35" s="59">
        <f>COUNTIFS(Apr!$B:$B,2021,Apr!$J:$J,15)</f>
        <v>0</v>
      </c>
      <c r="F35" s="59">
        <v>1</v>
      </c>
      <c r="G35" s="59">
        <v>1</v>
      </c>
      <c r="H35" s="59">
        <v>4</v>
      </c>
      <c r="I35" s="59">
        <v>5</v>
      </c>
      <c r="J35" s="59">
        <v>1</v>
      </c>
      <c r="K35" s="59">
        <f>COUNTIFS(Oct!$B:$B,2021,Oct!$J:$J,15)</f>
        <v>0</v>
      </c>
      <c r="L35" s="59">
        <v>4</v>
      </c>
      <c r="M35" s="59">
        <v>4</v>
      </c>
    </row>
    <row r="36" spans="1:13" s="8" customFormat="1" ht="11.25" customHeight="1">
      <c r="A36" s="10" t="s">
        <v>39</v>
      </c>
      <c r="B36" s="59">
        <f>COUNTIFS(Jan!$B:$B,2021,Jan!$J:$J,29)</f>
        <v>4</v>
      </c>
      <c r="C36" s="59">
        <v>2</v>
      </c>
      <c r="D36" s="59">
        <v>3</v>
      </c>
      <c r="E36" s="59">
        <v>9</v>
      </c>
      <c r="F36" s="59">
        <f>COUNTIFS(May!$B:$B,2021,May!$J:$J,29)</f>
        <v>0</v>
      </c>
      <c r="G36" s="59">
        <v>7</v>
      </c>
      <c r="H36" s="59">
        <v>6</v>
      </c>
      <c r="I36" s="59">
        <v>7</v>
      </c>
      <c r="J36" s="59">
        <v>4</v>
      </c>
      <c r="K36" s="59">
        <v>6</v>
      </c>
      <c r="L36" s="59">
        <v>3</v>
      </c>
      <c r="M36" s="59">
        <v>2</v>
      </c>
    </row>
    <row r="37" spans="1:13" s="8" customFormat="1" ht="11.25" customHeight="1">
      <c r="A37" s="10" t="s">
        <v>3</v>
      </c>
      <c r="B37" s="59">
        <f>COUNTIFS(Jan!$B:$B,2021,Jan!$J:$J,13)</f>
        <v>0</v>
      </c>
      <c r="C37" s="59">
        <f>COUNTIFS(Feb!$B:$B,2021,Feb!$J:$J,13)</f>
        <v>0</v>
      </c>
      <c r="D37" s="59">
        <f>COUNTIFS(Mar!$B:$B,2021,Mar!$J:$J,13)</f>
        <v>0</v>
      </c>
      <c r="E37" s="59">
        <v>1</v>
      </c>
      <c r="F37" s="59">
        <v>9</v>
      </c>
      <c r="G37" s="59">
        <v>1</v>
      </c>
      <c r="H37" s="59">
        <v>1</v>
      </c>
      <c r="I37" s="59">
        <v>1</v>
      </c>
      <c r="J37" s="59">
        <v>1</v>
      </c>
      <c r="K37" s="59">
        <f>COUNTIFS(Oct!$B:$B,2021,Oct!$J:$J,13)</f>
        <v>0</v>
      </c>
      <c r="L37" s="59">
        <f>COUNTIFS(Nov!$B:$B,2021,Nov!$J:$J,13)</f>
        <v>0</v>
      </c>
      <c r="M37" s="59">
        <v>2</v>
      </c>
    </row>
    <row r="38" spans="1:13" s="8" customFormat="1" ht="11.25" customHeight="1">
      <c r="A38" s="9" t="s">
        <v>218</v>
      </c>
      <c r="B38" s="59">
        <f>COUNTIFS(Jan!$B:$B,2021,Jan!$J:$J,43)</f>
        <v>0</v>
      </c>
      <c r="C38" s="59">
        <f>COUNTIFS(Feb!$B:$B,2021,Feb!$J:$J,43)</f>
        <v>0</v>
      </c>
      <c r="D38" s="59">
        <f>COUNTIFS(Mar!$B:$B,2021,Mar!$J:$J,43)</f>
        <v>0</v>
      </c>
      <c r="E38" s="59">
        <f>COUNTIFS(Apr!$B:$B,2021,Apr!$J:$J,43)</f>
        <v>0</v>
      </c>
      <c r="F38" s="59">
        <f>COUNTIFS(May!$B:$B,2021,May!$J:$J,43)</f>
        <v>0</v>
      </c>
      <c r="G38" s="59">
        <f>COUNTIFS(Jun!$B:$B,2021,Jun!$J:$J,43)</f>
        <v>0</v>
      </c>
      <c r="H38" s="59">
        <f>COUNTIFS(Jul!$B:$B,2021,Jul!$J:$J,43)</f>
        <v>0</v>
      </c>
      <c r="I38" s="59">
        <f>COUNTIFS(Aug!$B:$B,2021,Aug!$J:$J,43)</f>
        <v>0</v>
      </c>
      <c r="J38" s="59">
        <f>COUNTIFS(Sep!$B:$B,2021,Sep!$J:$J,43)</f>
        <v>0</v>
      </c>
      <c r="K38" s="59">
        <f>COUNTIFS(Oct!$B:$B,2021,Oct!$J:$J,43)</f>
        <v>0</v>
      </c>
      <c r="L38" s="59">
        <f>COUNTIFS(Nov!$B:$B,2021,Nov!$J:$J,43)</f>
        <v>0</v>
      </c>
      <c r="M38" s="59">
        <v>0</v>
      </c>
    </row>
    <row r="39" spans="1:13" s="8" customFormat="1" ht="11.25" customHeight="1">
      <c r="A39" s="10" t="s">
        <v>25</v>
      </c>
      <c r="B39" s="59">
        <f>COUNTIFS(Jan!$B:$B,2021,Jan!$J:$J,24)</f>
        <v>4</v>
      </c>
      <c r="C39" s="59">
        <v>1</v>
      </c>
      <c r="D39" s="59">
        <v>7</v>
      </c>
      <c r="E39" s="59">
        <v>7</v>
      </c>
      <c r="F39" s="59">
        <v>7</v>
      </c>
      <c r="G39" s="59">
        <v>6</v>
      </c>
      <c r="H39" s="59">
        <v>16</v>
      </c>
      <c r="I39" s="59">
        <v>12</v>
      </c>
      <c r="J39" s="59">
        <v>7</v>
      </c>
      <c r="K39" s="59">
        <v>13</v>
      </c>
      <c r="L39" s="59">
        <v>3</v>
      </c>
      <c r="M39" s="59">
        <v>6</v>
      </c>
    </row>
    <row r="40" spans="1:13" s="8" customFormat="1" ht="11.25" customHeight="1">
      <c r="A40" s="10" t="s">
        <v>34</v>
      </c>
      <c r="B40" s="59">
        <f>COUNTIFS(Jan!$B:$B,2021,Jan!$J:$J,9)</f>
        <v>1</v>
      </c>
      <c r="C40" s="59">
        <f>COUNTIFS(Feb!$B:$B,2021,Feb!$J:$J,9)</f>
        <v>0</v>
      </c>
      <c r="D40" s="59">
        <f>COUNTIFS(Mar!$B:$B,2021,Mar!$J:$J,9)</f>
        <v>0</v>
      </c>
      <c r="E40" s="59">
        <f>COUNTIFS(Apr!$B:$B,2021,Apr!$J:$J,9)</f>
        <v>0</v>
      </c>
      <c r="F40" s="59">
        <f>COUNTIFS(May!$B:$B,2021,May!$J:$J,9)</f>
        <v>0</v>
      </c>
      <c r="G40" s="59">
        <f>COUNTIFS(Jun!$B:$B,2021,Jun!$J:$J,9)</f>
        <v>0</v>
      </c>
      <c r="H40" s="59">
        <f>COUNTIFS(Jul!$B:$B,2021,Jul!$J:$J,9)</f>
        <v>0</v>
      </c>
      <c r="I40" s="59">
        <f>COUNTIFS(Aug!$B:$B,2021,Aug!$J:$J,9)</f>
        <v>0</v>
      </c>
      <c r="J40" s="59">
        <f>COUNTIFS(Sep!$B:$B,2021,Sep!$J:$J,9)</f>
        <v>0</v>
      </c>
      <c r="K40" s="59">
        <f>COUNTIFS(Oct!$B:$B,2021,Oct!$J:$J,9)</f>
        <v>0</v>
      </c>
      <c r="L40" s="59">
        <f>COUNTIFS(Nov!$B:$B,2021,Nov!$J:$J,9)</f>
        <v>0</v>
      </c>
      <c r="M40" s="59">
        <v>0</v>
      </c>
    </row>
    <row r="41" spans="1:13" s="8" customFormat="1" ht="11.25" customHeight="1">
      <c r="A41" s="10" t="s">
        <v>31</v>
      </c>
      <c r="B41" s="59">
        <f>COUNTIFS(Jan!$B:$B,2021,Jan!$J:$J,10)</f>
        <v>5</v>
      </c>
      <c r="C41" s="59">
        <v>3</v>
      </c>
      <c r="D41" s="59">
        <v>4</v>
      </c>
      <c r="E41" s="59">
        <v>12</v>
      </c>
      <c r="F41" s="59">
        <v>8</v>
      </c>
      <c r="G41" s="59">
        <v>11</v>
      </c>
      <c r="H41" s="59">
        <v>25</v>
      </c>
      <c r="I41" s="59">
        <v>18</v>
      </c>
      <c r="J41" s="59">
        <v>9</v>
      </c>
      <c r="K41" s="59">
        <v>4</v>
      </c>
      <c r="L41" s="59">
        <f>COUNTIFS(Nov!$B:$B,2021,Nov!$J:$J,10)</f>
        <v>0</v>
      </c>
      <c r="M41" s="59">
        <v>5</v>
      </c>
    </row>
    <row r="42" spans="1:13" s="8" customFormat="1" ht="11.25" customHeight="1">
      <c r="A42" s="10" t="s">
        <v>144</v>
      </c>
      <c r="B42" s="59">
        <f>COUNTIFS(Jan!$B:$B,2021,Jan!$F:$F,462)</f>
        <v>0</v>
      </c>
      <c r="C42" s="59">
        <f>COUNTIFS(Feb!$B:$B,2021,Feb!$F:$F,462)</f>
        <v>0</v>
      </c>
      <c r="D42" s="59">
        <f>COUNTIFS(Mar!$B:$B,2021,Mar!$F:$F,462)</f>
        <v>0</v>
      </c>
      <c r="E42" s="59">
        <f>COUNTIFS(Apr!$B:$B,2021,Apr!$F:$F,462)</f>
        <v>0</v>
      </c>
      <c r="F42" s="59">
        <f>COUNTIFS(May!$B:$B,2021,May!$F:$F,462)</f>
        <v>0</v>
      </c>
      <c r="G42" s="59">
        <f>COUNTIFS(Jun!$B:$B,2021,Jun!$F:$F,462)</f>
        <v>0</v>
      </c>
      <c r="H42" s="59">
        <f>COUNTIFS(Jul!$B:$B,2021,Jul!$F:$F,462)</f>
        <v>0</v>
      </c>
      <c r="I42" s="59">
        <f>COUNTIFS(Aug!$B:$B,2021,Aug!$F:$F,462)</f>
        <v>0</v>
      </c>
      <c r="J42" s="59">
        <f>COUNTIFS(Sep!$B:$B,2021,Sep!$F:$F,462)</f>
        <v>0</v>
      </c>
      <c r="K42" s="59">
        <f>COUNTIFS(Oct!$B:$B,2021,Oct!$F:$F,462)</f>
        <v>0</v>
      </c>
      <c r="L42" s="59">
        <f>COUNTIFS(Nov!$B:$B,2021,Nov!$F:$F,462)</f>
        <v>0</v>
      </c>
      <c r="M42" s="59">
        <v>0</v>
      </c>
    </row>
    <row r="43" spans="1:13" s="8" customFormat="1" ht="11.25" customHeight="1">
      <c r="A43" s="10" t="s">
        <v>1</v>
      </c>
      <c r="B43" s="59">
        <f>COUNTIFS(Jan!$B:$B,2021,Jan!$J:$J,11)</f>
        <v>1</v>
      </c>
      <c r="C43" s="59">
        <v>3</v>
      </c>
      <c r="D43" s="59">
        <v>2</v>
      </c>
      <c r="E43" s="59">
        <v>7</v>
      </c>
      <c r="F43" s="59">
        <v>4</v>
      </c>
      <c r="G43" s="59">
        <v>8</v>
      </c>
      <c r="H43" s="59">
        <v>12</v>
      </c>
      <c r="I43" s="59">
        <v>8</v>
      </c>
      <c r="J43" s="59">
        <v>8</v>
      </c>
      <c r="K43" s="59">
        <v>5</v>
      </c>
      <c r="L43" s="59">
        <v>3</v>
      </c>
      <c r="M43" s="59">
        <v>5</v>
      </c>
    </row>
    <row r="44" spans="1:13" s="8" customFormat="1" ht="11.25" customHeight="1">
      <c r="A44" s="10" t="s">
        <v>26</v>
      </c>
      <c r="B44" s="59">
        <f>COUNTIFS(Jan!$B:$B,2021,Jan!$J:$J,20)</f>
        <v>0</v>
      </c>
      <c r="C44" s="59">
        <f>COUNTIFS(Feb!$B:$B,2021,Feb!$J:$J,20)</f>
        <v>0</v>
      </c>
      <c r="D44" s="59">
        <f>COUNTIFS(Mar!$B:$B,2021,Mar!$J:$J,20)</f>
        <v>0</v>
      </c>
      <c r="E44" s="59">
        <f>COUNTIFS(Apr!$B:$B,2021,Apr!$J:$J,20)</f>
        <v>0</v>
      </c>
      <c r="F44" s="59">
        <f>COUNTIFS(May!$B:$B,2021,May!$J:$J,20)</f>
        <v>0</v>
      </c>
      <c r="G44" s="59">
        <f>COUNTIFS(Jun!$B:$B,2021,Jun!$J:$J,20)</f>
        <v>0</v>
      </c>
      <c r="H44" s="59">
        <f>COUNTIFS(Jul!$B:$B,2021,Jul!$J:$J,20)</f>
        <v>0</v>
      </c>
      <c r="I44" s="59">
        <f>COUNTIFS(Aug!$B:$B,2021,Aug!$J:$J,20)</f>
        <v>0</v>
      </c>
      <c r="J44" s="59">
        <v>1</v>
      </c>
      <c r="K44" s="59">
        <f>COUNTIFS(Oct!$B:$B,2021,Oct!$J:$J,20)</f>
        <v>0</v>
      </c>
      <c r="L44" s="59">
        <f>COUNTIFS(Nov!$B:$B,2021,Nov!$J:$J,20)</f>
        <v>0</v>
      </c>
      <c r="M44" s="59">
        <v>0</v>
      </c>
    </row>
    <row r="45" spans="1:13" s="8" customFormat="1" ht="11.25" customHeight="1">
      <c r="A45" s="10" t="s">
        <v>32</v>
      </c>
      <c r="B45" s="59">
        <f>COUNTIFS(Jan!$B:$B,2021,Jan!$J:$J,2)</f>
        <v>6</v>
      </c>
      <c r="C45" s="59">
        <v>6</v>
      </c>
      <c r="D45" s="59">
        <v>3</v>
      </c>
      <c r="E45" s="59">
        <v>13</v>
      </c>
      <c r="F45" s="59">
        <v>7</v>
      </c>
      <c r="G45" s="59">
        <v>8</v>
      </c>
      <c r="H45" s="59">
        <v>20</v>
      </c>
      <c r="I45" s="59">
        <v>20</v>
      </c>
      <c r="J45" s="59">
        <v>11</v>
      </c>
      <c r="K45" s="59">
        <v>5</v>
      </c>
      <c r="L45" s="59">
        <v>5</v>
      </c>
      <c r="M45" s="59">
        <v>12</v>
      </c>
    </row>
    <row r="46" spans="1:13" s="8" customFormat="1" ht="11.25" customHeight="1">
      <c r="A46" s="10" t="s">
        <v>28</v>
      </c>
      <c r="B46" s="59">
        <f>COUNTIFS(Jan!$B:$B,2021,Jan!$J:$J,1700)+COUNTIFS(Jan!$B:$B,2021,Jan!$F:$F,1700)+COUNTIFS(Jan!$B:$B,2021,Jan!$J:$J,19)</f>
        <v>0</v>
      </c>
      <c r="C46" s="59">
        <f>COUNTIFS(Feb!$B:$B,2021,Feb!$J:$J,1700)+COUNTIFS(Feb!$B:$B,2021,Feb!$F:$F,1700)+COUNTIFS(Feb!$B:$B,2021,Feb!$J:$J,19)</f>
        <v>0</v>
      </c>
      <c r="D46" s="59">
        <f>COUNTIFS(Mar!$B:$B,2021,Mar!$J:$J,1700)+COUNTIFS(Mar!$B:$B,2021,Mar!$F:$F,1700)+COUNTIFS(Mar!$B:$B,2021,Mar!$J:$J,19)</f>
        <v>0</v>
      </c>
      <c r="E46" s="59">
        <f>COUNTIFS(Apr!$B:$B,2021,Apr!$J:$J,1700)+COUNTIFS(Apr!$B:$B,2021,Apr!$F:$F,1700)+COUNTIFS(Apr!$B:$B,2021,Apr!$J:$J,19)</f>
        <v>0</v>
      </c>
      <c r="F46" s="59">
        <f>COUNTIFS(May!$B:$B,2021,May!$J:$J,1700)+COUNTIFS(May!$B:$B,2021,May!$F:$F,1700)+COUNTIFS(May!$B:$B,2021,May!$J:$J,19)</f>
        <v>0</v>
      </c>
      <c r="G46" s="59">
        <f>COUNTIFS(Jun!$B:$B,2021,Jun!$J:$J,1700)+COUNTIFS(Jun!$B:$B,2021,Jun!$F:$F,1700)+COUNTIFS(Jun!$B:$B,2021,Jun!$J:$J,19)</f>
        <v>0</v>
      </c>
      <c r="H46" s="59">
        <f>COUNTIFS(Jul!$B:$B,2021,Jul!$J:$J,1700)+COUNTIFS(Jul!$B:$B,2021,Jul!$F:$F,1700)+COUNTIFS(Jul!$B:$B,2021,Jul!$J:$J,19)</f>
        <v>0</v>
      </c>
      <c r="I46" s="59">
        <v>1</v>
      </c>
      <c r="J46" s="59">
        <f>COUNTIFS(Sep!$B:$B,2021,Sep!$J:$J,1700)+COUNTIFS(Sep!$B:$B,2021,Sep!$F:$F,1700)+COUNTIFS(Sep!$B:$B,2021,Sep!$J:$J,19)</f>
        <v>0</v>
      </c>
      <c r="K46" s="59">
        <f>COUNTIFS(Oct!$B:$B,2021,Oct!$J:$J,1700)+COUNTIFS(Oct!$B:$B,2021,Oct!$F:$F,1700)+COUNTIFS(Oct!$B:$B,2021,Oct!$J:$J,19)</f>
        <v>0</v>
      </c>
      <c r="L46" s="59">
        <f>COUNTIFS(Nov!$B:$B,2021,Nov!$J:$J,1700)+COUNTIFS(Nov!$B:$B,2021,Nov!$F:$F,1700)+COUNTIFS(Nov!$B:$B,2021,Nov!$J:$J,19)</f>
        <v>0</v>
      </c>
      <c r="M46" s="59">
        <v>1</v>
      </c>
    </row>
    <row r="47" spans="1:13" s="8" customFormat="1" ht="11.25" customHeight="1">
      <c r="A47" s="10" t="s">
        <v>0</v>
      </c>
      <c r="B47" s="59">
        <f>COUNTIFS(Jan!$B:$B,2021,Jan!$J:$J,3)</f>
        <v>3</v>
      </c>
      <c r="C47" s="59">
        <v>2</v>
      </c>
      <c r="D47" s="59">
        <v>2</v>
      </c>
      <c r="E47" s="59">
        <v>1</v>
      </c>
      <c r="F47" s="59">
        <v>2</v>
      </c>
      <c r="G47" s="59">
        <f>COUNTIFS(Jun!$B:$B,2021,Jun!$J:$J,3)</f>
        <v>0</v>
      </c>
      <c r="H47" s="59">
        <v>9</v>
      </c>
      <c r="I47" s="59">
        <v>3</v>
      </c>
      <c r="J47" s="59">
        <v>3</v>
      </c>
      <c r="K47" s="59">
        <v>1</v>
      </c>
      <c r="L47" s="59">
        <v>3</v>
      </c>
      <c r="M47" s="59">
        <v>3</v>
      </c>
    </row>
    <row r="48" spans="1:13" s="8" customFormat="1" ht="11.25" customHeight="1">
      <c r="A48" s="10" t="s">
        <v>35</v>
      </c>
      <c r="B48" s="59">
        <f>COUNTIFS(Jan!$B:$B,2021,Jan!$J:$J,7400)</f>
        <v>0</v>
      </c>
      <c r="C48" s="59">
        <f>COUNTIFS(Feb!$B:$B,2021,Feb!$J:$J,7400)</f>
        <v>0</v>
      </c>
      <c r="D48" s="59">
        <f>COUNTIFS(Mar!$B:$B,2021,Mar!$J:$J,7400)</f>
        <v>0</v>
      </c>
      <c r="E48" s="59">
        <f>COUNTIFS(Apr!$B:$B,2021,Apr!$J:$J,7400)</f>
        <v>0</v>
      </c>
      <c r="F48" s="59">
        <f>COUNTIFS(May!$B:$B,2021,May!$J:$J,7400)</f>
        <v>0</v>
      </c>
      <c r="G48" s="59">
        <f>COUNTIFS(Jun!$B:$B,2021,Jun!$J:$J,7400)</f>
        <v>0</v>
      </c>
      <c r="H48" s="59">
        <v>1</v>
      </c>
      <c r="I48" s="59">
        <f>COUNTIFS(Aug!$B:$B,2021,Aug!$J:$J,7400)</f>
        <v>0</v>
      </c>
      <c r="J48" s="59">
        <f>COUNTIFS(Sep!$B:$B,2021,Sep!$J:$J,7400)</f>
        <v>0</v>
      </c>
      <c r="K48" s="59">
        <f>COUNTIFS(Oct!$B:$B,2021,Oct!$J:$J,7400)</f>
        <v>0</v>
      </c>
      <c r="L48" s="59">
        <f>COUNTIFS(Nov!$B:$B,2021,Nov!$J:$J,7400)</f>
        <v>0</v>
      </c>
      <c r="M48" s="59">
        <v>0</v>
      </c>
    </row>
    <row r="49" spans="1:13" s="8" customFormat="1" ht="11.25" customHeight="1">
      <c r="A49" s="10" t="s">
        <v>2</v>
      </c>
      <c r="B49" s="59">
        <f>COUNTIFS(Jan!$B:$B,2021,Jan!$J:$J,14)</f>
        <v>0</v>
      </c>
      <c r="C49" s="59">
        <f>COUNTIFS(Feb!$B:$B,2021,Feb!$J:$J,14)</f>
        <v>0</v>
      </c>
      <c r="D49" s="59">
        <f>COUNTIFS(Mar!$B:$B,2021,Mar!$J:$J,14)</f>
        <v>0</v>
      </c>
      <c r="E49" s="59">
        <v>2</v>
      </c>
      <c r="F49" s="59">
        <v>3</v>
      </c>
      <c r="G49" s="59">
        <v>3</v>
      </c>
      <c r="H49" s="59">
        <v>3</v>
      </c>
      <c r="I49" s="59">
        <v>3</v>
      </c>
      <c r="J49" s="59">
        <v>4</v>
      </c>
      <c r="K49" s="59">
        <f>COUNTIFS(Oct!$B:$B,2021,Oct!$J:$J,14)</f>
        <v>0</v>
      </c>
      <c r="L49" s="59">
        <v>1</v>
      </c>
      <c r="M49" s="59">
        <v>1</v>
      </c>
    </row>
    <row r="50" spans="1:13" s="8" customFormat="1" ht="11.25" customHeight="1">
      <c r="A50" s="10" t="s">
        <v>142</v>
      </c>
      <c r="B50" s="59">
        <f>COUNTIFS(Jan!$B:$B,2021,Jan!$F:$F,466)</f>
        <v>1</v>
      </c>
      <c r="C50" s="59">
        <f>COUNTIFS(Feb!$B:$B,2021,Feb!$F:$F,466)</f>
        <v>0</v>
      </c>
      <c r="D50" s="59">
        <f>COUNTIFS(Mar!$B:$B,2021,Mar!$F:$F,466)</f>
        <v>0</v>
      </c>
      <c r="E50" s="59">
        <f>COUNTIFS(Apr!$B:$B,2021,Apr!$F:$F,466)</f>
        <v>0</v>
      </c>
      <c r="F50" s="59">
        <f>COUNTIFS(May!$B:$B,2021,May!$F:$F,466)</f>
        <v>0</v>
      </c>
      <c r="G50" s="59">
        <f>COUNTIFS(Jun!$B:$B,2021,Jun!$F:$F,466)</f>
        <v>0</v>
      </c>
      <c r="H50" s="59">
        <v>1</v>
      </c>
      <c r="I50" s="59">
        <f>COUNTIFS(Aug!$B:$B,2021,Aug!$F:$F,466)</f>
        <v>0</v>
      </c>
      <c r="J50" s="59">
        <f>COUNTIFS(Sep!$B:$B,2021,Sep!$F:$F,466)</f>
        <v>0</v>
      </c>
      <c r="K50" s="59">
        <f>COUNTIFS(Oct!$B:$B,2021,Oct!$F:$F,466)</f>
        <v>0</v>
      </c>
      <c r="L50" s="59">
        <f>COUNTIFS(Nov!$B:$B,2021,Nov!$F:$F,466)</f>
        <v>0</v>
      </c>
      <c r="M50" s="59">
        <v>0</v>
      </c>
    </row>
    <row r="51" spans="1:13" s="8" customFormat="1" ht="11.25" customHeight="1">
      <c r="A51" s="10" t="s">
        <v>27</v>
      </c>
      <c r="B51" s="59">
        <f>COUNTIFS(Jan!$B:$B,2021,Jan!$J:$J,25)</f>
        <v>0</v>
      </c>
      <c r="C51" s="59">
        <f>COUNTIFS(Feb!$B:$B,2021,Feb!$J:$J,25)</f>
        <v>0</v>
      </c>
      <c r="D51" s="59">
        <f>COUNTIFS(Mar!$B:$B,2021,Mar!$J:$J,25)</f>
        <v>0</v>
      </c>
      <c r="E51" s="59">
        <f>COUNTIFS(Apr!$B:$B,2021,Apr!$J:$J,25)</f>
        <v>0</v>
      </c>
      <c r="F51" s="59">
        <f>COUNTIFS(May!$B:$B,2021,May!$J:$J,25)</f>
        <v>0</v>
      </c>
      <c r="G51" s="59">
        <f>COUNTIFS(Jun!$B:$B,2021,Jun!$J:$J,25)</f>
        <v>0</v>
      </c>
      <c r="H51" s="59">
        <f>COUNTIFS(Jul!$B:$B,2021,Jul!$J:$J,25)</f>
        <v>0</v>
      </c>
      <c r="I51" s="59">
        <f>COUNTIFS(Aug!$B:$B,2021,Aug!$J:$J,25)</f>
        <v>0</v>
      </c>
      <c r="J51" s="59">
        <f>COUNTIFS(Sep!$B:$B,2021,Sep!$J:$J,25)</f>
        <v>0</v>
      </c>
      <c r="K51" s="59">
        <f>COUNTIFS(Oct!$B:$B,2021,Oct!$J:$J,25)</f>
        <v>0</v>
      </c>
      <c r="L51" s="59">
        <f>COUNTIFS(Nov!$B:$B,2021,Nov!$J:$J,25)</f>
        <v>0</v>
      </c>
      <c r="M51" s="59">
        <v>0</v>
      </c>
    </row>
    <row r="52" spans="1:13" s="8" customFormat="1" ht="11.25" customHeight="1" thickBot="1">
      <c r="A52" s="11" t="s">
        <v>16</v>
      </c>
      <c r="B52" s="60">
        <f t="shared" ref="B52:G52" si="11">SUM(B34:B51)</f>
        <v>26</v>
      </c>
      <c r="C52" s="60">
        <f t="shared" si="11"/>
        <v>17</v>
      </c>
      <c r="D52" s="60">
        <f t="shared" si="11"/>
        <v>22</v>
      </c>
      <c r="E52" s="60">
        <f t="shared" si="11"/>
        <v>52</v>
      </c>
      <c r="F52" s="60">
        <f t="shared" si="11"/>
        <v>41</v>
      </c>
      <c r="G52" s="60">
        <f t="shared" si="11"/>
        <v>46</v>
      </c>
      <c r="H52" s="60">
        <f t="shared" ref="H52:M52" si="12">SUM(H34:H51)</f>
        <v>98</v>
      </c>
      <c r="I52" s="60">
        <f t="shared" si="12"/>
        <v>78</v>
      </c>
      <c r="J52" s="60">
        <f t="shared" si="12"/>
        <v>50</v>
      </c>
      <c r="K52" s="60">
        <f t="shared" si="12"/>
        <v>34</v>
      </c>
      <c r="L52" s="159">
        <f t="shared" si="12"/>
        <v>23</v>
      </c>
      <c r="M52" s="170">
        <f t="shared" si="12"/>
        <v>41</v>
      </c>
    </row>
    <row r="53" spans="1:13" ht="12" customHeight="1" thickBot="1">
      <c r="A53" s="55" t="s">
        <v>137</v>
      </c>
      <c r="B53" s="50">
        <v>41275</v>
      </c>
      <c r="C53" s="47">
        <v>41306</v>
      </c>
      <c r="D53" s="47">
        <v>41334</v>
      </c>
      <c r="E53" s="47">
        <v>41365</v>
      </c>
      <c r="F53" s="47">
        <v>41395</v>
      </c>
      <c r="G53" s="47">
        <v>41426</v>
      </c>
      <c r="H53" s="47">
        <v>41456</v>
      </c>
      <c r="I53" s="47">
        <v>41487</v>
      </c>
      <c r="J53" s="47">
        <v>41518</v>
      </c>
      <c r="K53" s="47">
        <v>41548</v>
      </c>
      <c r="L53" s="47">
        <v>41579</v>
      </c>
      <c r="M53" s="51">
        <v>41609</v>
      </c>
    </row>
    <row r="54" spans="1:13" s="8" customFormat="1" ht="11.25" customHeight="1">
      <c r="A54" s="10" t="s">
        <v>30</v>
      </c>
      <c r="B54" s="57">
        <f>COUNTIFS(Jan!$B:$B,2021,Jan!$J:$J,7)</f>
        <v>2</v>
      </c>
      <c r="C54" s="57">
        <v>1</v>
      </c>
      <c r="D54" s="57">
        <f>COUNTIFS(Mar!$B:$B,2021,Mar!$J:$J,7)</f>
        <v>0</v>
      </c>
      <c r="E54" s="57">
        <v>1</v>
      </c>
      <c r="F54" s="57">
        <v>2</v>
      </c>
      <c r="G54" s="57">
        <v>2</v>
      </c>
      <c r="H54" s="57">
        <v>10</v>
      </c>
      <c r="I54" s="57">
        <v>3</v>
      </c>
      <c r="J54" s="57">
        <v>3</v>
      </c>
      <c r="K54" s="57">
        <f>COUNTIFS(Oct!$B:$B,2021,Oct!$J:$J,7)</f>
        <v>0</v>
      </c>
      <c r="L54" s="57">
        <v>3</v>
      </c>
      <c r="M54" s="57">
        <v>9</v>
      </c>
    </row>
    <row r="55" spans="1:13" s="8" customFormat="1" ht="11.25" customHeight="1">
      <c r="A55" s="10" t="s">
        <v>29</v>
      </c>
      <c r="B55" s="59">
        <f>COUNTIFS(Jan!$B:$B,2021,Jan!$J:$J,8)</f>
        <v>0</v>
      </c>
      <c r="C55" s="59">
        <f>COUNTIFS(Feb!$B:$B,2021,Feb!$J:$J,8)</f>
        <v>0</v>
      </c>
      <c r="D55" s="59">
        <f>COUNTIFS(Mar!$B:$B,2021,Mar!$J:$J,8)</f>
        <v>0</v>
      </c>
      <c r="E55" s="59">
        <f>COUNTIFS(Apr!$B:$B,2021,Apr!$J:$J,8)</f>
        <v>0</v>
      </c>
      <c r="F55" s="59">
        <f>COUNTIFS(May!$B:$B,2021,May!$J:$J,8)</f>
        <v>0</v>
      </c>
      <c r="G55" s="59">
        <f>COUNTIFS(Jun!$B:$B,2021,Jun!$J:$J,8)</f>
        <v>0</v>
      </c>
      <c r="H55" s="59">
        <f>COUNTIFS(Jul!$B:$B,2021,Jul!$J:$J,8)</f>
        <v>0</v>
      </c>
      <c r="I55" s="59">
        <f>COUNTIFS(Aug!$B:$B,2021,Aug!$J:$J,8)</f>
        <v>0</v>
      </c>
      <c r="J55" s="59">
        <f>COUNTIFS(Sep!$B:$B,2021,Sep!$J:$J,8)</f>
        <v>0</v>
      </c>
      <c r="K55" s="59">
        <f>COUNTIFS(Oct!$B:$B,2021,Oct!$J:$J,8)</f>
        <v>0</v>
      </c>
      <c r="L55" s="59">
        <f>COUNTIFS(Nov!$B:$B,2021,Nov!$J:$J,8)</f>
        <v>0</v>
      </c>
      <c r="M55" s="59">
        <v>0</v>
      </c>
    </row>
    <row r="56" spans="1:13" s="8" customFormat="1" ht="11.25" customHeight="1">
      <c r="A56" s="10" t="s">
        <v>7</v>
      </c>
      <c r="B56" s="59">
        <f>COUNTIFS(Jan!$B:$B,2021,Jan!$J:$J,12)</f>
        <v>2</v>
      </c>
      <c r="C56" s="59">
        <f>COUNTIFS(Feb!$B:$B,2021,Feb!$J:$J,12)</f>
        <v>0</v>
      </c>
      <c r="D56" s="59">
        <v>2</v>
      </c>
      <c r="E56" s="59">
        <f>COUNTIFS(Apr!$B:$B,2021,Apr!$J:$J,12)</f>
        <v>0</v>
      </c>
      <c r="F56" s="59">
        <f>COUNTIFS(May!$B:$B,2021,May!$J:$J,12)</f>
        <v>0</v>
      </c>
      <c r="G56" s="59">
        <v>1</v>
      </c>
      <c r="H56" s="59">
        <v>1</v>
      </c>
      <c r="I56" s="59">
        <v>1</v>
      </c>
      <c r="J56" s="59">
        <v>1</v>
      </c>
      <c r="K56" s="59">
        <f>COUNTIFS(Oct!$B:$B,2021,Oct!$J:$J,12)</f>
        <v>0</v>
      </c>
      <c r="L56" s="59">
        <v>2</v>
      </c>
      <c r="M56" s="59">
        <v>2</v>
      </c>
    </row>
    <row r="57" spans="1:13" s="8" customFormat="1" ht="11.25" customHeight="1">
      <c r="A57" s="10" t="s">
        <v>10</v>
      </c>
      <c r="B57" s="59">
        <f>COUNTIFS(Jan!$B:$B,2021,Jan!$J:$J,5100)</f>
        <v>0</v>
      </c>
      <c r="C57" s="59">
        <f>COUNTIFS(Feb!$B:$B,2021,Feb!$J:$J,5100)</f>
        <v>0</v>
      </c>
      <c r="D57" s="59">
        <f>COUNTIFS(Mar!$B:$B,2021,Mar!$J:$J,5100)</f>
        <v>0</v>
      </c>
      <c r="E57" s="59">
        <f>COUNTIFS(Apr!$B:$B,2021,Apr!$J:$J,5100)</f>
        <v>0</v>
      </c>
      <c r="F57" s="59">
        <f>COUNTIFS(May!$B:$B,2021,May!$J:$J,5100)</f>
        <v>0</v>
      </c>
      <c r="G57" s="59">
        <f>COUNTIFS(Jun!$B:$B,2021,Jun!$J:$J,5100)</f>
        <v>0</v>
      </c>
      <c r="H57" s="59">
        <f>COUNTIFS(Jul!$B:$B,2021,Jul!$J:$J,5100)</f>
        <v>0</v>
      </c>
      <c r="I57" s="59">
        <f>COUNTIFS(Aug!$B:$B,2021,Aug!$J:$J,5100)</f>
        <v>0</v>
      </c>
      <c r="J57" s="59">
        <f>COUNTIFS(Sep!$B:$B,2021,Sep!$J:$J,5100)</f>
        <v>0</v>
      </c>
      <c r="K57" s="59">
        <f>COUNTIFS(Oct!$B:$B,2021,Oct!$J:$J,5100)</f>
        <v>0</v>
      </c>
      <c r="L57" s="59">
        <f>COUNTIFS(Nov!$B:$B,2021,Nov!$J:$J,5100)</f>
        <v>0</v>
      </c>
      <c r="M57" s="59">
        <v>0</v>
      </c>
    </row>
    <row r="58" spans="1:13" s="8" customFormat="1" ht="11.25" customHeight="1">
      <c r="A58" s="10" t="s">
        <v>36</v>
      </c>
      <c r="B58" s="59">
        <f>COUNTIFS(Jan!$B:$B,2021,Jan!$J:$J,6200)</f>
        <v>0</v>
      </c>
      <c r="C58" s="59">
        <f>COUNTIFS(Feb!$B:$B,2021,Feb!$J:$J,6200)</f>
        <v>0</v>
      </c>
      <c r="D58" s="59">
        <f>COUNTIFS(Mar!$B:$B,2021,Mar!$J:$J,6200)</f>
        <v>0</v>
      </c>
      <c r="E58" s="59">
        <f>COUNTIFS(Apr!$B:$B,2021,Apr!$J:$J,6200)</f>
        <v>0</v>
      </c>
      <c r="F58" s="59">
        <f>COUNTIFS(May!$B:$B,2021,May!$J:$J,6200)</f>
        <v>0</v>
      </c>
      <c r="G58" s="59">
        <f>COUNTIFS(Jun!$B:$B,2021,Jun!$J:$J,6200)</f>
        <v>0</v>
      </c>
      <c r="H58" s="59">
        <f>COUNTIFS(Jul!$B:$B,2021,Jul!$J:$J,6200)</f>
        <v>0</v>
      </c>
      <c r="I58" s="59">
        <f>COUNTIFS(Aug!$B:$B,2021,Aug!$J:$J,6200)</f>
        <v>0</v>
      </c>
      <c r="J58" s="59">
        <f>COUNTIFS(Sep!$B:$B,2021,Sep!$J:$J,6200)</f>
        <v>0</v>
      </c>
      <c r="K58" s="59">
        <f>COUNTIFS(Oct!$B:$B,2021,Oct!$J:$J,6200)</f>
        <v>0</v>
      </c>
      <c r="L58" s="59">
        <f>COUNTIFS(Nov!$B:$B,2021,Nov!$J:$J,6200)</f>
        <v>0</v>
      </c>
      <c r="M58" s="59">
        <v>0</v>
      </c>
    </row>
    <row r="59" spans="1:13" s="8" customFormat="1" ht="11.25" customHeight="1">
      <c r="A59" s="10" t="s">
        <v>145</v>
      </c>
      <c r="B59" s="59">
        <f>COUNTIFS(Jan!$B:$B,2021,Jan!$J:$J,28)</f>
        <v>0</v>
      </c>
      <c r="C59" s="59">
        <f>COUNTIFS(Feb!$B:$B,2021,Feb!$J:$J,28)</f>
        <v>0</v>
      </c>
      <c r="D59" s="59">
        <f>COUNTIFS(Mar!$B:$B,2021,Mar!$J:$J,28)</f>
        <v>0</v>
      </c>
      <c r="E59" s="59">
        <f>COUNTIFS(Apr!$B:$B,2021,Apr!$J:$J,28)</f>
        <v>0</v>
      </c>
      <c r="F59" s="59">
        <v>2</v>
      </c>
      <c r="G59" s="59">
        <f>COUNTIFS(Jun!$B:$B,2021,Jun!$J:$J,28)</f>
        <v>0</v>
      </c>
      <c r="H59" s="59">
        <f>COUNTIFS(Jul!$B:$B,2021,Jul!$J:$J,28)</f>
        <v>0</v>
      </c>
      <c r="I59" s="59">
        <f>COUNTIFS(Aug!$B:$B,2021,Aug!$J:$J,28)</f>
        <v>0</v>
      </c>
      <c r="J59" s="59">
        <f>COUNTIFS(Sep!$B:$B,2021,Sep!$J:$J,28)</f>
        <v>0</v>
      </c>
      <c r="K59" s="59">
        <f>COUNTIFS(Oct!$B:$B,2021,Oct!$J:$J,28)</f>
        <v>0</v>
      </c>
      <c r="L59" s="59">
        <f>COUNTIFS(Nov!$B:$B,2021,Nov!$J:$J,28)</f>
        <v>0</v>
      </c>
      <c r="M59" s="59">
        <v>0</v>
      </c>
    </row>
    <row r="60" spans="1:13" s="8" customFormat="1" ht="11.25" customHeight="1">
      <c r="A60" s="10" t="s">
        <v>38</v>
      </c>
      <c r="B60" s="59">
        <f>COUNTIFS(Jan!$B:$B,2021,Jan!$J:$J,6100)</f>
        <v>1</v>
      </c>
      <c r="C60" s="59">
        <f>COUNTIFS(Feb!$B:$B,2021,Feb!$J:$J,6100)</f>
        <v>0</v>
      </c>
      <c r="D60" s="59">
        <v>2</v>
      </c>
      <c r="E60" s="59">
        <f>COUNTIFS(Apr!$B:$B,2021,Apr!$J:$J,6100)</f>
        <v>0</v>
      </c>
      <c r="F60" s="59">
        <f>COUNTIFS(May!$B:$B,2021,May!$J:$J,6100)</f>
        <v>0</v>
      </c>
      <c r="G60" s="59">
        <f>COUNTIFS(Jun!$B:$B,2021,Jun!$J:$J,6100)</f>
        <v>0</v>
      </c>
      <c r="H60" s="59">
        <v>2</v>
      </c>
      <c r="I60" s="59">
        <f>COUNTIFS(Aug!$B:$B,2021,Aug!$J:$J,6100)</f>
        <v>0</v>
      </c>
      <c r="J60" s="59">
        <f>COUNTIFS(Sep!$B:$B,2021,Sep!$J:$J,6100)</f>
        <v>0</v>
      </c>
      <c r="K60" s="59">
        <f>COUNTIFS(Oct!$B:$B,2021,Oct!$J:$J,6100)</f>
        <v>0</v>
      </c>
      <c r="L60" s="59">
        <f>COUNTIFS(Nov!$B:$B,2021,Nov!$J:$J,6100)</f>
        <v>0</v>
      </c>
      <c r="M60" s="59">
        <v>1</v>
      </c>
    </row>
    <row r="61" spans="1:13" s="8" customFormat="1" ht="11.25" customHeight="1">
      <c r="A61" s="10" t="s">
        <v>9</v>
      </c>
      <c r="B61" s="59">
        <f>COUNTIFS(Jan!$B:$B,2021,Jan!$J:$J,6)</f>
        <v>0</v>
      </c>
      <c r="C61" s="59">
        <f>COUNTIFS(Feb!$B:$B,2021,Feb!$J:$J,6)</f>
        <v>0</v>
      </c>
      <c r="D61" s="59">
        <f>COUNTIFS(Mar!$B:$B,2021,Mar!$J:$J,6)</f>
        <v>0</v>
      </c>
      <c r="E61" s="59">
        <f>COUNTIFS(Apr!$B:$B,2021,Apr!$J:$J,6)</f>
        <v>0</v>
      </c>
      <c r="F61" s="59">
        <f>COUNTIFS(May!$B:$B,2021,May!$J:$J,6)</f>
        <v>0</v>
      </c>
      <c r="G61" s="59">
        <f>COUNTIFS(Jun!$B:$B,2021,Jun!$J:$J,6)</f>
        <v>0</v>
      </c>
      <c r="H61" s="59">
        <f>COUNTIFS(Jul!$B:$B,2021,Jul!$J:$J,6)</f>
        <v>0</v>
      </c>
      <c r="I61" s="59">
        <f>COUNTIFS(Aug!$B:$B,2021,Aug!$J:$J,6)</f>
        <v>0</v>
      </c>
      <c r="J61" s="59">
        <f>COUNTIFS(Sep!$B:$B,2021,Sep!$J:$J,6)</f>
        <v>0</v>
      </c>
      <c r="K61" s="59">
        <f>COUNTIFS(Oct!$B:$B,2021,Oct!$J:$J,6)</f>
        <v>0</v>
      </c>
      <c r="L61" s="59">
        <f>COUNTIFS(Nov!$B:$B,2021,Nov!$J:$J,6)</f>
        <v>0</v>
      </c>
      <c r="M61" s="59">
        <v>0</v>
      </c>
    </row>
    <row r="62" spans="1:13" s="8" customFormat="1" ht="11.25" customHeight="1">
      <c r="A62" s="10" t="s">
        <v>8</v>
      </c>
      <c r="B62" s="59">
        <f>COUNTIFS(Jan!$B:$B,2021,Jan!$J:$J,4)</f>
        <v>0</v>
      </c>
      <c r="C62" s="59">
        <f>COUNTIFS(Feb!$B:$B,2021,Feb!$J:$J,4)</f>
        <v>0</v>
      </c>
      <c r="D62" s="59">
        <f>COUNTIFS(Mar!$B:$B,2021,Mar!$J:$J,4)</f>
        <v>0</v>
      </c>
      <c r="E62" s="59">
        <f>COUNTIFS(Apr!$B:$B,2021,Apr!$J:$J,4)</f>
        <v>0</v>
      </c>
      <c r="F62" s="59">
        <f>COUNTIFS(May!$B:$B,2021,May!$J:$J,4)</f>
        <v>0</v>
      </c>
      <c r="G62" s="59">
        <f>COUNTIFS(Jun!$B:$B,2021,Jun!$J:$J,4)</f>
        <v>0</v>
      </c>
      <c r="H62" s="59">
        <f>COUNTIFS(Jul!$B:$B,2021,Jul!$J:$J,4)</f>
        <v>0</v>
      </c>
      <c r="I62" s="59">
        <f>COUNTIFS(Aug!$B:$B,2021,Aug!$J:$J,4)</f>
        <v>0</v>
      </c>
      <c r="J62" s="59">
        <f>COUNTIFS(Sep!$B:$B,2021,Sep!$J:$J,4)</f>
        <v>0</v>
      </c>
      <c r="K62" s="59">
        <f>COUNTIFS(Oct!$B:$B,2021,Oct!$J:$J,4)</f>
        <v>0</v>
      </c>
      <c r="L62" s="59">
        <f>COUNTIFS(Nov!$B:$B,2021,Nov!$J:$J,4)</f>
        <v>0</v>
      </c>
      <c r="M62" s="59">
        <v>0</v>
      </c>
    </row>
    <row r="63" spans="1:13" s="8" customFormat="1" ht="11.25" customHeight="1">
      <c r="A63" s="10" t="s">
        <v>6</v>
      </c>
      <c r="B63" s="59">
        <f>COUNTIFS(Jan!$B:$B,2021,Jan!$J:$J,5)</f>
        <v>0</v>
      </c>
      <c r="C63" s="59">
        <f>COUNTIFS(Feb!$B:$B,2021,Feb!$J:$J,5)</f>
        <v>0</v>
      </c>
      <c r="D63" s="59">
        <f>COUNTIFS(Mar!$B:$B,2021,Mar!$J:$J,5)</f>
        <v>0</v>
      </c>
      <c r="E63" s="59">
        <f>COUNTIFS(Apr!$B:$B,2021,Apr!$J:$J,5)</f>
        <v>0</v>
      </c>
      <c r="F63" s="59">
        <f>COUNTIFS(May!$B:$B,2021,May!$J:$J,5)</f>
        <v>0</v>
      </c>
      <c r="G63" s="59">
        <f>COUNTIFS(Jun!$B:$B,2021,Jun!$J:$J,5)</f>
        <v>0</v>
      </c>
      <c r="H63" s="59">
        <f>COUNTIFS(Jul!$B:$B,2021,Jul!$J:$J,5)</f>
        <v>0</v>
      </c>
      <c r="I63" s="59">
        <f>COUNTIFS(Aug!$B:$B,2021,Aug!$J:$J,5)</f>
        <v>0</v>
      </c>
      <c r="J63" s="59">
        <f>COUNTIFS(Sep!$B:$B,2021,Sep!$J:$J,5)</f>
        <v>0</v>
      </c>
      <c r="K63" s="59">
        <f>COUNTIFS(Oct!$B:$B,2021,Oct!$J:$J,5)</f>
        <v>0</v>
      </c>
      <c r="L63" s="59">
        <f>COUNTIFS(Nov!$B:$B,2021,Nov!$J:$J,5)</f>
        <v>0</v>
      </c>
      <c r="M63" s="59">
        <v>0</v>
      </c>
    </row>
    <row r="64" spans="1:13" s="8" customFormat="1" ht="11.25" customHeight="1">
      <c r="A64" s="52" t="s">
        <v>141</v>
      </c>
      <c r="B64" s="69">
        <f>COUNTIFS(Jan!$B:$B,2021,Jan!$F:$F,456)</f>
        <v>7</v>
      </c>
      <c r="C64" s="69">
        <v>3</v>
      </c>
      <c r="D64" s="69">
        <v>2</v>
      </c>
      <c r="E64" s="69">
        <f>COUNTIFS(Apr!$B:$B,2021,Apr!$F:$F,456)</f>
        <v>0</v>
      </c>
      <c r="F64" s="69">
        <v>3</v>
      </c>
      <c r="G64" s="69">
        <v>2</v>
      </c>
      <c r="H64" s="69">
        <v>1</v>
      </c>
      <c r="I64" s="69">
        <f>COUNTIFS(Aug!$B:$B,2021,Aug!$F:$F,456)</f>
        <v>0</v>
      </c>
      <c r="J64" s="69">
        <f>COUNTIFS(Sep!$B:$B,2021,Sep!$F:$F,456)</f>
        <v>0</v>
      </c>
      <c r="K64" s="69">
        <f>COUNTIFS(Oct!$B:$B,2021,Oct!$F:$F,456)</f>
        <v>0</v>
      </c>
      <c r="L64" s="69">
        <f>COUNTIFS(Nov!$B:$B,2021,Nov!$F:$F,456)</f>
        <v>0</v>
      </c>
      <c r="M64" s="69">
        <v>0</v>
      </c>
    </row>
    <row r="65" spans="1:13" s="8" customFormat="1" ht="11.25" customHeight="1" thickBot="1">
      <c r="A65" s="12" t="s">
        <v>16</v>
      </c>
      <c r="B65" s="70">
        <f>SUM(B54:B64)</f>
        <v>12</v>
      </c>
      <c r="C65" s="70">
        <f t="shared" ref="C65:M65" si="13">SUM(C54:C64)</f>
        <v>4</v>
      </c>
      <c r="D65" s="70">
        <f>SUM(D54:D64)</f>
        <v>6</v>
      </c>
      <c r="E65" s="70">
        <f>SUM(E54:E64)</f>
        <v>1</v>
      </c>
      <c r="F65" s="70">
        <f>SUM(F54:F64)</f>
        <v>7</v>
      </c>
      <c r="G65" s="70">
        <f>SUM(G54:G64)</f>
        <v>5</v>
      </c>
      <c r="H65" s="70">
        <f t="shared" si="13"/>
        <v>14</v>
      </c>
      <c r="I65" s="70">
        <f t="shared" si="13"/>
        <v>4</v>
      </c>
      <c r="J65" s="70">
        <f t="shared" si="13"/>
        <v>4</v>
      </c>
      <c r="K65" s="70">
        <f t="shared" si="13"/>
        <v>0</v>
      </c>
      <c r="L65" s="165">
        <f t="shared" si="13"/>
        <v>5</v>
      </c>
      <c r="M65" s="170">
        <f t="shared" si="13"/>
        <v>12</v>
      </c>
    </row>
    <row r="66" spans="1:13" s="8" customFormat="1" ht="15.75" customHeight="1">
      <c r="A66" s="6"/>
      <c r="B66" s="7"/>
      <c r="C66" s="7"/>
      <c r="D66" s="7"/>
      <c r="E66" s="7"/>
      <c r="F66" s="7"/>
      <c r="G66" s="7"/>
      <c r="H66" s="7"/>
      <c r="I66" s="7"/>
      <c r="J66" s="7"/>
      <c r="K66" s="7"/>
      <c r="L66" s="7"/>
      <c r="M66" s="7"/>
    </row>
    <row r="67" spans="1:13" ht="12" customHeight="1">
      <c r="A67" s="6"/>
      <c r="B67" s="7"/>
      <c r="C67" s="7"/>
      <c r="D67" s="7"/>
      <c r="E67" s="7"/>
      <c r="F67" s="7"/>
      <c r="G67" s="7"/>
      <c r="H67" s="7"/>
      <c r="I67" s="7"/>
      <c r="J67" s="7"/>
      <c r="K67" s="7"/>
      <c r="L67" s="7"/>
      <c r="M67" s="7"/>
    </row>
  </sheetData>
  <phoneticPr fontId="0" type="noConversion"/>
  <printOptions horizontalCentered="1" verticalCentered="1"/>
  <pageMargins left="0.14000000000000001" right="0.16" top="0.25" bottom="0.5" header="0.5" footer="0.25"/>
  <pageSetup scale="95" firstPageNumber="3" orientation="portrait" useFirstPageNumber="1" r:id="rId1"/>
  <headerFooter alignWithMargins="0">
    <oddFooter>&amp;R9 of 51</oddFooter>
  </headerFooter>
  <ignoredErrors>
    <ignoredError sqref="M32 M52 M65" formulaRange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65</vt:i4>
      </vt:variant>
      <vt:variant>
        <vt:lpstr>Named Ranges</vt:lpstr>
      </vt:variant>
      <vt:variant>
        <vt:i4>53</vt:i4>
      </vt:variant>
    </vt:vector>
  </HeadingPairs>
  <TitlesOfParts>
    <vt:vector size="118" baseType="lpstr">
      <vt:lpstr>Cover</vt:lpstr>
      <vt:lpstr>TOC</vt:lpstr>
      <vt:lpstr>Program Summary - Violations</vt:lpstr>
      <vt:lpstr>Program Summary - Citations</vt:lpstr>
      <vt:lpstr>ASRALL</vt:lpstr>
      <vt:lpstr>ASR2004</vt:lpstr>
      <vt:lpstr>ASR2011</vt:lpstr>
      <vt:lpstr>ASR2012</vt:lpstr>
      <vt:lpstr>ASR2021</vt:lpstr>
      <vt:lpstr>ASR2024</vt:lpstr>
      <vt:lpstr>ASR2031</vt:lpstr>
      <vt:lpstr>ASR2051</vt:lpstr>
      <vt:lpstr>ASR2052</vt:lpstr>
      <vt:lpstr>ASR2053</vt:lpstr>
      <vt:lpstr>ASR2062</vt:lpstr>
      <vt:lpstr>ASR2071</vt:lpstr>
      <vt:lpstr>ASR2074</vt:lpstr>
      <vt:lpstr>ASR2081</vt:lpstr>
      <vt:lpstr>ASR2083</vt:lpstr>
      <vt:lpstr>ASR2091</vt:lpstr>
      <vt:lpstr>ASR2094</vt:lpstr>
      <vt:lpstr>ASR2104</vt:lpstr>
      <vt:lpstr>ASR2111</vt:lpstr>
      <vt:lpstr>ASR2112</vt:lpstr>
      <vt:lpstr>ASR2122</vt:lpstr>
      <vt:lpstr>ASR2124</vt:lpstr>
      <vt:lpstr>ASR2131</vt:lpstr>
      <vt:lpstr>ASR2132</vt:lpstr>
      <vt:lpstr>ASR2134</vt:lpstr>
      <vt:lpstr>ASR2142</vt:lpstr>
      <vt:lpstr>ASR2144</vt:lpstr>
      <vt:lpstr>ASR2152</vt:lpstr>
      <vt:lpstr>ASR2154</vt:lpstr>
      <vt:lpstr>ASR2161</vt:lpstr>
      <vt:lpstr>ASR2184</vt:lpstr>
      <vt:lpstr>ASR2211</vt:lpstr>
      <vt:lpstr>ASR2212</vt:lpstr>
      <vt:lpstr>ASR2221</vt:lpstr>
      <vt:lpstr>ASR2222</vt:lpstr>
      <vt:lpstr>ASR2233</vt:lpstr>
      <vt:lpstr>ASR2234</vt:lpstr>
      <vt:lpstr>ASR2241</vt:lpstr>
      <vt:lpstr>ASR2242</vt:lpstr>
      <vt:lpstr>ASR2253</vt:lpstr>
      <vt:lpstr>ASR2263</vt:lpstr>
      <vt:lpstr>ASR2264</vt:lpstr>
      <vt:lpstr>ASR3001</vt:lpstr>
      <vt:lpstr>ASR3003</vt:lpstr>
      <vt:lpstr>ASR3011</vt:lpstr>
      <vt:lpstr>ASR3034</vt:lpstr>
      <vt:lpstr>ASR3044</vt:lpstr>
      <vt:lpstr>Jan</vt:lpstr>
      <vt:lpstr>Feb</vt:lpstr>
      <vt:lpstr>Mar</vt:lpstr>
      <vt:lpstr>Apr</vt:lpstr>
      <vt:lpstr>May</vt:lpstr>
      <vt:lpstr>Jun</vt:lpstr>
      <vt:lpstr>Jul</vt:lpstr>
      <vt:lpstr>Aug</vt:lpstr>
      <vt:lpstr>Sep</vt:lpstr>
      <vt:lpstr>Oct</vt:lpstr>
      <vt:lpstr>Nov</vt:lpstr>
      <vt:lpstr>Dec</vt:lpstr>
      <vt:lpstr>ASRALL FILM</vt:lpstr>
      <vt:lpstr>ASRALL Digital</vt:lpstr>
      <vt:lpstr>'ASR2004'!Print_Area</vt:lpstr>
      <vt:lpstr>'ASR2011'!Print_Area</vt:lpstr>
      <vt:lpstr>'ASR2012'!Print_Area</vt:lpstr>
      <vt:lpstr>'ASR2021'!Print_Area</vt:lpstr>
      <vt:lpstr>'ASR2024'!Print_Area</vt:lpstr>
      <vt:lpstr>'ASR2031'!Print_Area</vt:lpstr>
      <vt:lpstr>'ASR2051'!Print_Area</vt:lpstr>
      <vt:lpstr>'ASR2052'!Print_Area</vt:lpstr>
      <vt:lpstr>'ASR2053'!Print_Area</vt:lpstr>
      <vt:lpstr>'ASR2062'!Print_Area</vt:lpstr>
      <vt:lpstr>'ASR2071'!Print_Area</vt:lpstr>
      <vt:lpstr>'ASR2074'!Print_Area</vt:lpstr>
      <vt:lpstr>'ASR2081'!Print_Area</vt:lpstr>
      <vt:lpstr>'ASR2083'!Print_Area</vt:lpstr>
      <vt:lpstr>'ASR2091'!Print_Area</vt:lpstr>
      <vt:lpstr>'ASR2094'!Print_Area</vt:lpstr>
      <vt:lpstr>'ASR2104'!Print_Area</vt:lpstr>
      <vt:lpstr>'ASR2111'!Print_Area</vt:lpstr>
      <vt:lpstr>'ASR2112'!Print_Area</vt:lpstr>
      <vt:lpstr>'ASR2122'!Print_Area</vt:lpstr>
      <vt:lpstr>'ASR2124'!Print_Area</vt:lpstr>
      <vt:lpstr>'ASR2131'!Print_Area</vt:lpstr>
      <vt:lpstr>'ASR2132'!Print_Area</vt:lpstr>
      <vt:lpstr>'ASR2134'!Print_Area</vt:lpstr>
      <vt:lpstr>'ASR2142'!Print_Area</vt:lpstr>
      <vt:lpstr>'ASR2144'!Print_Area</vt:lpstr>
      <vt:lpstr>'ASR2152'!Print_Area</vt:lpstr>
      <vt:lpstr>'ASR2154'!Print_Area</vt:lpstr>
      <vt:lpstr>'ASR2161'!Print_Area</vt:lpstr>
      <vt:lpstr>'ASR2184'!Print_Area</vt:lpstr>
      <vt:lpstr>'ASR2211'!Print_Area</vt:lpstr>
      <vt:lpstr>'ASR2212'!Print_Area</vt:lpstr>
      <vt:lpstr>'ASR2221'!Print_Area</vt:lpstr>
      <vt:lpstr>'ASR2222'!Print_Area</vt:lpstr>
      <vt:lpstr>'ASR2233'!Print_Area</vt:lpstr>
      <vt:lpstr>'ASR2234'!Print_Area</vt:lpstr>
      <vt:lpstr>'ASR2241'!Print_Area</vt:lpstr>
      <vt:lpstr>'ASR2242'!Print_Area</vt:lpstr>
      <vt:lpstr>'ASR2253'!Print_Area</vt:lpstr>
      <vt:lpstr>'ASR2263'!Print_Area</vt:lpstr>
      <vt:lpstr>'ASR2264'!Print_Area</vt:lpstr>
      <vt:lpstr>'ASR3001'!Print_Area</vt:lpstr>
      <vt:lpstr>'ASR3003'!Print_Area</vt:lpstr>
      <vt:lpstr>'ASR3011'!Print_Area</vt:lpstr>
      <vt:lpstr>'ASR3034'!Print_Area</vt:lpstr>
      <vt:lpstr>'ASR3044'!Print_Area</vt:lpstr>
      <vt:lpstr>ASRALL!Print_Area</vt:lpstr>
      <vt:lpstr>'ASRALL Digital'!Print_Area</vt:lpstr>
      <vt:lpstr>'ASRALL FILM'!Print_Area</vt:lpstr>
      <vt:lpstr>Cover!Print_Area</vt:lpstr>
      <vt:lpstr>'Program Summary - Citations'!Print_Area</vt:lpstr>
      <vt:lpstr>'Program Summary - Violations'!Print_Area</vt:lpstr>
      <vt:lpstr>TOC!Print_Area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MTA Report</dc:title>
  <dc:subject>Photo Enforcement Report</dc:subject>
  <dc:creator>ACS Government Solutions</dc:creator>
  <cp:lastModifiedBy>Nhan, Leanne</cp:lastModifiedBy>
  <cp:lastPrinted>2013-07-15T22:38:38Z</cp:lastPrinted>
  <dcterms:created xsi:type="dcterms:W3CDTF">1996-05-28T20:21:13Z</dcterms:created>
  <dcterms:modified xsi:type="dcterms:W3CDTF">2014-01-30T00:24:31Z</dcterms:modified>
</cp:coreProperties>
</file>